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IAS RENOVABLES 2015\II ETAPA DOCUMENTOS\"/>
    </mc:Choice>
  </mc:AlternateContent>
  <bookViews>
    <workbookView xWindow="0" yWindow="0" windowWidth="21840" windowHeight="8535" activeTab="1"/>
  </bookViews>
  <sheets>
    <sheet name="CRONOGRAMA" sheetId="1" r:id="rId1"/>
    <sheet name="PRESUPUESTO" sheetId="2" r:id="rId2"/>
    <sheet name="COSTO DOMO" sheetId="5" r:id="rId3"/>
    <sheet name="COSTOS EVITABLES DOMO" sheetId="6" r:id="rId4"/>
    <sheet name="COSTOS COBERTIZO" sheetId="7" r:id="rId5"/>
    <sheet name="UTILIDAD COBERTIZO" sheetId="9" r:id="rId6"/>
    <sheet name="COSTO INVERNADERO" sheetId="10" r:id="rId7"/>
    <sheet name="UTLIDAD INVERNADERO" sheetId="11" r:id="rId8"/>
    <sheet name="COSTOS ALMACEN" sheetId="12" r:id="rId9"/>
    <sheet name="UTILIDAD ALMACEN " sheetId="13" r:id="rId10"/>
    <sheet name="COFINANCIAMIENTO " sheetId="4" r:id="rId11"/>
    <sheet name="COSTOS ACT." sheetId="3" r:id="rId12"/>
  </sheets>
  <definedNames>
    <definedName name="_xlnm.Print_Area" localSheetId="0">CRONOGRAMA!$B$2:$J$30</definedName>
    <definedName name="_xlnm.Print_Area" localSheetId="1">PRESUPUESTO!$B$4:$J$33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3" l="1"/>
  <c r="H19" i="13"/>
  <c r="L18" i="13"/>
  <c r="H18" i="13"/>
  <c r="L17" i="13"/>
  <c r="H17" i="13"/>
  <c r="L16" i="13"/>
  <c r="H16" i="13"/>
  <c r="L15" i="13"/>
  <c r="L20" i="13" s="1"/>
  <c r="H15" i="13"/>
  <c r="H20" i="13" s="1"/>
  <c r="M12" i="13"/>
  <c r="L12" i="13"/>
  <c r="I12" i="13"/>
  <c r="H12" i="13"/>
  <c r="M11" i="13"/>
  <c r="L11" i="13"/>
  <c r="I11" i="13"/>
  <c r="H11" i="13"/>
  <c r="M10" i="13"/>
  <c r="M13" i="13" s="1"/>
  <c r="L10" i="13"/>
  <c r="L13" i="13" s="1"/>
  <c r="I10" i="13"/>
  <c r="I13" i="13" s="1"/>
  <c r="H10" i="13"/>
  <c r="H13" i="13" s="1"/>
  <c r="E141" i="12"/>
  <c r="E138" i="12"/>
  <c r="E140" i="12" s="1"/>
  <c r="E142" i="12" s="1"/>
  <c r="E144" i="12" s="1"/>
  <c r="G128" i="12"/>
  <c r="H127" i="12"/>
  <c r="G126" i="12"/>
  <c r="H126" i="12" s="1"/>
  <c r="G125" i="12"/>
  <c r="H125" i="12" s="1"/>
  <c r="G124" i="12"/>
  <c r="H124" i="12" s="1"/>
  <c r="G123" i="12"/>
  <c r="H123" i="12" s="1"/>
  <c r="G122" i="12"/>
  <c r="H122" i="12" s="1"/>
  <c r="G121" i="12"/>
  <c r="H121" i="12" s="1"/>
  <c r="G120" i="12"/>
  <c r="H120" i="12" s="1"/>
  <c r="G119" i="12"/>
  <c r="H119" i="12" s="1"/>
  <c r="G118" i="12"/>
  <c r="H118" i="12" s="1"/>
  <c r="G117" i="12"/>
  <c r="H117" i="12" s="1"/>
  <c r="G116" i="12"/>
  <c r="H116" i="12" s="1"/>
  <c r="G115" i="12"/>
  <c r="H115" i="12" s="1"/>
  <c r="G114" i="12"/>
  <c r="H114" i="12" s="1"/>
  <c r="G113" i="12"/>
  <c r="H113" i="12" s="1"/>
  <c r="G112" i="12"/>
  <c r="H112" i="12" s="1"/>
  <c r="G111" i="12"/>
  <c r="H111" i="12" s="1"/>
  <c r="G110" i="12"/>
  <c r="H110" i="12" s="1"/>
  <c r="G109" i="12"/>
  <c r="H109" i="12" s="1"/>
  <c r="G108" i="12"/>
  <c r="H108" i="12" s="1"/>
  <c r="G107" i="12"/>
  <c r="H107" i="12" s="1"/>
  <c r="G106" i="12"/>
  <c r="H106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H96" i="12" s="1"/>
  <c r="G95" i="12"/>
  <c r="H95" i="12" s="1"/>
  <c r="G94" i="12"/>
  <c r="H94" i="12" s="1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F56" i="12"/>
  <c r="G56" i="12" s="1"/>
  <c r="H56" i="12" s="1"/>
  <c r="H55" i="12"/>
  <c r="G55" i="12"/>
  <c r="G54" i="12"/>
  <c r="H54" i="12" s="1"/>
  <c r="H53" i="12"/>
  <c r="G53" i="12"/>
  <c r="G52" i="12"/>
  <c r="H52" i="12" s="1"/>
  <c r="H51" i="12"/>
  <c r="G51" i="12"/>
  <c r="G50" i="12"/>
  <c r="H50" i="12" s="1"/>
  <c r="H49" i="12"/>
  <c r="G49" i="12"/>
  <c r="G48" i="12"/>
  <c r="H48" i="12" s="1"/>
  <c r="H47" i="12"/>
  <c r="G47" i="12"/>
  <c r="G46" i="12"/>
  <c r="H46" i="12" s="1"/>
  <c r="H45" i="12"/>
  <c r="G45" i="12"/>
  <c r="G44" i="12"/>
  <c r="H44" i="12" s="1"/>
  <c r="H43" i="12"/>
  <c r="G43" i="12"/>
  <c r="G42" i="12"/>
  <c r="H42" i="12" s="1"/>
  <c r="H41" i="12"/>
  <c r="G41" i="12"/>
  <c r="G40" i="12"/>
  <c r="H40" i="12" s="1"/>
  <c r="H39" i="12"/>
  <c r="G39" i="12"/>
  <c r="F38" i="12"/>
  <c r="G38" i="12" s="1"/>
  <c r="H38" i="12" s="1"/>
  <c r="F37" i="12"/>
  <c r="G37" i="12" s="1"/>
  <c r="H37" i="12" s="1"/>
  <c r="H36" i="12"/>
  <c r="G36" i="12"/>
  <c r="G35" i="12"/>
  <c r="H35" i="12" s="1"/>
  <c r="H34" i="12"/>
  <c r="G34" i="12"/>
  <c r="G33" i="12"/>
  <c r="H33" i="12" s="1"/>
  <c r="H32" i="12"/>
  <c r="G32" i="12"/>
  <c r="G31" i="12"/>
  <c r="H31" i="12" s="1"/>
  <c r="F30" i="12"/>
  <c r="G30" i="12" s="1"/>
  <c r="H30" i="12" s="1"/>
  <c r="G29" i="12"/>
  <c r="H29" i="12" s="1"/>
  <c r="F29" i="12"/>
  <c r="G28" i="12"/>
  <c r="H28" i="12" s="1"/>
  <c r="H27" i="12"/>
  <c r="G27" i="12"/>
  <c r="G26" i="12"/>
  <c r="H26" i="12" s="1"/>
  <c r="I25" i="12"/>
  <c r="G25" i="12"/>
  <c r="G24" i="12"/>
  <c r="I24" i="12" s="1"/>
  <c r="I23" i="12"/>
  <c r="G23" i="12"/>
  <c r="G22" i="12"/>
  <c r="H22" i="12" s="1"/>
  <c r="H21" i="12"/>
  <c r="G21" i="12"/>
  <c r="G20" i="12"/>
  <c r="H20" i="12" s="1"/>
  <c r="H19" i="12"/>
  <c r="G19" i="12"/>
  <c r="G18" i="12"/>
  <c r="H18" i="12" s="1"/>
  <c r="H17" i="12"/>
  <c r="G17" i="12"/>
  <c r="G16" i="12"/>
  <c r="H16" i="12" s="1"/>
  <c r="H15" i="12"/>
  <c r="G15" i="12"/>
  <c r="G14" i="12"/>
  <c r="H14" i="12" s="1"/>
  <c r="H13" i="12"/>
  <c r="G13" i="12"/>
  <c r="G12" i="12"/>
  <c r="H12" i="12" s="1"/>
  <c r="H11" i="12"/>
  <c r="G11" i="12"/>
  <c r="G10" i="12"/>
  <c r="G129" i="12" s="1"/>
  <c r="I9" i="12"/>
  <c r="G9" i="12"/>
  <c r="L21" i="13" l="1"/>
  <c r="H21" i="13"/>
  <c r="G130" i="12"/>
  <c r="G133" i="12" s="1"/>
  <c r="G132" i="12"/>
  <c r="H129" i="12"/>
  <c r="I10" i="12"/>
  <c r="H132" i="12" l="1"/>
  <c r="H130" i="12"/>
  <c r="H133" i="12" s="1"/>
  <c r="H25" i="11" l="1"/>
  <c r="I25" i="11" s="1"/>
  <c r="H24" i="11"/>
  <c r="I24" i="11" s="1"/>
  <c r="H23" i="11"/>
  <c r="I23" i="11" s="1"/>
  <c r="H22" i="11"/>
  <c r="I22" i="11" s="1"/>
  <c r="H21" i="11"/>
  <c r="I21" i="11" s="1"/>
  <c r="H20" i="1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E43" i="10"/>
  <c r="E45" i="10" s="1"/>
  <c r="G31" i="10"/>
  <c r="I31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F21" i="10"/>
  <c r="G21" i="10" s="1"/>
  <c r="H21" i="10" s="1"/>
  <c r="H20" i="10"/>
  <c r="G20" i="10"/>
  <c r="F19" i="10"/>
  <c r="G19" i="10" s="1"/>
  <c r="H19" i="10" s="1"/>
  <c r="F18" i="10"/>
  <c r="E18" i="10"/>
  <c r="G18" i="10" s="1"/>
  <c r="H18" i="10" s="1"/>
  <c r="F17" i="10"/>
  <c r="G17" i="10" s="1"/>
  <c r="H17" i="10" s="1"/>
  <c r="H16" i="10"/>
  <c r="G16" i="10"/>
  <c r="G15" i="10"/>
  <c r="H15" i="10" s="1"/>
  <c r="H14" i="10"/>
  <c r="G14" i="10"/>
  <c r="G13" i="10"/>
  <c r="H13" i="10" s="1"/>
  <c r="H12" i="10"/>
  <c r="G12" i="10"/>
  <c r="G11" i="10"/>
  <c r="H11" i="10" s="1"/>
  <c r="H10" i="10"/>
  <c r="G10" i="10"/>
  <c r="G9" i="10"/>
  <c r="H9" i="10" s="1"/>
  <c r="I8" i="10"/>
  <c r="I32" i="10" s="1"/>
  <c r="G8" i="10"/>
  <c r="J20" i="9"/>
  <c r="G20" i="9"/>
  <c r="J19" i="9"/>
  <c r="G19" i="9"/>
  <c r="J18" i="9"/>
  <c r="G18" i="9"/>
  <c r="J17" i="9"/>
  <c r="J21" i="9" s="1"/>
  <c r="G17" i="9"/>
  <c r="J16" i="9"/>
  <c r="G16" i="9"/>
  <c r="G21" i="9" s="1"/>
  <c r="J13" i="9"/>
  <c r="G13" i="9"/>
  <c r="J12" i="9"/>
  <c r="J14" i="9" s="1"/>
  <c r="H12" i="9"/>
  <c r="G12" i="9"/>
  <c r="J11" i="9"/>
  <c r="G11" i="9"/>
  <c r="J10" i="9"/>
  <c r="G10" i="9"/>
  <c r="J9" i="9"/>
  <c r="G9" i="9"/>
  <c r="G14" i="9" s="1"/>
  <c r="E49" i="7"/>
  <c r="E51" i="7" s="1"/>
  <c r="I38" i="7"/>
  <c r="G38" i="7"/>
  <c r="G36" i="7"/>
  <c r="H36" i="7" s="1"/>
  <c r="H35" i="7"/>
  <c r="G35" i="7"/>
  <c r="G33" i="7"/>
  <c r="H33" i="7" s="1"/>
  <c r="H32" i="7"/>
  <c r="G32" i="7"/>
  <c r="F30" i="7"/>
  <c r="G30" i="7" s="1"/>
  <c r="H30" i="7" s="1"/>
  <c r="H29" i="7"/>
  <c r="G29" i="7"/>
  <c r="G28" i="7"/>
  <c r="H28" i="7" s="1"/>
  <c r="F28" i="7"/>
  <c r="F27" i="7"/>
  <c r="G27" i="7" s="1"/>
  <c r="H27" i="7" s="1"/>
  <c r="H26" i="7"/>
  <c r="G26" i="7"/>
  <c r="F26" i="7"/>
  <c r="H25" i="7"/>
  <c r="G25" i="7"/>
  <c r="H24" i="7"/>
  <c r="G24" i="7"/>
  <c r="H22" i="7"/>
  <c r="G22" i="7"/>
  <c r="H21" i="7"/>
  <c r="G21" i="7"/>
  <c r="G19" i="7"/>
  <c r="H19" i="7" s="1"/>
  <c r="F18" i="7"/>
  <c r="G18" i="7" s="1"/>
  <c r="H18" i="7" s="1"/>
  <c r="H17" i="7"/>
  <c r="G17" i="7"/>
  <c r="G16" i="7"/>
  <c r="H16" i="7" s="1"/>
  <c r="H15" i="7"/>
  <c r="G15" i="7"/>
  <c r="G14" i="7"/>
  <c r="H14" i="7" s="1"/>
  <c r="H13" i="7"/>
  <c r="G13" i="7"/>
  <c r="G12" i="7"/>
  <c r="H12" i="7" s="1"/>
  <c r="H11" i="7"/>
  <c r="G11" i="7"/>
  <c r="F10" i="7"/>
  <c r="G10" i="7" s="1"/>
  <c r="H10" i="7" s="1"/>
  <c r="H9" i="7"/>
  <c r="G9" i="7"/>
  <c r="G8" i="7"/>
  <c r="I8" i="7" s="1"/>
  <c r="I39" i="7" s="1"/>
  <c r="H7" i="7"/>
  <c r="G7" i="7"/>
  <c r="I9" i="11" l="1"/>
  <c r="I20" i="11"/>
  <c r="H9" i="11"/>
  <c r="H26" i="11" s="1"/>
  <c r="G32" i="10"/>
  <c r="I36" i="10"/>
  <c r="I33" i="10"/>
  <c r="I37" i="10" s="1"/>
  <c r="H32" i="10"/>
  <c r="E46" i="10"/>
  <c r="E47" i="10" s="1"/>
  <c r="E49" i="10" s="1"/>
  <c r="G22" i="9"/>
  <c r="J22" i="9"/>
  <c r="I42" i="7"/>
  <c r="I40" i="7"/>
  <c r="I43" i="7" s="1"/>
  <c r="G39" i="7"/>
  <c r="H39" i="7"/>
  <c r="E52" i="7"/>
  <c r="E53" i="7" s="1"/>
  <c r="E55" i="7" s="1"/>
  <c r="G16" i="6"/>
  <c r="G15" i="6"/>
  <c r="G14" i="6"/>
  <c r="G13" i="6"/>
  <c r="G12" i="6"/>
  <c r="G11" i="6"/>
  <c r="G10" i="6"/>
  <c r="G9" i="6"/>
  <c r="G17" i="6" s="1"/>
  <c r="E140" i="5"/>
  <c r="E137" i="5"/>
  <c r="E139" i="5" s="1"/>
  <c r="E141" i="5" s="1"/>
  <c r="E143" i="5" s="1"/>
  <c r="G126" i="5"/>
  <c r="I126" i="5" s="1"/>
  <c r="G124" i="5"/>
  <c r="H124" i="5" s="1"/>
  <c r="G122" i="5"/>
  <c r="H122" i="5" s="1"/>
  <c r="G121" i="5"/>
  <c r="H121" i="5" s="1"/>
  <c r="G119" i="5"/>
  <c r="H119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F64" i="5"/>
  <c r="F63" i="5"/>
  <c r="G63" i="5" s="1"/>
  <c r="H63" i="5" s="1"/>
  <c r="F62" i="5"/>
  <c r="G62" i="5" s="1"/>
  <c r="H62" i="5" s="1"/>
  <c r="H60" i="5"/>
  <c r="G60" i="5"/>
  <c r="G59" i="5"/>
  <c r="H59" i="5" s="1"/>
  <c r="H58" i="5"/>
  <c r="G58" i="5"/>
  <c r="G56" i="5"/>
  <c r="H56" i="5" s="1"/>
  <c r="H55" i="5"/>
  <c r="G55" i="5"/>
  <c r="G54" i="5"/>
  <c r="H54" i="5" s="1"/>
  <c r="H53" i="5"/>
  <c r="G53" i="5"/>
  <c r="G52" i="5"/>
  <c r="H52" i="5" s="1"/>
  <c r="H51" i="5"/>
  <c r="G51" i="5"/>
  <c r="G50" i="5"/>
  <c r="H50" i="5" s="1"/>
  <c r="H49" i="5"/>
  <c r="G49" i="5"/>
  <c r="G48" i="5"/>
  <c r="H48" i="5" s="1"/>
  <c r="H47" i="5"/>
  <c r="G47" i="5"/>
  <c r="G46" i="5"/>
  <c r="H46" i="5" s="1"/>
  <c r="H45" i="5"/>
  <c r="G45" i="5"/>
  <c r="G44" i="5"/>
  <c r="H44" i="5" s="1"/>
  <c r="H43" i="5"/>
  <c r="G43" i="5"/>
  <c r="G42" i="5"/>
  <c r="H42" i="5" s="1"/>
  <c r="H41" i="5"/>
  <c r="G41" i="5"/>
  <c r="G40" i="5"/>
  <c r="H40" i="5" s="1"/>
  <c r="H39" i="5"/>
  <c r="G39" i="5"/>
  <c r="G38" i="5"/>
  <c r="H38" i="5" s="1"/>
  <c r="H37" i="5"/>
  <c r="G37" i="5"/>
  <c r="G36" i="5"/>
  <c r="H36" i="5" s="1"/>
  <c r="F35" i="5"/>
  <c r="G35" i="5" s="1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F28" i="5"/>
  <c r="F27" i="5"/>
  <c r="G27" i="5" s="1"/>
  <c r="H27" i="5" s="1"/>
  <c r="G26" i="5"/>
  <c r="G25" i="5"/>
  <c r="I25" i="5" s="1"/>
  <c r="I24" i="5"/>
  <c r="G24" i="5"/>
  <c r="G22" i="5"/>
  <c r="H22" i="5" s="1"/>
  <c r="H21" i="5"/>
  <c r="G21" i="5"/>
  <c r="G20" i="5"/>
  <c r="H20" i="5" s="1"/>
  <c r="H19" i="5"/>
  <c r="G19" i="5"/>
  <c r="F18" i="5"/>
  <c r="G18" i="5" s="1"/>
  <c r="H18" i="5" s="1"/>
  <c r="G17" i="5"/>
  <c r="H17" i="5" s="1"/>
  <c r="G16" i="5"/>
  <c r="H16" i="5" s="1"/>
  <c r="G15" i="5"/>
  <c r="H15" i="5" s="1"/>
  <c r="G14" i="5"/>
  <c r="H14" i="5" s="1"/>
  <c r="F14" i="5"/>
  <c r="F13" i="5"/>
  <c r="G13" i="5" s="1"/>
  <c r="H13" i="5" s="1"/>
  <c r="H127" i="5" s="1"/>
  <c r="G12" i="5"/>
  <c r="I12" i="5" s="1"/>
  <c r="G11" i="5"/>
  <c r="I11" i="5" s="1"/>
  <c r="G10" i="5"/>
  <c r="I10" i="5" s="1"/>
  <c r="G9" i="5"/>
  <c r="G127" i="5" s="1"/>
  <c r="I26" i="11" l="1"/>
  <c r="G33" i="10"/>
  <c r="G37" i="10" s="1"/>
  <c r="G36" i="10"/>
  <c r="H33" i="10"/>
  <c r="H37" i="10" s="1"/>
  <c r="H36" i="10"/>
  <c r="G40" i="7"/>
  <c r="G43" i="7" s="1"/>
  <c r="G42" i="7"/>
  <c r="H40" i="7"/>
  <c r="H43" i="7" s="1"/>
  <c r="H42" i="7"/>
  <c r="G128" i="5"/>
  <c r="G131" i="5" s="1"/>
  <c r="G130" i="5"/>
  <c r="H128" i="5"/>
  <c r="H131" i="5" s="1"/>
  <c r="H130" i="5"/>
  <c r="I9" i="5"/>
  <c r="I127" i="5" s="1"/>
  <c r="I130" i="5" l="1"/>
  <c r="I128" i="5"/>
  <c r="I131" i="5" s="1"/>
  <c r="D13" i="4" l="1"/>
  <c r="E8" i="4" s="1"/>
  <c r="E11" i="4" l="1"/>
  <c r="E10" i="4"/>
  <c r="E9" i="4"/>
  <c r="E20" i="3"/>
  <c r="E21" i="3"/>
  <c r="E22" i="3"/>
  <c r="E24" i="3"/>
  <c r="E10" i="3"/>
  <c r="E9" i="3"/>
  <c r="E8" i="3"/>
  <c r="E7" i="3"/>
  <c r="E11" i="3" l="1"/>
  <c r="H16" i="2" l="1"/>
  <c r="I16" i="2"/>
  <c r="F21" i="2"/>
  <c r="G18" i="2" l="1"/>
  <c r="F18" i="2"/>
  <c r="G16" i="2" l="1"/>
  <c r="G19" i="2"/>
  <c r="J18" i="2"/>
  <c r="F19" i="2"/>
  <c r="F16" i="2" s="1"/>
  <c r="J17" i="2"/>
  <c r="J19" i="2" l="1"/>
  <c r="J25" i="2"/>
  <c r="J24" i="2"/>
  <c r="F28" i="2"/>
  <c r="F23" i="2" s="1"/>
  <c r="F32" i="2"/>
  <c r="J31" i="2"/>
  <c r="J32" i="2"/>
  <c r="F30" i="2"/>
  <c r="F29" i="2" s="1"/>
  <c r="G29" i="2"/>
  <c r="H29" i="2"/>
  <c r="I29" i="2"/>
  <c r="G23" i="2"/>
  <c r="H23" i="2"/>
  <c r="I23" i="2"/>
  <c r="G11" i="2"/>
  <c r="J11" i="2" s="1"/>
  <c r="H9" i="2"/>
  <c r="F9" i="2"/>
  <c r="J14" i="2"/>
  <c r="J13" i="2"/>
  <c r="J12" i="2"/>
  <c r="J15" i="2"/>
  <c r="J20" i="2"/>
  <c r="J21" i="2"/>
  <c r="J22" i="2"/>
  <c r="J26" i="2"/>
  <c r="J27" i="2"/>
  <c r="J28" i="2"/>
  <c r="I10" i="2"/>
  <c r="I9" i="2" s="1"/>
  <c r="G10" i="2"/>
  <c r="J16" i="2" l="1"/>
  <c r="G9" i="2"/>
  <c r="G33" i="2" s="1"/>
  <c r="J30" i="2"/>
  <c r="J29" i="2" s="1"/>
  <c r="J10" i="2"/>
  <c r="J9" i="2" s="1"/>
  <c r="H33" i="2"/>
  <c r="I33" i="2"/>
  <c r="J23" i="2"/>
  <c r="F33" i="2"/>
  <c r="J33" i="2" l="1"/>
</calcChain>
</file>

<file path=xl/comments1.xml><?xml version="1.0" encoding="utf-8"?>
<comments xmlns="http://schemas.openxmlformats.org/spreadsheetml/2006/main">
  <authors>
    <author>Barbara-Tecnides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Barbara-Tecnides: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<sst xmlns="http://schemas.openxmlformats.org/spreadsheetml/2006/main" count="1229" uniqueCount="575">
  <si>
    <t>Actividades</t>
  </si>
  <si>
    <t>Tiempo (meses)</t>
  </si>
  <si>
    <t>Fuente de financiamiento</t>
  </si>
  <si>
    <t>Costo</t>
  </si>
  <si>
    <t>AEA</t>
  </si>
  <si>
    <t>Beneficiarios</t>
  </si>
  <si>
    <t>TECNIDES</t>
  </si>
  <si>
    <t>SENCICO</t>
  </si>
  <si>
    <t>1.-</t>
  </si>
  <si>
    <t>2.-</t>
  </si>
  <si>
    <t>4.-</t>
  </si>
  <si>
    <t>Consultorías</t>
  </si>
  <si>
    <t>Etapa I</t>
  </si>
  <si>
    <t>Etapa II</t>
  </si>
  <si>
    <t>Construcción de las viviendas climatizadas</t>
  </si>
  <si>
    <t>Etapa III</t>
  </si>
  <si>
    <t xml:space="preserve">3.- </t>
  </si>
  <si>
    <t>Trim 1</t>
  </si>
  <si>
    <t>Trim 2</t>
  </si>
  <si>
    <t>Trim 3</t>
  </si>
  <si>
    <t>Trim 4</t>
  </si>
  <si>
    <t>Trim 5</t>
  </si>
  <si>
    <t>XXXX</t>
  </si>
  <si>
    <t xml:space="preserve">Meta </t>
  </si>
  <si>
    <t>Manejo administrativo</t>
  </si>
  <si>
    <t xml:space="preserve">Cronograma de Actividades </t>
  </si>
  <si>
    <t xml:space="preserve">Financiamiento Proyecto por Fuente </t>
  </si>
  <si>
    <t>Fortalecimiento de la estructura organizacional</t>
  </si>
  <si>
    <t xml:space="preserve">Elaboración y difusión de materiales de promoción y difusión </t>
  </si>
  <si>
    <t>Fortalecimiento de Capacidades para captar subsidios internos y externos  (públicos o privados). Publicitario</t>
  </si>
  <si>
    <t>Construcción de vivienda  climatizada y unidades productivas</t>
  </si>
  <si>
    <t xml:space="preserve"> Replanteo participativo de los diseños de las viviendas a construirse</t>
  </si>
  <si>
    <t xml:space="preserve">Diseño y construcción de un prototipo a escala natural para el estudio de la técnica </t>
  </si>
  <si>
    <t>Código</t>
  </si>
  <si>
    <t xml:space="preserve">Validación  de  la Tecnología No Convencional de Construcción del Superadobe </t>
  </si>
  <si>
    <t>Capacitación teórico - practica en técnicas de construcción de Superadobe</t>
  </si>
  <si>
    <t>Elaboración del Expediente técnico correspondiente</t>
  </si>
  <si>
    <t>Evaluación integral del sistema constructivo  propuesto</t>
  </si>
  <si>
    <t>Obtención de la autorización  de la técnica constructiva del Superadobe</t>
  </si>
  <si>
    <t xml:space="preserve">Construcción  de Módulos Integrales de Vivienda del Superadobe  con el Uso de las Energías Renovables  </t>
  </si>
  <si>
    <t>Construcción de las unidades productivas de los clientes</t>
  </si>
  <si>
    <t>Construcción del almacén comunal de productos agrícolas</t>
  </si>
  <si>
    <t xml:space="preserve"> Monitoreo y pruebas de evaluación del módulo implementado</t>
  </si>
  <si>
    <t>Puesta en marcha el plan de negocios de la tecnología del Superadobe</t>
  </si>
  <si>
    <t>·Asistencia técnica personalizada</t>
  </si>
  <si>
    <t>Gestión del Proyecto</t>
  </si>
  <si>
    <t xml:space="preserve"> Elaboración de informes técnico financieros</t>
  </si>
  <si>
    <t>Experto americano</t>
  </si>
  <si>
    <t>Pasajes internaciones</t>
  </si>
  <si>
    <t>Cantidad</t>
  </si>
  <si>
    <t>P. Unit</t>
  </si>
  <si>
    <t>Total</t>
  </si>
  <si>
    <t>Viaticos</t>
  </si>
  <si>
    <t>Movilidad local</t>
  </si>
  <si>
    <t>Actividad 1.01</t>
  </si>
  <si>
    <t>Costos por actividad AEA</t>
  </si>
  <si>
    <t>Costos por actividad SENCICO</t>
  </si>
  <si>
    <t>Pasajes interprovinciales</t>
  </si>
  <si>
    <t>Alquiler local</t>
  </si>
  <si>
    <t>Material didactico</t>
  </si>
  <si>
    <t>Aporte Monetario</t>
  </si>
  <si>
    <t>Total S/.</t>
  </si>
  <si>
    <t>Cuadro 1</t>
  </si>
  <si>
    <t xml:space="preserve">COSTOS </t>
  </si>
  <si>
    <t>Total  US $</t>
  </si>
  <si>
    <t>Entidad Asociada 3</t>
  </si>
  <si>
    <t>Entidad Asociada 2</t>
  </si>
  <si>
    <t>Entidad Asociada 1</t>
  </si>
  <si>
    <t>Entidad Proponente</t>
  </si>
  <si>
    <t>Programa AEA (cofinanciamiento solicitado)</t>
  </si>
  <si>
    <t>Aporte (%)</t>
  </si>
  <si>
    <t>Aporte (US$)</t>
  </si>
  <si>
    <t>Descripción</t>
  </si>
  <si>
    <t xml:space="preserve">APORTE CONFINANCIAMIENTO POR FUENTE </t>
  </si>
  <si>
    <t>Cuadro 2</t>
  </si>
  <si>
    <t>Metrados y Costos Construcción Vivienda Superadobe 60 m2</t>
  </si>
  <si>
    <t xml:space="preserve"> </t>
  </si>
  <si>
    <t>Ítem</t>
  </si>
  <si>
    <t>Und.</t>
  </si>
  <si>
    <t>Cant.</t>
  </si>
  <si>
    <t>BENEF.</t>
  </si>
  <si>
    <t>1.0.0.</t>
  </si>
  <si>
    <t>ARQUITECTURA</t>
  </si>
  <si>
    <t>1.1.0</t>
  </si>
  <si>
    <t xml:space="preserve"> Muros y Tabiques De Albañilería</t>
  </si>
  <si>
    <t>1.1.1</t>
  </si>
  <si>
    <t xml:space="preserve">Tierra seleccionada y tamizada para Domo Sala </t>
  </si>
  <si>
    <t>m3</t>
  </si>
  <si>
    <t>1.1.2</t>
  </si>
  <si>
    <t>Tierra seleccionada y tamizada para Domo Dormitorio Principal, Dorm. Secundario y Cocina</t>
  </si>
  <si>
    <t>1.1.3</t>
  </si>
  <si>
    <t>Tierra seleccionada y tamizada para Domo Baño</t>
  </si>
  <si>
    <t>1.1.4</t>
  </si>
  <si>
    <t>Tierra seccionada y Tamizada para Domo Vestíbulo</t>
  </si>
  <si>
    <t>1.1.5</t>
  </si>
  <si>
    <t>Alambre de púas galvanizado x 200 metros</t>
  </si>
  <si>
    <t>Rollo</t>
  </si>
  <si>
    <t>1.1.6</t>
  </si>
  <si>
    <t>Bolsa Superadobe, 26" para Domo Sala</t>
  </si>
  <si>
    <t>kg</t>
  </si>
  <si>
    <t>1.1.7</t>
  </si>
  <si>
    <t>Bolsa Superadobe, 26" para Domo Dormitorio Principal, Dorm. Secundario y Cocina</t>
  </si>
  <si>
    <t>Kg</t>
  </si>
  <si>
    <t>1.1.8</t>
  </si>
  <si>
    <t>Bolsa Superadobe, 26" para Domo Baño</t>
  </si>
  <si>
    <t>1.1.9</t>
  </si>
  <si>
    <t>Bolsa Superadobe, 26" para Domo Vestíbulo</t>
  </si>
  <si>
    <t>1.1.10</t>
  </si>
  <si>
    <t xml:space="preserve">Aglutinante (cal o cemento) </t>
  </si>
  <si>
    <t>Bolsa</t>
  </si>
  <si>
    <t>1.1.11</t>
  </si>
  <si>
    <t>Vigas de Tornillo techo de Vestíbulo</t>
  </si>
  <si>
    <t>1.1.12</t>
  </si>
  <si>
    <t xml:space="preserve">Vigas de Tornillo mezanine </t>
  </si>
  <si>
    <t>1.1.13</t>
  </si>
  <si>
    <t>Columna madera rolliza Vestíbulo</t>
  </si>
  <si>
    <t xml:space="preserve">Und. </t>
  </si>
  <si>
    <t>1.1.14</t>
  </si>
  <si>
    <t>Columna madera rolliza mezanine (r=0.10 m)</t>
  </si>
  <si>
    <t>1.2.0</t>
  </si>
  <si>
    <t xml:space="preserve"> Revoques y Revestimientos</t>
  </si>
  <si>
    <t>1.2.1</t>
  </si>
  <si>
    <t xml:space="preserve"> Tarrajeo En Interiores</t>
  </si>
  <si>
    <t>m2</t>
  </si>
  <si>
    <t>1.2.2</t>
  </si>
  <si>
    <t xml:space="preserve"> Tarrajeo En Exteriores</t>
  </si>
  <si>
    <t>1.3.0</t>
  </si>
  <si>
    <t>Techos</t>
  </si>
  <si>
    <t>1.3.1</t>
  </si>
  <si>
    <t xml:space="preserve">Cubierta Onduline roja techo vestíbulo </t>
  </si>
  <si>
    <t>Planchas</t>
  </si>
  <si>
    <t>1.3.2</t>
  </si>
  <si>
    <t>Bolsa Protector Plástico Onduline Rojo/Marrón x 100 unid</t>
  </si>
  <si>
    <t>1.4.0</t>
  </si>
  <si>
    <t xml:space="preserve"> Pisos </t>
  </si>
  <si>
    <t>1.4.1</t>
  </si>
  <si>
    <t>Ladrillo king kong cocido</t>
  </si>
  <si>
    <t>1.4.2</t>
  </si>
  <si>
    <t>Loseta (Baño y Cocina)</t>
  </si>
  <si>
    <t>1.4.3</t>
  </si>
  <si>
    <t>Entablado de Tornillo de Mezanine</t>
  </si>
  <si>
    <t>1.4.4</t>
  </si>
  <si>
    <t>Piedra y/o bloqueta de concreto</t>
  </si>
  <si>
    <t>1.5.0</t>
  </si>
  <si>
    <t xml:space="preserve"> Coberturas</t>
  </si>
  <si>
    <t>1.5.1</t>
  </si>
  <si>
    <t xml:space="preserve"> Material Impermeabilizante exterior (Domo) Crystal x 25 kg</t>
  </si>
  <si>
    <t>Balde</t>
  </si>
  <si>
    <t>1.6.0</t>
  </si>
  <si>
    <t xml:space="preserve"> Carpintería De Madera</t>
  </si>
  <si>
    <t>1.6.1</t>
  </si>
  <si>
    <t>Puerta con aislante exterior</t>
  </si>
  <si>
    <t>1.6.2</t>
  </si>
  <si>
    <t xml:space="preserve"> Puertas dobles (habitaciones) contra placadas</t>
  </si>
  <si>
    <t>1.6.3</t>
  </si>
  <si>
    <t>Estantes de Sala en OSB</t>
  </si>
  <si>
    <t>1.6.4</t>
  </si>
  <si>
    <t>Anaqueles superiores cocina madera laminada</t>
  </si>
  <si>
    <t>1.6.5</t>
  </si>
  <si>
    <t xml:space="preserve">Anaqueles inferiores (barra de cocina) </t>
  </si>
  <si>
    <t>1.6.6</t>
  </si>
  <si>
    <t>Barra de cocina, madera laminada (e=0.05)</t>
  </si>
  <si>
    <t>1.6.7</t>
  </si>
  <si>
    <t>Tablero para escritorio (Dorm. Secundario)</t>
  </si>
  <si>
    <t>1.6.8</t>
  </si>
  <si>
    <t>Estantes Dormitorio Secundario en OSB</t>
  </si>
  <si>
    <t>1.6.9</t>
  </si>
  <si>
    <t>Cama Dormitorio Principal</t>
  </si>
  <si>
    <t>1.6.10</t>
  </si>
  <si>
    <t>Camarote Dormitorio Secundario (Con cajones closet debajo)</t>
  </si>
  <si>
    <t>Und</t>
  </si>
  <si>
    <t>1.6.11</t>
  </si>
  <si>
    <t>Estantes Dormitorio Principal en OSB</t>
  </si>
  <si>
    <t>1.6.12</t>
  </si>
  <si>
    <t>Bancas (r= 40cm.)</t>
  </si>
  <si>
    <t>ml</t>
  </si>
  <si>
    <t>1.6.13</t>
  </si>
  <si>
    <t xml:space="preserve"> Closet (Dorm. Principal)</t>
  </si>
  <si>
    <t>1.6.14</t>
  </si>
  <si>
    <t xml:space="preserve"> Escaleras de Madera a mezanine</t>
  </si>
  <si>
    <t>1.6.15</t>
  </si>
  <si>
    <t xml:space="preserve"> Baranda de mezanine</t>
  </si>
  <si>
    <t>1.7.0</t>
  </si>
  <si>
    <t xml:space="preserve"> Cerrajería</t>
  </si>
  <si>
    <t>1.7.1</t>
  </si>
  <si>
    <t>Bisagras capuchino de aluminio (puertas)</t>
  </si>
  <si>
    <t>1.7.2</t>
  </si>
  <si>
    <t>Cerraduras de aluminio (puertas)</t>
  </si>
  <si>
    <t>1.8.0</t>
  </si>
  <si>
    <t xml:space="preserve"> Vidrios, Cristales y Similares</t>
  </si>
  <si>
    <t>1.8.1</t>
  </si>
  <si>
    <t>Ventanas con cristal insulado aislante 65 cm x65 cm</t>
  </si>
  <si>
    <t>1.9.0</t>
  </si>
  <si>
    <t xml:space="preserve"> Pintura</t>
  </si>
  <si>
    <t>1.9.1</t>
  </si>
  <si>
    <t>Pintura de Interiores</t>
  </si>
  <si>
    <t>Galón</t>
  </si>
  <si>
    <t>1.9.2</t>
  </si>
  <si>
    <t>Pintura de Exteriores</t>
  </si>
  <si>
    <t>1.10.0</t>
  </si>
  <si>
    <t>Energía renovables (solar, biomasa y eólica)</t>
  </si>
  <si>
    <t>1.10.1</t>
  </si>
  <si>
    <t>Provisión de equipos del Sistema solar Fotovoltaico</t>
  </si>
  <si>
    <t>Unid.</t>
  </si>
  <si>
    <t>1.10.2</t>
  </si>
  <si>
    <t>Provisión de un equipo del sistema solar térmico</t>
  </si>
  <si>
    <t>1.10.3</t>
  </si>
  <si>
    <t>Extractor Eólico</t>
  </si>
  <si>
    <t>1.10.4</t>
  </si>
  <si>
    <t>Biodigestor 60 lts</t>
  </si>
  <si>
    <t>1.10.5</t>
  </si>
  <si>
    <t xml:space="preserve"> Otros</t>
  </si>
  <si>
    <t>1.10.6</t>
  </si>
  <si>
    <t>Lavadero de cerámica baño</t>
  </si>
  <si>
    <t>1.10.7</t>
  </si>
  <si>
    <t>Lavadero metal cocina un sola poza</t>
  </si>
  <si>
    <t>1.10.8</t>
  </si>
  <si>
    <t>Inodoro</t>
  </si>
  <si>
    <t>1.10.9</t>
  </si>
  <si>
    <t>Podio de ducha</t>
  </si>
  <si>
    <t>1.10.10</t>
  </si>
  <si>
    <t xml:space="preserve">Cocina a gas cuatro hornillas con horno </t>
  </si>
  <si>
    <t>1.10.11</t>
  </si>
  <si>
    <t>Mobiliario de sala en Superadobe</t>
  </si>
  <si>
    <t>1.10.12</t>
  </si>
  <si>
    <t>Canaleta para lluvias (para tejado)</t>
  </si>
  <si>
    <t>2.0.0.</t>
  </si>
  <si>
    <t>INSTALACIONES SANITARIAS (AGUA)</t>
  </si>
  <si>
    <t>2.1.0</t>
  </si>
  <si>
    <t>Salidas de Agua Fría</t>
  </si>
  <si>
    <t>2.1.1</t>
  </si>
  <si>
    <t>Grifería de lavatorio (baño)</t>
  </si>
  <si>
    <t>2.1.2</t>
  </si>
  <si>
    <t>Grifería de lavatorio (invernadero, sala máquinas, ducha vestíbulo)</t>
  </si>
  <si>
    <t>2.1.3</t>
  </si>
  <si>
    <t>Grifería tipo ganso y llave mezcladora (cocina)</t>
  </si>
  <si>
    <t>2.1.4</t>
  </si>
  <si>
    <t>Ducha cromada y llave mezcladora (ducha baño)</t>
  </si>
  <si>
    <t>2.2.0</t>
  </si>
  <si>
    <t>Red de alimentación de Agua Fría</t>
  </si>
  <si>
    <t>2.2.1</t>
  </si>
  <si>
    <t>Tubería para agua 1" PVC</t>
  </si>
  <si>
    <t>m</t>
  </si>
  <si>
    <t>2.3.0</t>
  </si>
  <si>
    <t>Accesorios de Red de Agua Fría</t>
  </si>
  <si>
    <t>2.3.1</t>
  </si>
  <si>
    <t>Tee 1" PVC</t>
  </si>
  <si>
    <t>2.3.2</t>
  </si>
  <si>
    <t>Codo 1" PVC</t>
  </si>
  <si>
    <t>2.4.0</t>
  </si>
  <si>
    <t>Válvulas</t>
  </si>
  <si>
    <t>2.4.1</t>
  </si>
  <si>
    <t>Válvula Globo</t>
  </si>
  <si>
    <t>2.4.2</t>
  </si>
  <si>
    <t>Válvula Check (General)</t>
  </si>
  <si>
    <t>2.5.0</t>
  </si>
  <si>
    <t>Equipos y otros accesorios</t>
  </si>
  <si>
    <t>2.5.1</t>
  </si>
  <si>
    <t>Tanque de agua</t>
  </si>
  <si>
    <t>2.5.2</t>
  </si>
  <si>
    <t>Bomba manual de agua</t>
  </si>
  <si>
    <t>3.0.0.</t>
  </si>
  <si>
    <t>INSTALACIONES SANITARIAS (DESAGÜE)</t>
  </si>
  <si>
    <t>3.1.0</t>
  </si>
  <si>
    <t>Salidas de desagüe</t>
  </si>
  <si>
    <t>3.1.1</t>
  </si>
  <si>
    <t>Trampa para lavatorio de baño</t>
  </si>
  <si>
    <t>3.1.2</t>
  </si>
  <si>
    <t>Trampa para lavadero de cocina</t>
  </si>
  <si>
    <t>3.1.3</t>
  </si>
  <si>
    <t>Trampa para duchas</t>
  </si>
  <si>
    <t>3.1.4</t>
  </si>
  <si>
    <t>Trampa para lavatorios (sala máquinas)</t>
  </si>
  <si>
    <t>3.1.5</t>
  </si>
  <si>
    <t>Sumideros (r=2 cm)</t>
  </si>
  <si>
    <t>3.1.6</t>
  </si>
  <si>
    <t>Trampa para inodoro 4"</t>
  </si>
  <si>
    <t>3.1.7</t>
  </si>
  <si>
    <t>Yee Sanitaria Simple 2" PVC</t>
  </si>
  <si>
    <t>3.1.8</t>
  </si>
  <si>
    <t>Yee Sanitaria Simple 4" PVC</t>
  </si>
  <si>
    <t>3.1.9</t>
  </si>
  <si>
    <t>Codo Sanitario Simple 2" PVC</t>
  </si>
  <si>
    <t>3.2.0</t>
  </si>
  <si>
    <t>Red de Derivación</t>
  </si>
  <si>
    <t>3.2.1</t>
  </si>
  <si>
    <t>Tubería PVC 2" x 5 m</t>
  </si>
  <si>
    <t>Tubos</t>
  </si>
  <si>
    <t>3.2.2</t>
  </si>
  <si>
    <t>Tubería PVC 4" x 5 m</t>
  </si>
  <si>
    <t>3.3.0</t>
  </si>
  <si>
    <t>Otros Elementos</t>
  </si>
  <si>
    <t>3.3.1</t>
  </si>
  <si>
    <t>Trampa para grasas</t>
  </si>
  <si>
    <t>3.3.2</t>
  </si>
  <si>
    <t>Cámara de preparación de sustancias para biogás</t>
  </si>
  <si>
    <t>4.0.0</t>
  </si>
  <si>
    <t>INSTALACIONES ELÉCTRICAS</t>
  </si>
  <si>
    <t>4.1.0</t>
  </si>
  <si>
    <t>Salida para iluminación</t>
  </si>
  <si>
    <t>4.1.1</t>
  </si>
  <si>
    <t>Salida de Centro de Iluminación (ambientes)</t>
  </si>
  <si>
    <t>4.2.0</t>
  </si>
  <si>
    <t>Salida de tomacorriente</t>
  </si>
  <si>
    <t>4.2.1</t>
  </si>
  <si>
    <t>Salida de tomacorrientes bipolares dobles 15A - 220V</t>
  </si>
  <si>
    <t>4.3.0</t>
  </si>
  <si>
    <t>Canalizaciones y/o Tuberías</t>
  </si>
  <si>
    <t>4.3.1</t>
  </si>
  <si>
    <t>Tubería eléctrica 15 mm.∅ PVC  x 3m</t>
  </si>
  <si>
    <t>4.4.0</t>
  </si>
  <si>
    <t>Conductores y/o cables</t>
  </si>
  <si>
    <t>4.4.1</t>
  </si>
  <si>
    <t>Línea con 3-1x2.5 mm2. TW (tendido aéreo, techo)</t>
  </si>
  <si>
    <t>4.4.2</t>
  </si>
  <si>
    <t>Línea con 3-1x2.5 mm2. TW (tendido suelo/paredes)</t>
  </si>
  <si>
    <t>4.5.0</t>
  </si>
  <si>
    <t>Cajas de paso</t>
  </si>
  <si>
    <t>4.5.1</t>
  </si>
  <si>
    <t>Caja de Paso FG-L 100x100x75 mm</t>
  </si>
  <si>
    <t>4.6.0</t>
  </si>
  <si>
    <t xml:space="preserve">Interruptores </t>
  </si>
  <si>
    <t>4.6.1</t>
  </si>
  <si>
    <t>Interruptor Thermomagnético Monofásica 2x20A</t>
  </si>
  <si>
    <t>4.6.2</t>
  </si>
  <si>
    <t>Interruptor Unipolar Simple</t>
  </si>
  <si>
    <t>4.7.0</t>
  </si>
  <si>
    <t>Sistema de Pozo a Tierra</t>
  </si>
  <si>
    <t>4.7.1</t>
  </si>
  <si>
    <t>Pozo de Tierra</t>
  </si>
  <si>
    <t>5.1.0</t>
  </si>
  <si>
    <t>Mano de obra construcción vivienda</t>
  </si>
  <si>
    <t>5.1.1</t>
  </si>
  <si>
    <t>Mano de obra en construcción vivienda</t>
  </si>
  <si>
    <t>Días</t>
  </si>
  <si>
    <t>Total US $</t>
  </si>
  <si>
    <t>Tipo Cambio: 1 US$= S/ 3.15</t>
  </si>
  <si>
    <t>S/.</t>
  </si>
  <si>
    <t>US $</t>
  </si>
  <si>
    <t>Precio Venta Ecodomo Superadobe</t>
  </si>
  <si>
    <t xml:space="preserve">Costos de Producción Ecodomo Superadobe m2 </t>
  </si>
  <si>
    <t>Costos de marketing  5  %</t>
  </si>
  <si>
    <t xml:space="preserve">Impuestos y tributos </t>
  </si>
  <si>
    <t>Subtotal  US $</t>
  </si>
  <si>
    <t>Utilidad  10 %</t>
  </si>
  <si>
    <t>Precios Venta x m2</t>
  </si>
  <si>
    <t xml:space="preserve">Precio venta modulo de 60 m2 </t>
  </si>
  <si>
    <t>Anexo 1</t>
  </si>
  <si>
    <t>Utilidad marginal que genera la vivienda del Superadobe</t>
  </si>
  <si>
    <t>Concepto</t>
  </si>
  <si>
    <t>Unidad</t>
  </si>
  <si>
    <t>N° Veces</t>
  </si>
  <si>
    <t>Costo Servicio S/.</t>
  </si>
  <si>
    <t>Monto S/</t>
  </si>
  <si>
    <t>1.- Costos médicos directos</t>
  </si>
  <si>
    <t xml:space="preserve">Consulta medica </t>
  </si>
  <si>
    <t>Consulta</t>
  </si>
  <si>
    <t>Medicamentos para IRAS</t>
  </si>
  <si>
    <t>Varios</t>
  </si>
  <si>
    <t>2. Costos Indirectos</t>
  </si>
  <si>
    <t>Pérdida jornada trabajo</t>
  </si>
  <si>
    <t>3. Costos no médicos</t>
  </si>
  <si>
    <t>Pasajes para traslado a Posta Medica o Centro Salud</t>
  </si>
  <si>
    <t>Viajes</t>
  </si>
  <si>
    <t xml:space="preserve">Alimentación </t>
  </si>
  <si>
    <t>Alojamiento</t>
  </si>
  <si>
    <t>Total Costos Familia Año</t>
  </si>
  <si>
    <t>* Datos obtenidos del CAS Conchamarca</t>
  </si>
  <si>
    <t>N° de personas por familia= 5 personas</t>
  </si>
  <si>
    <t>Cuadro 3</t>
  </si>
  <si>
    <t>Cuadro 4</t>
  </si>
  <si>
    <t>Metrados y Presupuesto Cobertizo de 120 m2</t>
  </si>
  <si>
    <t xml:space="preserve">Bolsa Superadobe, 26" para muros </t>
  </si>
  <si>
    <t xml:space="preserve">Tierra seleccionada y tamizada para Superadobe </t>
  </si>
  <si>
    <t>Bolsas</t>
  </si>
  <si>
    <t>Alambre de púas rollo x 200 mt</t>
  </si>
  <si>
    <t xml:space="preserve">Columna de madera rolliza sección circular  de 4" x 4 m </t>
  </si>
  <si>
    <t>Vigas de madera rolliza 4" x 6 m</t>
  </si>
  <si>
    <t>Vigas de madera rolliza  2" x 3 m</t>
  </si>
  <si>
    <t>Vigas de madera rolliza  2" x 2"</t>
  </si>
  <si>
    <t>Clavos de 2,5" con cabeza</t>
  </si>
  <si>
    <t>Clavos de 4" con cabeza</t>
  </si>
  <si>
    <t>Clavos  de 6" con cabeza</t>
  </si>
  <si>
    <t>Malla galvanizada 2" de cocada galvanizada</t>
  </si>
  <si>
    <t>Alambre galvanizado</t>
  </si>
  <si>
    <t xml:space="preserve"> Tarrajeo Interiores </t>
  </si>
  <si>
    <t xml:space="preserve"> Tarrajeo Exteriores </t>
  </si>
  <si>
    <t>Platinas de fierro en U 1/16" x 2"</t>
  </si>
  <si>
    <t xml:space="preserve">Tirafones de 1/4" x 2 </t>
  </si>
  <si>
    <t>Ciento</t>
  </si>
  <si>
    <t>1.3.3</t>
  </si>
  <si>
    <t>1.3.4</t>
  </si>
  <si>
    <t>Cumbrera  de Onduline roja x 50 cm</t>
  </si>
  <si>
    <t>1.3.5</t>
  </si>
  <si>
    <t>Bolsa Protector Plástico Onduline x 100 unid</t>
  </si>
  <si>
    <t xml:space="preserve"> Material Impermeabilizante exterior (Cobertizo) x 25 kg</t>
  </si>
  <si>
    <t>Baldes</t>
  </si>
  <si>
    <t xml:space="preserve"> Carpintería de Madera</t>
  </si>
  <si>
    <t>Puerta simple doble hoja de 1.90 m X 2.00 m</t>
  </si>
  <si>
    <t>1.5.2</t>
  </si>
  <si>
    <t>Puerta simple, doble hoja (Cobertizo corral)</t>
  </si>
  <si>
    <t>Mano de obra construcción cobertizo</t>
  </si>
  <si>
    <t>Precio Venta Cobertizo 120 m2 con Superadobe</t>
  </si>
  <si>
    <t>Costos de Producción Cobertizo 120 m2</t>
  </si>
  <si>
    <t xml:space="preserve">Precio venta modulo de 120 m2 </t>
  </si>
  <si>
    <t>Anexo 2</t>
  </si>
  <si>
    <t>Utilidad marginal que genera el cobertizo de ganado Ovino</t>
  </si>
  <si>
    <t>Productos</t>
  </si>
  <si>
    <t>Utilidad  con Producción Tradicional Ovinos Criollos</t>
  </si>
  <si>
    <t>Utilidad con Producción Tecnificada Ovinos Criollos</t>
  </si>
  <si>
    <t>Rendim</t>
  </si>
  <si>
    <t>Precio Unitario</t>
  </si>
  <si>
    <t>Ingreso  S/.</t>
  </si>
  <si>
    <t>Ingresos:</t>
  </si>
  <si>
    <t>Carcasa de ovino</t>
  </si>
  <si>
    <t>Kg/animal</t>
  </si>
  <si>
    <t>Lana de ovino</t>
  </si>
  <si>
    <t>Piel</t>
  </si>
  <si>
    <t>Estiercol -Bioabono</t>
  </si>
  <si>
    <t>Kg.</t>
  </si>
  <si>
    <t>Biogas</t>
  </si>
  <si>
    <t xml:space="preserve">                     Total S/.</t>
  </si>
  <si>
    <t>Costo Producción</t>
  </si>
  <si>
    <t>Control sanitario</t>
  </si>
  <si>
    <t>Animal</t>
  </si>
  <si>
    <t>Alimentación</t>
  </si>
  <si>
    <t>Mano de obra</t>
  </si>
  <si>
    <t>Mano de obra preparacion biobono y biogas</t>
  </si>
  <si>
    <t>Comercialización</t>
  </si>
  <si>
    <t>Costo producción</t>
  </si>
  <si>
    <t>Utilidad</t>
  </si>
  <si>
    <t>Cuadro 5</t>
  </si>
  <si>
    <t>Metrados y Presupuesto Invernadero de 50 m2</t>
  </si>
  <si>
    <t>Bolsa Superadobe, 26" para basamento Invernadero</t>
  </si>
  <si>
    <t>Alambre de púas</t>
  </si>
  <si>
    <t>Vigas de madera sección cuadrada de 4" x 6 m</t>
  </si>
  <si>
    <t>Viguetas de madera sección cuadrada  4" x 4 m</t>
  </si>
  <si>
    <t>Columna de madera sección cuadrada 4"x 4 m</t>
  </si>
  <si>
    <t>Columna de madera sección cuadrada 4" x 5 m</t>
  </si>
  <si>
    <t>Techos y paredes</t>
  </si>
  <si>
    <t xml:space="preserve">Cubierta Onduline traslucida </t>
  </si>
  <si>
    <t>Cumbrera  de Onduline traslucida x 50 cm</t>
  </si>
  <si>
    <t>1.2.3</t>
  </si>
  <si>
    <t xml:space="preserve"> Material Impermeabilizante exterior (Invernadero)</t>
  </si>
  <si>
    <t>Puertas simples, una hoja de 1.90 x 1.00 m</t>
  </si>
  <si>
    <t>Riego tecnificado</t>
  </si>
  <si>
    <t>Conducción agua a invernaderos con accesorios</t>
  </si>
  <si>
    <t>Unid</t>
  </si>
  <si>
    <t>Kit de riego presurizado invernadero por micro aspersión</t>
  </si>
  <si>
    <t>Mano de obra construcción invernadero</t>
  </si>
  <si>
    <t>Precio Venta Invernadero 50 m2 con Superadobe</t>
  </si>
  <si>
    <t>Costos de Producción Invernadero 50 m2</t>
  </si>
  <si>
    <t xml:space="preserve">Precio venta modulo de 50 m2  </t>
  </si>
  <si>
    <t>Anexo 3</t>
  </si>
  <si>
    <t>Utilidad marginal Excedentes que genera el Invernadero (cultivo de hortalizas</t>
  </si>
  <si>
    <t>N° Cosechas</t>
  </si>
  <si>
    <t>Ingreso Anual</t>
  </si>
  <si>
    <t>Ingreso por Cosecha  S/.</t>
  </si>
  <si>
    <t>Ingresos</t>
  </si>
  <si>
    <t>Lechuga</t>
  </si>
  <si>
    <t>uu</t>
  </si>
  <si>
    <t>Zanahoria</t>
  </si>
  <si>
    <t>Apio</t>
  </si>
  <si>
    <t>Acelgas</t>
  </si>
  <si>
    <t>Betarraga</t>
  </si>
  <si>
    <t>Cebolla</t>
  </si>
  <si>
    <t>Vainitas</t>
  </si>
  <si>
    <t>Tomate</t>
  </si>
  <si>
    <t>Pimiento</t>
  </si>
  <si>
    <t>Rocoto</t>
  </si>
  <si>
    <t>Costos producción promedio m2}</t>
  </si>
  <si>
    <t>Plántulas y/o semillas</t>
  </si>
  <si>
    <t>Bioabono y biol</t>
  </si>
  <si>
    <t>Plaguicidas</t>
  </si>
  <si>
    <t>Jornal</t>
  </si>
  <si>
    <t>Otros costos operativos</t>
  </si>
  <si>
    <t>Utilidad Marginal</t>
  </si>
  <si>
    <t>Cuadro 6</t>
  </si>
  <si>
    <t>Metrados y Costos Construcción del Almacén de 76 m2 y vivienda guardián de 30 m2</t>
  </si>
  <si>
    <t>Tierra para Superadobe (Almacén)</t>
  </si>
  <si>
    <t>Tierra para Superadobe (Domo)</t>
  </si>
  <si>
    <t>Bolsa Superadobe, 26" para Almacén</t>
  </si>
  <si>
    <t xml:space="preserve">Bolsa Superadobe, 26" para Domo </t>
  </si>
  <si>
    <t>Bolsa Superadobe, 26" vestíbulo Domo</t>
  </si>
  <si>
    <t>Concreto/Aglomerante (Domo)</t>
  </si>
  <si>
    <t>Concreto/Aglomerante (Almacén)</t>
  </si>
  <si>
    <t>Vigas de Tornillo</t>
  </si>
  <si>
    <t>Columna Madera rolliza Almacén (r=0.10)</t>
  </si>
  <si>
    <t>Tabiques para separar ambientes (almacén)</t>
  </si>
  <si>
    <t xml:space="preserve"> Tarrajeo En Interiores (Domo)</t>
  </si>
  <si>
    <t>Tarrajeo en Interiores (Almacén)</t>
  </si>
  <si>
    <t xml:space="preserve"> Tarrajeo En Exteriores (Almacén)</t>
  </si>
  <si>
    <t>Vigas de acero hueca semi circular (techo)</t>
  </si>
  <si>
    <t>Viguetas de acero sección en Z (techo)</t>
  </si>
  <si>
    <t>Bolsa Protector Onduline x 100 unid</t>
  </si>
  <si>
    <t>Cobertura</t>
  </si>
  <si>
    <t>Piso de ladrillo king kong cocido</t>
  </si>
  <si>
    <t>m1</t>
  </si>
  <si>
    <t>Malla de acero galvanizado (almacén)</t>
  </si>
  <si>
    <t xml:space="preserve"> Material Impermeabilizante exterior (Domo)</t>
  </si>
  <si>
    <t>1.5.3</t>
  </si>
  <si>
    <t xml:space="preserve"> Material Impermeabilizante exterior (Almacén)</t>
  </si>
  <si>
    <t>Puertas simples, doble hoja (habitaciones)</t>
  </si>
  <si>
    <t>Puertas simples, doble hoja (almacén)</t>
  </si>
  <si>
    <t>Anaqueles inferiores (barra de cocina) de pino</t>
  </si>
  <si>
    <t xml:space="preserve"> Vidrios, Cristales Y Similares</t>
  </si>
  <si>
    <t>Ventanas de cristal simple para almacén</t>
  </si>
  <si>
    <t>1.8.2</t>
  </si>
  <si>
    <t>Ventanas con cristal insulado aislante para domo</t>
  </si>
  <si>
    <t>Pintura de Interiores (Domo)</t>
  </si>
  <si>
    <t>Pintura de Exteriores (Domo)</t>
  </si>
  <si>
    <t>Biodigestor de 700 lts</t>
  </si>
  <si>
    <t>11.1.0</t>
  </si>
  <si>
    <t xml:space="preserve">Otros </t>
  </si>
  <si>
    <t>11.1.1</t>
  </si>
  <si>
    <t>11.1.2</t>
  </si>
  <si>
    <t>Lavadero metal cocina un solo lavadero</t>
  </si>
  <si>
    <t>11.1.3</t>
  </si>
  <si>
    <t>11.1.4</t>
  </si>
  <si>
    <t>Podio de ducha (almacén)</t>
  </si>
  <si>
    <t>11.1.5</t>
  </si>
  <si>
    <t>Canaleta para lluvias (Almacén)</t>
  </si>
  <si>
    <t>11.1.6</t>
  </si>
  <si>
    <t>Montantes para aguas de lluvia (almacén)</t>
  </si>
  <si>
    <t>Grifería de lavatorio (exterior, ducha vestíbulo)</t>
  </si>
  <si>
    <t>Tubería para agua 1/2" PVC</t>
  </si>
  <si>
    <t>2.2.2</t>
  </si>
  <si>
    <t>Tee 1/2" PVC</t>
  </si>
  <si>
    <t>2.3.3</t>
  </si>
  <si>
    <t>Codo 1/2" PVC</t>
  </si>
  <si>
    <t>2.3.4</t>
  </si>
  <si>
    <t>2.3.5</t>
  </si>
  <si>
    <t>Reducción PVC 1"-1/2"</t>
  </si>
  <si>
    <t>Yete Sanitaria Simple 2" PVC</t>
  </si>
  <si>
    <t>Yete Sanitaria Simple 4" PVC</t>
  </si>
  <si>
    <t>3.1.10</t>
  </si>
  <si>
    <t>Codo Sanitario Simple 4" PVC</t>
  </si>
  <si>
    <t>Tubería PVC 2"</t>
  </si>
  <si>
    <t>Tubería PVC 4"</t>
  </si>
  <si>
    <t>Tubería eléctrica 15 mm.∅ PVC</t>
  </si>
  <si>
    <t>Tablero de Distribución</t>
  </si>
  <si>
    <t xml:space="preserve">Tableros de Distribución Caja Metálica </t>
  </si>
  <si>
    <t>4.7.2</t>
  </si>
  <si>
    <t>4.8.0</t>
  </si>
  <si>
    <t>4.8.1</t>
  </si>
  <si>
    <t>Materiales y herramientas almacén</t>
  </si>
  <si>
    <t>Balanza de alta precisan de  250 kg</t>
  </si>
  <si>
    <t>5.1.2</t>
  </si>
  <si>
    <t xml:space="preserve">Mesa de trabajo de 3 m x 1.20 m x 0.90 m, </t>
  </si>
  <si>
    <t>5.1.3</t>
  </si>
  <si>
    <t>Jabas de plástico cosecheras x 20 kg</t>
  </si>
  <si>
    <t>5.1.4</t>
  </si>
  <si>
    <t>Pallets plástico 1.20 mm x 1.20m x1.50m (planta seco)</t>
  </si>
  <si>
    <t>5.1.5</t>
  </si>
  <si>
    <t>Carretilla Hidráulica de operación manual tipo Stock (planta seco)</t>
  </si>
  <si>
    <t>6.1.0</t>
  </si>
  <si>
    <t>6.1.1</t>
  </si>
  <si>
    <t>Precio Venta Almacén  con Superadobe</t>
  </si>
  <si>
    <t>Costos de Producción Almacén 76 m2</t>
  </si>
  <si>
    <t xml:space="preserve">Precio venta modulo de 76 m2 </t>
  </si>
  <si>
    <t>Anexo 4</t>
  </si>
  <si>
    <t>Utilidad marginal que genera el almacén comunal a los usuarios</t>
  </si>
  <si>
    <t>Producción TM</t>
  </si>
  <si>
    <t>Utilidad  sin almacén</t>
  </si>
  <si>
    <t>Utilidad con almacén</t>
  </si>
  <si>
    <t>Reducción Perdidas %</t>
  </si>
  <si>
    <t>Perdida S/.</t>
  </si>
  <si>
    <t>Producción papa nativa orgánica</t>
  </si>
  <si>
    <t>Tm</t>
  </si>
  <si>
    <t>Producción olluco orgánico</t>
  </si>
  <si>
    <t>Producción oca orgánica</t>
  </si>
  <si>
    <t>Costo producción papa nativa</t>
  </si>
  <si>
    <t>Costo producción olluco</t>
  </si>
  <si>
    <t>Costo producción oca</t>
  </si>
  <si>
    <t>Uso de equipos y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</si>
</sst>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#,##0.00;[Red]&quot;S/.&quot;\-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00FF"/>
      <name val="Arial Narrow"/>
      <family val="2"/>
    </font>
    <font>
      <b/>
      <sz val="10"/>
      <color theme="1"/>
      <name val="Arial"/>
      <family val="2"/>
    </font>
    <font>
      <sz val="9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Arial Narrow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27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0" xfId="0" applyNumberFormat="1"/>
    <xf numFmtId="2" fontId="10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right" vertical="center" wrapText="1"/>
    </xf>
    <xf numFmtId="0" fontId="11" fillId="0" borderId="3" xfId="0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justify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2" fontId="8" fillId="0" borderId="5" xfId="0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/>
    <xf numFmtId="0" fontId="15" fillId="2" borderId="1" xfId="1" applyFont="1" applyFill="1" applyBorder="1" applyAlignment="1">
      <alignment horizontal="center" vertical="center"/>
    </xf>
    <xf numFmtId="2" fontId="15" fillId="2" borderId="1" xfId="1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left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horizontal="center" vertical="center"/>
    </xf>
    <xf numFmtId="1" fontId="16" fillId="2" borderId="10" xfId="1" applyNumberFormat="1" applyFont="1" applyFill="1" applyBorder="1" applyAlignment="1">
      <alignment horizontal="center" vertical="center"/>
    </xf>
    <xf numFmtId="2" fontId="16" fillId="2" borderId="10" xfId="1" applyNumberFormat="1" applyFont="1" applyFill="1" applyBorder="1" applyAlignment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12" fillId="0" borderId="0" xfId="0" applyNumberFormat="1" applyFont="1"/>
    <xf numFmtId="0" fontId="0" fillId="0" borderId="0" xfId="0" applyBorder="1"/>
    <xf numFmtId="0" fontId="12" fillId="0" borderId="0" xfId="0" applyFont="1" applyBorder="1" applyAlignment="1">
      <alignment horizontal="center"/>
    </xf>
    <xf numFmtId="2" fontId="15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vertical="center"/>
    </xf>
    <xf numFmtId="2" fontId="16" fillId="2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/>
    <xf numFmtId="0" fontId="12" fillId="0" borderId="0" xfId="0" applyFont="1" applyFill="1" applyBorder="1"/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5" fillId="3" borderId="0" xfId="1" applyFont="1" applyFill="1" applyBorder="1" applyAlignment="1">
      <alignment vertical="center"/>
    </xf>
    <xf numFmtId="0" fontId="16" fillId="3" borderId="0" xfId="1" applyFont="1" applyFill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1" fontId="16" fillId="0" borderId="1" xfId="1" applyNumberFormat="1" applyFont="1" applyBorder="1" applyAlignment="1">
      <alignment horizontal="center" vertical="center"/>
    </xf>
    <xf numFmtId="2" fontId="16" fillId="0" borderId="1" xfId="1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6" fillId="0" borderId="1" xfId="1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center"/>
    </xf>
    <xf numFmtId="2" fontId="16" fillId="2" borderId="0" xfId="0" applyNumberFormat="1" applyFont="1" applyFill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1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12" fillId="0" borderId="0" xfId="0" applyNumberFormat="1" applyFont="1" applyFill="1" applyBorder="1"/>
    <xf numFmtId="0" fontId="22" fillId="0" borderId="0" xfId="0" applyFont="1" applyAlignment="1">
      <alignment horizontal="justify" vertical="center"/>
    </xf>
    <xf numFmtId="0" fontId="6" fillId="0" borderId="3" xfId="0" applyFont="1" applyBorder="1" applyAlignment="1">
      <alignment horizontal="justify" vertical="center" wrapText="1"/>
    </xf>
    <xf numFmtId="0" fontId="23" fillId="0" borderId="5" xfId="0" applyFont="1" applyBorder="1" applyAlignment="1">
      <alignment vertical="center" wrapText="1"/>
    </xf>
    <xf numFmtId="0" fontId="23" fillId="0" borderId="5" xfId="0" applyFont="1" applyBorder="1" applyAlignment="1">
      <alignment vertical="center"/>
    </xf>
    <xf numFmtId="2" fontId="23" fillId="0" borderId="5" xfId="0" applyNumberFormat="1" applyFont="1" applyBorder="1" applyAlignment="1">
      <alignment vertical="center" wrapText="1"/>
    </xf>
    <xf numFmtId="2" fontId="23" fillId="0" borderId="5" xfId="0" applyNumberFormat="1" applyFont="1" applyBorder="1" applyAlignment="1">
      <alignment vertical="center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2" fontId="7" fillId="0" borderId="5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23" fillId="0" borderId="0" xfId="0" applyFont="1"/>
    <xf numFmtId="0" fontId="7" fillId="0" borderId="4" xfId="0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right" vertical="center"/>
    </xf>
    <xf numFmtId="2" fontId="7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vertical="center"/>
    </xf>
    <xf numFmtId="8" fontId="1" fillId="0" borderId="0" xfId="0" applyNumberFormat="1" applyFont="1" applyAlignment="1">
      <alignment vertical="center"/>
    </xf>
    <xf numFmtId="8" fontId="0" fillId="0" borderId="0" xfId="0" applyNumberFormat="1"/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2" fontId="4" fillId="0" borderId="1" xfId="0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/>
    <xf numFmtId="0" fontId="4" fillId="0" borderId="1" xfId="0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2" fontId="10" fillId="0" borderId="1" xfId="0" applyNumberFormat="1" applyFont="1" applyFill="1" applyBorder="1"/>
    <xf numFmtId="2" fontId="4" fillId="0" borderId="1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2" fontId="10" fillId="0" borderId="0" xfId="0" applyNumberFormat="1" applyFont="1" applyAlignment="1">
      <alignment vertical="center"/>
    </xf>
    <xf numFmtId="0" fontId="26" fillId="0" borderId="0" xfId="1" applyFont="1" applyBorder="1" applyAlignment="1">
      <alignment horizont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vertical="center"/>
    </xf>
    <xf numFmtId="2" fontId="27" fillId="2" borderId="1" xfId="0" applyNumberFormat="1" applyFont="1" applyFill="1" applyBorder="1" applyAlignment="1">
      <alignment horizontal="center" vertical="center"/>
    </xf>
    <xf numFmtId="2" fontId="13" fillId="2" borderId="1" xfId="1" applyNumberFormat="1" applyFill="1" applyBorder="1" applyAlignment="1">
      <alignment horizontal="center" vertical="center"/>
    </xf>
    <xf numFmtId="2" fontId="13" fillId="2" borderId="1" xfId="1" applyNumberFormat="1" applyFill="1" applyBorder="1" applyAlignment="1">
      <alignment horizontal="right" vertical="center"/>
    </xf>
    <xf numFmtId="0" fontId="13" fillId="0" borderId="0" xfId="1"/>
    <xf numFmtId="2" fontId="0" fillId="2" borderId="1" xfId="0" applyNumberFormat="1" applyFill="1" applyBorder="1" applyAlignment="1">
      <alignment horizontal="center" vertical="center"/>
    </xf>
    <xf numFmtId="1" fontId="13" fillId="2" borderId="1" xfId="1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right" vertical="center"/>
    </xf>
    <xf numFmtId="0" fontId="13" fillId="0" borderId="0" xfId="1" applyFont="1"/>
    <xf numFmtId="2" fontId="27" fillId="2" borderId="1" xfId="0" applyNumberFormat="1" applyFont="1" applyFill="1" applyBorder="1" applyAlignment="1">
      <alignment vertical="center"/>
    </xf>
    <xf numFmtId="2" fontId="13" fillId="2" borderId="1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horizontal="right" vertical="center"/>
    </xf>
    <xf numFmtId="2" fontId="27" fillId="2" borderId="1" xfId="0" applyNumberFormat="1" applyFont="1" applyFill="1" applyBorder="1" applyAlignment="1">
      <alignment horizontal="left" vertical="center"/>
    </xf>
    <xf numFmtId="0" fontId="13" fillId="0" borderId="0" xfId="1" applyBorder="1"/>
    <xf numFmtId="2" fontId="26" fillId="2" borderId="1" xfId="0" applyNumberFormat="1" applyFont="1" applyFill="1" applyBorder="1" applyAlignment="1">
      <alignment horizontal="left" vertical="center"/>
    </xf>
    <xf numFmtId="2" fontId="13" fillId="2" borderId="1" xfId="0" applyNumberFormat="1" applyFont="1" applyFill="1" applyBorder="1" applyAlignment="1">
      <alignment horizontal="left" vertical="center"/>
    </xf>
    <xf numFmtId="2" fontId="28" fillId="2" borderId="1" xfId="0" applyNumberFormat="1" applyFont="1" applyFill="1" applyBorder="1" applyAlignment="1">
      <alignment vertical="center"/>
    </xf>
    <xf numFmtId="1" fontId="28" fillId="2" borderId="1" xfId="0" applyNumberFormat="1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6" fillId="2" borderId="1" xfId="0" applyNumberFormat="1" applyFont="1" applyFill="1" applyBorder="1" applyAlignment="1">
      <alignment horizontal="left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right" vertical="center"/>
    </xf>
    <xf numFmtId="2" fontId="28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right" vertical="center"/>
    </xf>
    <xf numFmtId="2" fontId="9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right" vertical="center"/>
    </xf>
    <xf numFmtId="2" fontId="12" fillId="2" borderId="1" xfId="0" applyNumberFormat="1" applyFont="1" applyFill="1" applyBorder="1" applyAlignment="1">
      <alignment vertical="center"/>
    </xf>
    <xf numFmtId="2" fontId="29" fillId="0" borderId="1" xfId="0" applyNumberFormat="1" applyFont="1" applyBorder="1" applyAlignment="1">
      <alignment vertical="center" wrapText="1"/>
    </xf>
    <xf numFmtId="2" fontId="30" fillId="0" borderId="1" xfId="0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2" fontId="30" fillId="0" borderId="1" xfId="0" applyNumberFormat="1" applyFont="1" applyBorder="1" applyAlignment="1">
      <alignment horizontal="right" vertical="center"/>
    </xf>
    <xf numFmtId="2" fontId="30" fillId="4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12" fillId="0" borderId="0" xfId="0" applyNumberFormat="1" applyFont="1" applyBorder="1"/>
    <xf numFmtId="0" fontId="6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0" fillId="0" borderId="1" xfId="0" applyBorder="1"/>
    <xf numFmtId="2" fontId="23" fillId="0" borderId="1" xfId="0" applyNumberFormat="1" applyFont="1" applyBorder="1" applyAlignment="1">
      <alignment vertical="center" wrapText="1"/>
    </xf>
    <xf numFmtId="2" fontId="23" fillId="0" borderId="1" xfId="0" applyNumberFormat="1" applyFont="1" applyBorder="1" applyAlignment="1">
      <alignment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horizontal="right" vertical="center"/>
    </xf>
    <xf numFmtId="0" fontId="23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right" vertical="center"/>
    </xf>
    <xf numFmtId="0" fontId="12" fillId="0" borderId="1" xfId="0" applyFont="1" applyBorder="1"/>
    <xf numFmtId="2" fontId="6" fillId="0" borderId="11" xfId="0" applyNumberFormat="1" applyFont="1" applyBorder="1" applyAlignment="1">
      <alignment vertical="center"/>
    </xf>
    <xf numFmtId="0" fontId="0" fillId="0" borderId="13" xfId="0" applyBorder="1"/>
    <xf numFmtId="2" fontId="6" fillId="0" borderId="1" xfId="0" applyNumberFormat="1" applyFont="1" applyBorder="1" applyAlignment="1">
      <alignment vertical="center"/>
    </xf>
    <xf numFmtId="0" fontId="0" fillId="0" borderId="0" xfId="0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14" fillId="2" borderId="0" xfId="1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wrapText="1"/>
    </xf>
    <xf numFmtId="0" fontId="19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0"/>
  <sheetViews>
    <sheetView topLeftCell="A13" workbookViewId="0">
      <selection activeCell="E33" sqref="E33"/>
    </sheetView>
  </sheetViews>
  <sheetFormatPr baseColWidth="10" defaultRowHeight="15" x14ac:dyDescent="0.25"/>
  <cols>
    <col min="2" max="2" width="8.7109375" customWidth="1"/>
    <col min="3" max="3" width="66.42578125" customWidth="1"/>
    <col min="4" max="4" width="11" customWidth="1"/>
    <col min="5" max="5" width="13.7109375" customWidth="1"/>
    <col min="6" max="10" width="7.85546875" customWidth="1"/>
    <col min="12" max="12" width="13.42578125" customWidth="1"/>
    <col min="13" max="13" width="33.42578125" customWidth="1"/>
  </cols>
  <sheetData>
    <row r="1" spans="2:10" ht="16.5" x14ac:dyDescent="0.3">
      <c r="B1" s="2" t="s">
        <v>62</v>
      </c>
      <c r="C1" s="2"/>
      <c r="D1" s="43">
        <v>0</v>
      </c>
      <c r="E1" s="43"/>
      <c r="F1" s="43"/>
      <c r="G1" s="43"/>
      <c r="H1" s="43"/>
      <c r="I1" s="43"/>
      <c r="J1" s="43"/>
    </row>
    <row r="2" spans="2:10" ht="16.5" x14ac:dyDescent="0.3">
      <c r="B2" s="2" t="s">
        <v>25</v>
      </c>
      <c r="C2" s="2"/>
      <c r="D2" s="43"/>
      <c r="E2" s="43"/>
      <c r="F2" s="43"/>
      <c r="G2" s="43"/>
      <c r="H2" s="43"/>
      <c r="I2" s="43"/>
      <c r="J2" s="43"/>
    </row>
    <row r="3" spans="2:10" ht="17.25" thickBot="1" x14ac:dyDescent="0.35">
      <c r="B3" s="43"/>
      <c r="C3" s="43"/>
      <c r="D3" s="43"/>
      <c r="E3" s="43"/>
      <c r="F3" s="43"/>
      <c r="G3" s="43"/>
      <c r="H3" s="43"/>
      <c r="I3" s="43"/>
      <c r="J3" s="43"/>
    </row>
    <row r="4" spans="2:10" ht="17.25" customHeight="1" thickBot="1" x14ac:dyDescent="0.3">
      <c r="B4" s="247" t="s">
        <v>33</v>
      </c>
      <c r="C4" s="247" t="s">
        <v>0</v>
      </c>
      <c r="D4" s="247" t="s">
        <v>1</v>
      </c>
      <c r="E4" s="247" t="s">
        <v>23</v>
      </c>
      <c r="F4" s="249" t="s">
        <v>2</v>
      </c>
      <c r="G4" s="250"/>
      <c r="H4" s="250"/>
      <c r="I4" s="250"/>
      <c r="J4" s="251"/>
    </row>
    <row r="5" spans="2:10" ht="15.75" customHeight="1" thickBot="1" x14ac:dyDescent="0.3">
      <c r="B5" s="248"/>
      <c r="C5" s="248"/>
      <c r="D5" s="248"/>
      <c r="E5" s="248"/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</row>
    <row r="6" spans="2:10" ht="17.25" thickBot="1" x14ac:dyDescent="0.3">
      <c r="B6" s="3" t="s">
        <v>8</v>
      </c>
      <c r="C6" s="4" t="s">
        <v>12</v>
      </c>
      <c r="D6" s="4"/>
      <c r="E6" s="4"/>
      <c r="F6" s="5"/>
      <c r="G6" s="5"/>
      <c r="H6" s="5"/>
      <c r="I6" s="5"/>
      <c r="J6" s="5"/>
    </row>
    <row r="7" spans="2:10" ht="33.75" thickBot="1" x14ac:dyDescent="0.35">
      <c r="B7" s="3" t="s">
        <v>8</v>
      </c>
      <c r="C7" s="4" t="s">
        <v>34</v>
      </c>
      <c r="D7" s="4"/>
      <c r="E7" s="43"/>
      <c r="F7" s="6"/>
      <c r="G7" s="7"/>
      <c r="H7" s="7"/>
      <c r="I7" s="8"/>
      <c r="J7" s="8"/>
    </row>
    <row r="8" spans="2:10" ht="21" customHeight="1" thickBot="1" x14ac:dyDescent="0.3">
      <c r="B8" s="9">
        <v>1.01</v>
      </c>
      <c r="C8" s="10" t="s">
        <v>35</v>
      </c>
      <c r="D8" s="7">
        <v>1</v>
      </c>
      <c r="E8" s="11">
        <v>1</v>
      </c>
      <c r="F8" s="7" t="s">
        <v>22</v>
      </c>
      <c r="G8" s="7"/>
      <c r="H8" s="7"/>
      <c r="I8" s="7"/>
      <c r="J8" s="7"/>
    </row>
    <row r="9" spans="2:10" ht="16.5" customHeight="1" thickBot="1" x14ac:dyDescent="0.3">
      <c r="B9" s="9">
        <v>1.02</v>
      </c>
      <c r="C9" s="10" t="s">
        <v>32</v>
      </c>
      <c r="D9" s="7">
        <v>2</v>
      </c>
      <c r="E9" s="7">
        <v>1</v>
      </c>
      <c r="F9" s="7" t="s">
        <v>22</v>
      </c>
      <c r="G9" s="7"/>
      <c r="H9" s="7"/>
      <c r="I9" s="7"/>
      <c r="J9" s="7"/>
    </row>
    <row r="10" spans="2:10" ht="17.25" thickBot="1" x14ac:dyDescent="0.3">
      <c r="B10" s="9">
        <v>1.03</v>
      </c>
      <c r="C10" s="18" t="s">
        <v>36</v>
      </c>
      <c r="D10" s="13">
        <v>4</v>
      </c>
      <c r="E10" s="7">
        <v>1</v>
      </c>
      <c r="F10" s="7" t="s">
        <v>22</v>
      </c>
      <c r="G10" s="7" t="s">
        <v>22</v>
      </c>
      <c r="H10" s="7"/>
      <c r="I10" s="7"/>
      <c r="J10" s="7"/>
    </row>
    <row r="11" spans="2:10" ht="17.25" thickBot="1" x14ac:dyDescent="0.3">
      <c r="B11" s="9">
        <v>1.04</v>
      </c>
      <c r="C11" s="14" t="s">
        <v>37</v>
      </c>
      <c r="D11" s="7">
        <v>3</v>
      </c>
      <c r="E11" s="7">
        <v>1</v>
      </c>
      <c r="F11" s="7"/>
      <c r="G11" s="7" t="s">
        <v>22</v>
      </c>
      <c r="H11" s="7"/>
      <c r="I11" s="7"/>
      <c r="J11" s="7"/>
    </row>
    <row r="12" spans="2:10" ht="23.25" customHeight="1" thickBot="1" x14ac:dyDescent="0.3">
      <c r="B12" s="9">
        <v>1.05</v>
      </c>
      <c r="C12" s="10" t="s">
        <v>38</v>
      </c>
      <c r="D12" s="7">
        <v>3</v>
      </c>
      <c r="E12" s="7">
        <v>1</v>
      </c>
      <c r="F12" s="7"/>
      <c r="G12" s="7" t="s">
        <v>22</v>
      </c>
      <c r="H12" s="7"/>
      <c r="I12" s="7"/>
      <c r="J12" s="7"/>
    </row>
    <row r="13" spans="2:10" ht="17.25" thickBot="1" x14ac:dyDescent="0.3">
      <c r="B13" s="15"/>
      <c r="C13" s="16" t="s">
        <v>13</v>
      </c>
      <c r="D13" s="8"/>
      <c r="E13" s="8"/>
      <c r="F13" s="7"/>
      <c r="G13" s="7"/>
      <c r="H13" s="7"/>
      <c r="I13" s="7"/>
      <c r="J13" s="7"/>
    </row>
    <row r="14" spans="2:10" ht="33.75" thickBot="1" x14ac:dyDescent="0.3">
      <c r="B14" s="3" t="s">
        <v>9</v>
      </c>
      <c r="C14" s="17" t="s">
        <v>39</v>
      </c>
      <c r="D14" s="7"/>
      <c r="E14" s="7"/>
      <c r="F14" s="7"/>
      <c r="G14" s="7"/>
      <c r="H14" s="7"/>
      <c r="I14" s="7"/>
      <c r="J14" s="7"/>
    </row>
    <row r="15" spans="2:10" ht="18.75" customHeight="1" thickBot="1" x14ac:dyDescent="0.3">
      <c r="B15" s="9">
        <v>2.0099999999999998</v>
      </c>
      <c r="C15" s="10" t="s">
        <v>31</v>
      </c>
      <c r="D15" s="7">
        <v>1</v>
      </c>
      <c r="E15" s="7">
        <v>1</v>
      </c>
      <c r="F15" s="7" t="s">
        <v>22</v>
      </c>
      <c r="G15" s="7"/>
      <c r="H15" s="7"/>
      <c r="I15" s="7"/>
      <c r="J15" s="7"/>
    </row>
    <row r="16" spans="2:10" ht="17.25" thickBot="1" x14ac:dyDescent="0.3">
      <c r="B16" s="9">
        <v>2.02</v>
      </c>
      <c r="C16" s="10" t="s">
        <v>14</v>
      </c>
      <c r="D16" s="7">
        <v>9</v>
      </c>
      <c r="E16" s="7">
        <v>3</v>
      </c>
      <c r="F16" s="7" t="s">
        <v>22</v>
      </c>
      <c r="G16" s="7" t="s">
        <v>22</v>
      </c>
      <c r="H16" s="7" t="s">
        <v>22</v>
      </c>
      <c r="I16" s="44"/>
      <c r="J16" s="13"/>
    </row>
    <row r="17" spans="2:10" ht="17.25" thickBot="1" x14ac:dyDescent="0.3">
      <c r="B17" s="9">
        <v>2.0299999999999998</v>
      </c>
      <c r="C17" s="18" t="s">
        <v>40</v>
      </c>
      <c r="D17" s="13">
        <v>6</v>
      </c>
      <c r="E17" s="7">
        <v>3</v>
      </c>
      <c r="F17" s="7"/>
      <c r="G17" s="7"/>
      <c r="H17" s="7" t="s">
        <v>22</v>
      </c>
      <c r="I17" s="11" t="s">
        <v>22</v>
      </c>
      <c r="J17" s="7"/>
    </row>
    <row r="18" spans="2:10" ht="17.25" thickBot="1" x14ac:dyDescent="0.3">
      <c r="B18" s="9">
        <v>2.04</v>
      </c>
      <c r="C18" s="14" t="s">
        <v>41</v>
      </c>
      <c r="D18" s="7">
        <v>9</v>
      </c>
      <c r="E18" s="7">
        <v>1</v>
      </c>
      <c r="F18" s="7"/>
      <c r="G18" s="7" t="s">
        <v>22</v>
      </c>
      <c r="H18" s="7" t="s">
        <v>22</v>
      </c>
      <c r="I18" s="7" t="s">
        <v>22</v>
      </c>
      <c r="J18" s="7"/>
    </row>
    <row r="19" spans="2:10" ht="17.25" thickBot="1" x14ac:dyDescent="0.3">
      <c r="B19" s="9">
        <v>2.0499999999999998</v>
      </c>
      <c r="C19" s="10" t="s">
        <v>42</v>
      </c>
      <c r="D19" s="7">
        <v>14</v>
      </c>
      <c r="E19" s="7">
        <v>14</v>
      </c>
      <c r="F19" s="7"/>
      <c r="G19" s="7" t="s">
        <v>22</v>
      </c>
      <c r="H19" s="7" t="s">
        <v>22</v>
      </c>
      <c r="I19" s="7" t="s">
        <v>22</v>
      </c>
      <c r="J19" s="7" t="s">
        <v>22</v>
      </c>
    </row>
    <row r="20" spans="2:10" ht="17.25" thickBot="1" x14ac:dyDescent="0.3">
      <c r="B20" s="9"/>
      <c r="C20" s="19" t="s">
        <v>15</v>
      </c>
      <c r="D20" s="6"/>
      <c r="E20" s="8"/>
      <c r="F20" s="20"/>
      <c r="G20" s="7"/>
      <c r="H20" s="7"/>
      <c r="I20" s="7"/>
      <c r="J20" s="7"/>
    </row>
    <row r="21" spans="2:10" ht="17.25" thickBot="1" x14ac:dyDescent="0.3">
      <c r="B21" s="3" t="s">
        <v>16</v>
      </c>
      <c r="C21" s="21" t="s">
        <v>43</v>
      </c>
      <c r="D21" s="8"/>
      <c r="E21" s="8"/>
      <c r="F21" s="20"/>
      <c r="G21" s="7"/>
      <c r="H21" s="7"/>
      <c r="I21" s="7"/>
      <c r="J21" s="7"/>
    </row>
    <row r="22" spans="2:10" ht="17.25" thickBot="1" x14ac:dyDescent="0.3">
      <c r="B22" s="9">
        <v>3.01</v>
      </c>
      <c r="C22" s="10" t="s">
        <v>27</v>
      </c>
      <c r="D22" s="7">
        <v>9</v>
      </c>
      <c r="E22" s="7">
        <v>3</v>
      </c>
      <c r="F22" s="20" t="s">
        <v>22</v>
      </c>
      <c r="G22" s="7" t="s">
        <v>22</v>
      </c>
      <c r="H22" s="7" t="s">
        <v>22</v>
      </c>
      <c r="I22" s="7"/>
      <c r="J22" s="7"/>
    </row>
    <row r="23" spans="2:10" ht="17.25" thickBot="1" x14ac:dyDescent="0.3">
      <c r="B23" s="9">
        <v>3.02</v>
      </c>
      <c r="C23" s="10" t="s">
        <v>28</v>
      </c>
      <c r="D23" s="7">
        <v>6</v>
      </c>
      <c r="E23" s="7">
        <v>7</v>
      </c>
      <c r="F23" s="7" t="s">
        <v>22</v>
      </c>
      <c r="G23" s="7" t="s">
        <v>22</v>
      </c>
      <c r="H23" s="7"/>
      <c r="I23" s="7"/>
      <c r="J23" s="7"/>
    </row>
    <row r="24" spans="2:10" ht="33.75" thickBot="1" x14ac:dyDescent="0.3">
      <c r="B24" s="9">
        <v>3.03</v>
      </c>
      <c r="C24" s="10" t="s">
        <v>29</v>
      </c>
      <c r="D24" s="7">
        <v>9</v>
      </c>
      <c r="E24" s="7">
        <v>1</v>
      </c>
      <c r="F24" s="20"/>
      <c r="G24" s="7" t="s">
        <v>22</v>
      </c>
      <c r="H24" s="7" t="s">
        <v>22</v>
      </c>
      <c r="I24" s="7" t="s">
        <v>22</v>
      </c>
      <c r="J24" s="7"/>
    </row>
    <row r="25" spans="2:10" ht="17.25" thickBot="1" x14ac:dyDescent="0.3">
      <c r="B25" s="9">
        <v>3.04</v>
      </c>
      <c r="C25" s="10" t="s">
        <v>30</v>
      </c>
      <c r="D25" s="7">
        <v>9</v>
      </c>
      <c r="E25" s="7">
        <v>50</v>
      </c>
      <c r="F25" s="20"/>
      <c r="G25" s="20"/>
      <c r="H25" s="20" t="s">
        <v>22</v>
      </c>
      <c r="I25" s="20" t="s">
        <v>22</v>
      </c>
      <c r="J25" s="20" t="s">
        <v>22</v>
      </c>
    </row>
    <row r="26" spans="2:10" ht="17.25" thickBot="1" x14ac:dyDescent="0.3">
      <c r="B26" s="9">
        <v>3.05</v>
      </c>
      <c r="C26" s="10" t="s">
        <v>44</v>
      </c>
      <c r="D26" s="7">
        <v>14</v>
      </c>
      <c r="E26" s="7">
        <v>14</v>
      </c>
      <c r="F26" s="20"/>
      <c r="G26" s="7" t="s">
        <v>22</v>
      </c>
      <c r="H26" s="7" t="s">
        <v>22</v>
      </c>
      <c r="I26" s="20" t="s">
        <v>22</v>
      </c>
      <c r="J26" s="20" t="s">
        <v>22</v>
      </c>
    </row>
    <row r="27" spans="2:10" ht="17.25" thickBot="1" x14ac:dyDescent="0.3">
      <c r="B27" s="3" t="s">
        <v>10</v>
      </c>
      <c r="C27" s="22" t="s">
        <v>45</v>
      </c>
      <c r="D27" s="7"/>
      <c r="E27" s="7"/>
      <c r="F27" s="20"/>
      <c r="G27" s="7"/>
      <c r="H27" s="7"/>
      <c r="I27" s="7"/>
      <c r="J27" s="7"/>
    </row>
    <row r="28" spans="2:10" ht="17.25" thickBot="1" x14ac:dyDescent="0.3">
      <c r="B28" s="9">
        <v>4.01</v>
      </c>
      <c r="C28" s="8" t="s">
        <v>11</v>
      </c>
      <c r="D28" s="7">
        <v>14</v>
      </c>
      <c r="E28" s="7">
        <v>5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</row>
    <row r="29" spans="2:10" ht="17.25" thickBot="1" x14ac:dyDescent="0.3">
      <c r="B29" s="9">
        <v>4.0199999999999996</v>
      </c>
      <c r="C29" s="8" t="s">
        <v>46</v>
      </c>
      <c r="D29" s="7">
        <v>5</v>
      </c>
      <c r="E29" s="7">
        <v>5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</row>
    <row r="30" spans="2:10" ht="17.25" thickBot="1" x14ac:dyDescent="0.3">
      <c r="B30" s="9">
        <v>4.03</v>
      </c>
      <c r="C30" s="8" t="s">
        <v>24</v>
      </c>
      <c r="D30" s="7">
        <v>5</v>
      </c>
      <c r="E30" s="7">
        <v>5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</row>
  </sheetData>
  <mergeCells count="5">
    <mergeCell ref="B4:B5"/>
    <mergeCell ref="C4:C5"/>
    <mergeCell ref="D4:D5"/>
    <mergeCell ref="E4:E5"/>
    <mergeCell ref="F4:J4"/>
  </mergeCells>
  <printOptions horizontalCentered="1" verticalCentered="1"/>
  <pageMargins left="0" right="0" top="0.55118110236220474" bottom="0.35433070866141736" header="0.31496062992125984" footer="0.31496062992125984"/>
  <pageSetup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2"/>
  <sheetViews>
    <sheetView workbookViewId="0">
      <selection activeCell="C25" sqref="C25"/>
    </sheetView>
  </sheetViews>
  <sheetFormatPr baseColWidth="10" defaultRowHeight="15" x14ac:dyDescent="0.25"/>
  <cols>
    <col min="3" max="3" width="31" customWidth="1"/>
  </cols>
  <sheetData>
    <row r="4" spans="3:13" ht="16.5" x14ac:dyDescent="0.3">
      <c r="C4" s="2" t="s">
        <v>560</v>
      </c>
    </row>
    <row r="5" spans="3:13" ht="16.5" x14ac:dyDescent="0.25">
      <c r="C5" s="103" t="s">
        <v>561</v>
      </c>
      <c r="D5" s="104"/>
    </row>
    <row r="6" spans="3:13" x14ac:dyDescent="0.25">
      <c r="C6" s="105"/>
      <c r="D6" s="105"/>
    </row>
    <row r="7" spans="3:13" ht="16.5" x14ac:dyDescent="0.25">
      <c r="C7" s="254" t="s">
        <v>407</v>
      </c>
      <c r="D7" s="254" t="s">
        <v>350</v>
      </c>
      <c r="E7" s="254" t="s">
        <v>562</v>
      </c>
      <c r="F7" s="254" t="s">
        <v>563</v>
      </c>
      <c r="G7" s="254"/>
      <c r="H7" s="254"/>
      <c r="I7" s="254"/>
      <c r="J7" s="254" t="s">
        <v>564</v>
      </c>
      <c r="K7" s="254"/>
      <c r="L7" s="254"/>
      <c r="M7" s="254"/>
    </row>
    <row r="8" spans="3:13" ht="33" x14ac:dyDescent="0.25">
      <c r="C8" s="254"/>
      <c r="D8" s="254"/>
      <c r="E8" s="254"/>
      <c r="F8" s="64" t="s">
        <v>565</v>
      </c>
      <c r="G8" s="64" t="s">
        <v>411</v>
      </c>
      <c r="H8" s="64" t="s">
        <v>412</v>
      </c>
      <c r="I8" s="226" t="s">
        <v>566</v>
      </c>
      <c r="J8" s="64" t="s">
        <v>565</v>
      </c>
      <c r="K8" s="64" t="s">
        <v>411</v>
      </c>
      <c r="L8" s="64" t="s">
        <v>412</v>
      </c>
      <c r="M8" s="226" t="s">
        <v>566</v>
      </c>
    </row>
    <row r="9" spans="3:13" ht="16.5" x14ac:dyDescent="0.25">
      <c r="C9" s="30" t="s">
        <v>413</v>
      </c>
      <c r="D9" s="227"/>
      <c r="E9" s="227"/>
      <c r="F9" s="227"/>
      <c r="G9" s="227"/>
      <c r="H9" s="228"/>
      <c r="I9" s="229"/>
      <c r="J9" s="230"/>
      <c r="K9" s="230"/>
      <c r="L9" s="231"/>
      <c r="M9" s="229"/>
    </row>
    <row r="10" spans="3:13" ht="16.5" x14ac:dyDescent="0.25">
      <c r="C10" s="29" t="s">
        <v>567</v>
      </c>
      <c r="D10" s="26" t="s">
        <v>568</v>
      </c>
      <c r="E10" s="26">
        <v>60</v>
      </c>
      <c r="F10" s="26">
        <v>25</v>
      </c>
      <c r="G10" s="232">
        <v>1850</v>
      </c>
      <c r="H10" s="233">
        <f>E10*G10</f>
        <v>111000</v>
      </c>
      <c r="I10" s="234">
        <f>H10*0.25</f>
        <v>27750</v>
      </c>
      <c r="J10" s="235">
        <v>5</v>
      </c>
      <c r="K10" s="232">
        <v>1850</v>
      </c>
      <c r="L10" s="233">
        <f>E10*K10</f>
        <v>111000</v>
      </c>
      <c r="M10" s="234">
        <f>L10*0.05</f>
        <v>5550</v>
      </c>
    </row>
    <row r="11" spans="3:13" ht="16.5" x14ac:dyDescent="0.25">
      <c r="C11" s="29" t="s">
        <v>569</v>
      </c>
      <c r="D11" s="26" t="s">
        <v>568</v>
      </c>
      <c r="E11" s="26">
        <v>30</v>
      </c>
      <c r="F11" s="26">
        <v>10</v>
      </c>
      <c r="G11" s="232">
        <v>1700</v>
      </c>
      <c r="H11" s="233">
        <f t="shared" ref="H11:H12" si="0">E11*G11</f>
        <v>51000</v>
      </c>
      <c r="I11" s="234">
        <f>H11*0.1</f>
        <v>5100</v>
      </c>
      <c r="J11" s="235">
        <v>2</v>
      </c>
      <c r="K11" s="232">
        <v>1700</v>
      </c>
      <c r="L11" s="233">
        <f t="shared" ref="L11:L12" si="1">E11*K11</f>
        <v>51000</v>
      </c>
      <c r="M11" s="234">
        <f>L11*0.02</f>
        <v>1020</v>
      </c>
    </row>
    <row r="12" spans="3:13" ht="16.5" x14ac:dyDescent="0.25">
      <c r="C12" s="29" t="s">
        <v>570</v>
      </c>
      <c r="D12" s="26" t="s">
        <v>568</v>
      </c>
      <c r="E12" s="26">
        <v>10</v>
      </c>
      <c r="F12" s="26">
        <v>10</v>
      </c>
      <c r="G12" s="232">
        <v>1500</v>
      </c>
      <c r="H12" s="233">
        <f t="shared" si="0"/>
        <v>15000</v>
      </c>
      <c r="I12" s="234">
        <f>H12*0.1</f>
        <v>1500</v>
      </c>
      <c r="J12" s="235">
        <v>2</v>
      </c>
      <c r="K12" s="232">
        <v>1500</v>
      </c>
      <c r="L12" s="233">
        <f t="shared" si="1"/>
        <v>15000</v>
      </c>
      <c r="M12" s="234">
        <f>L12*0.02</f>
        <v>300</v>
      </c>
    </row>
    <row r="13" spans="3:13" ht="16.5" x14ac:dyDescent="0.25">
      <c r="C13" s="30" t="s">
        <v>421</v>
      </c>
      <c r="D13" s="236"/>
      <c r="E13" s="236"/>
      <c r="F13" s="28"/>
      <c r="G13" s="237"/>
      <c r="H13" s="238">
        <f>SUM(H10:H12)</f>
        <v>177000</v>
      </c>
      <c r="I13" s="238">
        <f>SUM(I10:I12)</f>
        <v>34350</v>
      </c>
      <c r="J13" s="237"/>
      <c r="K13" s="237"/>
      <c r="L13" s="238">
        <f>SUM(L10:L12)</f>
        <v>177000</v>
      </c>
      <c r="M13" s="238">
        <f>SUM(M10:M12)</f>
        <v>6870</v>
      </c>
    </row>
    <row r="14" spans="3:13" ht="16.5" x14ac:dyDescent="0.25">
      <c r="C14" s="236" t="s">
        <v>429</v>
      </c>
      <c r="D14" s="239"/>
      <c r="E14" s="239"/>
      <c r="F14" s="28"/>
      <c r="G14" s="237"/>
      <c r="H14" s="237"/>
      <c r="I14" s="229"/>
      <c r="J14" s="237"/>
      <c r="K14" s="237"/>
      <c r="L14" s="237"/>
      <c r="M14" s="229"/>
    </row>
    <row r="15" spans="3:13" ht="16.5" x14ac:dyDescent="0.25">
      <c r="C15" s="28" t="s">
        <v>571</v>
      </c>
      <c r="D15" s="25" t="s">
        <v>568</v>
      </c>
      <c r="E15" s="26">
        <v>60</v>
      </c>
      <c r="F15" s="28"/>
      <c r="G15" s="237">
        <v>1200</v>
      </c>
      <c r="H15" s="237">
        <f>E15*G15</f>
        <v>72000</v>
      </c>
      <c r="I15" s="229"/>
      <c r="J15" s="237"/>
      <c r="K15" s="237">
        <v>1200</v>
      </c>
      <c r="L15" s="237">
        <f>E15*K15</f>
        <v>72000</v>
      </c>
      <c r="M15" s="229"/>
    </row>
    <row r="16" spans="3:13" ht="16.5" x14ac:dyDescent="0.25">
      <c r="C16" s="28" t="s">
        <v>572</v>
      </c>
      <c r="D16" s="25" t="s">
        <v>568</v>
      </c>
      <c r="E16" s="26">
        <v>30</v>
      </c>
      <c r="F16" s="28"/>
      <c r="G16" s="237">
        <v>950</v>
      </c>
      <c r="H16" s="237">
        <f t="shared" ref="H16:H19" si="2">E16*G16</f>
        <v>28500</v>
      </c>
      <c r="I16" s="229"/>
      <c r="J16" s="237"/>
      <c r="K16" s="237">
        <v>950</v>
      </c>
      <c r="L16" s="237">
        <f t="shared" ref="L16:L19" si="3">E16*K16</f>
        <v>28500</v>
      </c>
      <c r="M16" s="229"/>
    </row>
    <row r="17" spans="3:13" ht="16.5" x14ac:dyDescent="0.25">
      <c r="C17" s="28" t="s">
        <v>573</v>
      </c>
      <c r="D17" s="25" t="s">
        <v>568</v>
      </c>
      <c r="E17" s="26">
        <v>10</v>
      </c>
      <c r="F17" s="28"/>
      <c r="G17" s="237">
        <v>750</v>
      </c>
      <c r="H17" s="237">
        <f t="shared" si="2"/>
        <v>7500</v>
      </c>
      <c r="I17" s="229"/>
      <c r="J17" s="237"/>
      <c r="K17" s="237">
        <v>750</v>
      </c>
      <c r="L17" s="237">
        <f t="shared" si="3"/>
        <v>7500</v>
      </c>
      <c r="M17" s="229"/>
    </row>
    <row r="18" spans="3:13" ht="16.5" x14ac:dyDescent="0.25">
      <c r="C18" s="29" t="s">
        <v>574</v>
      </c>
      <c r="D18" s="25" t="s">
        <v>568</v>
      </c>
      <c r="E18" s="25">
        <v>100</v>
      </c>
      <c r="F18" s="25"/>
      <c r="G18" s="229"/>
      <c r="H18" s="237">
        <f t="shared" si="2"/>
        <v>0</v>
      </c>
      <c r="I18" s="229"/>
      <c r="J18" s="240"/>
      <c r="K18" s="241">
        <v>35</v>
      </c>
      <c r="L18" s="237">
        <f t="shared" si="3"/>
        <v>3500</v>
      </c>
      <c r="M18" s="229"/>
    </row>
    <row r="19" spans="3:13" ht="16.5" x14ac:dyDescent="0.25">
      <c r="C19" s="29" t="s">
        <v>426</v>
      </c>
      <c r="D19" s="25" t="s">
        <v>568</v>
      </c>
      <c r="E19" s="25">
        <v>100</v>
      </c>
      <c r="F19" s="25"/>
      <c r="G19" s="229"/>
      <c r="H19" s="237">
        <f t="shared" si="2"/>
        <v>0</v>
      </c>
      <c r="I19" s="229"/>
      <c r="J19" s="240"/>
      <c r="K19" s="241">
        <v>10.5</v>
      </c>
      <c r="L19" s="237">
        <f t="shared" si="3"/>
        <v>1050</v>
      </c>
      <c r="M19" s="229"/>
    </row>
    <row r="20" spans="3:13" ht="16.5" x14ac:dyDescent="0.25">
      <c r="C20" s="64" t="s">
        <v>61</v>
      </c>
      <c r="D20" s="23"/>
      <c r="E20" s="23"/>
      <c r="F20" s="23"/>
      <c r="G20" s="242"/>
      <c r="H20" s="243">
        <f>SUM(H15:H19)</f>
        <v>108000</v>
      </c>
      <c r="I20" s="244"/>
      <c r="J20" s="240"/>
      <c r="K20" s="241"/>
      <c r="L20" s="238">
        <f>SUM(L15:L19)</f>
        <v>112550</v>
      </c>
      <c r="M20" s="229"/>
    </row>
    <row r="21" spans="3:13" ht="16.5" x14ac:dyDescent="0.25">
      <c r="C21" s="64" t="s">
        <v>430</v>
      </c>
      <c r="D21" s="28"/>
      <c r="E21" s="28"/>
      <c r="F21" s="28"/>
      <c r="G21" s="237"/>
      <c r="H21" s="270">
        <f>H13-I13-H20</f>
        <v>34650</v>
      </c>
      <c r="I21" s="271"/>
      <c r="J21" s="245"/>
      <c r="K21" s="245"/>
      <c r="L21" s="272">
        <f>L13-L20-M13</f>
        <v>57580</v>
      </c>
      <c r="M21" s="273"/>
    </row>
    <row r="22" spans="3:13" x14ac:dyDescent="0.25">
      <c r="G22" s="246"/>
    </row>
  </sheetData>
  <mergeCells count="7">
    <mergeCell ref="H21:I21"/>
    <mergeCell ref="L21:M21"/>
    <mergeCell ref="C7:C8"/>
    <mergeCell ref="D7:D8"/>
    <mergeCell ref="E7:E8"/>
    <mergeCell ref="F7:I7"/>
    <mergeCell ref="J7:M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3"/>
  <sheetViews>
    <sheetView workbookViewId="0">
      <selection activeCell="C4" sqref="C4:F15"/>
    </sheetView>
  </sheetViews>
  <sheetFormatPr baseColWidth="10" defaultRowHeight="15" x14ac:dyDescent="0.25"/>
  <cols>
    <col min="3" max="3" width="45.42578125" customWidth="1"/>
  </cols>
  <sheetData>
    <row r="5" spans="3:5" x14ac:dyDescent="0.25">
      <c r="C5" t="s">
        <v>73</v>
      </c>
    </row>
    <row r="6" spans="3:5" ht="15.75" thickBot="1" x14ac:dyDescent="0.3"/>
    <row r="7" spans="3:5" ht="30.75" thickBot="1" x14ac:dyDescent="0.3">
      <c r="C7" s="62" t="s">
        <v>72</v>
      </c>
      <c r="D7" s="61" t="s">
        <v>71</v>
      </c>
      <c r="E7" s="61" t="s">
        <v>70</v>
      </c>
    </row>
    <row r="8" spans="3:5" ht="15.75" thickBot="1" x14ac:dyDescent="0.3">
      <c r="C8" s="57" t="s">
        <v>69</v>
      </c>
      <c r="D8" s="60">
        <v>250000</v>
      </c>
      <c r="E8" s="55">
        <f>D8/D13*100</f>
        <v>50</v>
      </c>
    </row>
    <row r="9" spans="3:5" ht="15.75" thickBot="1" x14ac:dyDescent="0.3">
      <c r="C9" s="57" t="s">
        <v>68</v>
      </c>
      <c r="D9" s="60">
        <v>97610</v>
      </c>
      <c r="E9" s="55">
        <f>D9/D13*100</f>
        <v>19.522000000000002</v>
      </c>
    </row>
    <row r="10" spans="3:5" ht="15.75" thickBot="1" x14ac:dyDescent="0.3">
      <c r="C10" s="57" t="s">
        <v>67</v>
      </c>
      <c r="D10" s="60">
        <v>121500</v>
      </c>
      <c r="E10" s="55">
        <f>D10/D13*100</f>
        <v>24.3</v>
      </c>
    </row>
    <row r="11" spans="3:5" ht="15.75" thickBot="1" x14ac:dyDescent="0.3">
      <c r="C11" s="57" t="s">
        <v>66</v>
      </c>
      <c r="D11" s="59">
        <v>30890</v>
      </c>
      <c r="E11" s="58">
        <f>D11/D13*100</f>
        <v>6.1779999999999999</v>
      </c>
    </row>
    <row r="12" spans="3:5" ht="15.75" thickBot="1" x14ac:dyDescent="0.3">
      <c r="C12" s="57" t="s">
        <v>65</v>
      </c>
      <c r="D12" s="56"/>
      <c r="E12" s="55"/>
    </row>
    <row r="13" spans="3:5" ht="15.75" thickBot="1" x14ac:dyDescent="0.3">
      <c r="C13" s="54" t="s">
        <v>64</v>
      </c>
      <c r="D13" s="53">
        <f>SUM(D8:D12)</f>
        <v>500000</v>
      </c>
      <c r="E13" s="5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workbookViewId="0">
      <selection activeCell="H25" sqref="H25"/>
    </sheetView>
  </sheetViews>
  <sheetFormatPr baseColWidth="10" defaultRowHeight="15" x14ac:dyDescent="0.25"/>
  <cols>
    <col min="2" max="2" width="26.28515625" customWidth="1"/>
  </cols>
  <sheetData>
    <row r="3" spans="2:5" x14ac:dyDescent="0.25">
      <c r="B3" t="s">
        <v>55</v>
      </c>
    </row>
    <row r="5" spans="2:5" x14ac:dyDescent="0.25">
      <c r="B5" s="34" t="s">
        <v>54</v>
      </c>
      <c r="C5" s="274" t="s">
        <v>35</v>
      </c>
      <c r="D5" s="275"/>
      <c r="E5" s="275"/>
    </row>
    <row r="6" spans="2:5" x14ac:dyDescent="0.25">
      <c r="B6" s="35"/>
      <c r="C6" s="35" t="s">
        <v>49</v>
      </c>
      <c r="D6" s="35" t="s">
        <v>50</v>
      </c>
      <c r="E6" s="35" t="s">
        <v>51</v>
      </c>
    </row>
    <row r="7" spans="2:5" x14ac:dyDescent="0.25">
      <c r="B7" s="35" t="s">
        <v>47</v>
      </c>
      <c r="C7" s="48">
        <v>40</v>
      </c>
      <c r="D7" s="48">
        <v>150</v>
      </c>
      <c r="E7" s="48">
        <f>C7*D7</f>
        <v>6000</v>
      </c>
    </row>
    <row r="8" spans="2:5" x14ac:dyDescent="0.25">
      <c r="B8" s="35" t="s">
        <v>48</v>
      </c>
      <c r="C8" s="48">
        <v>2</v>
      </c>
      <c r="D8" s="48">
        <v>1582</v>
      </c>
      <c r="E8" s="48">
        <f>C8*D8</f>
        <v>3164</v>
      </c>
    </row>
    <row r="9" spans="2:5" x14ac:dyDescent="0.25">
      <c r="B9" s="35" t="s">
        <v>52</v>
      </c>
      <c r="C9" s="48">
        <v>40</v>
      </c>
      <c r="D9" s="48">
        <v>180</v>
      </c>
      <c r="E9" s="48">
        <f>C9*D9</f>
        <v>7200</v>
      </c>
    </row>
    <row r="10" spans="2:5" x14ac:dyDescent="0.25">
      <c r="B10" s="35" t="s">
        <v>53</v>
      </c>
      <c r="C10" s="48">
        <v>20</v>
      </c>
      <c r="D10" s="48">
        <v>30</v>
      </c>
      <c r="E10" s="48">
        <f>C10*D10</f>
        <v>600</v>
      </c>
    </row>
    <row r="11" spans="2:5" x14ac:dyDescent="0.25">
      <c r="B11" s="35"/>
      <c r="C11" s="35"/>
      <c r="D11" s="35"/>
      <c r="E11" s="35">
        <f>SUM(E7:E10)</f>
        <v>16964</v>
      </c>
    </row>
    <row r="15" spans="2:5" x14ac:dyDescent="0.25">
      <c r="B15" t="s">
        <v>56</v>
      </c>
    </row>
    <row r="17" spans="2:5" x14ac:dyDescent="0.25">
      <c r="B17" s="34" t="s">
        <v>54</v>
      </c>
      <c r="C17" s="274" t="s">
        <v>35</v>
      </c>
      <c r="D17" s="275"/>
      <c r="E17" s="275"/>
    </row>
    <row r="18" spans="2:5" x14ac:dyDescent="0.25">
      <c r="B18" s="35"/>
      <c r="C18" s="35" t="s">
        <v>49</v>
      </c>
      <c r="D18" s="35" t="s">
        <v>50</v>
      </c>
      <c r="E18" s="35" t="s">
        <v>51</v>
      </c>
    </row>
    <row r="19" spans="2:5" x14ac:dyDescent="0.25">
      <c r="B19" s="35" t="s">
        <v>57</v>
      </c>
      <c r="C19" s="41">
        <v>10</v>
      </c>
      <c r="D19" s="41">
        <v>210</v>
      </c>
      <c r="E19" s="41" t="s">
        <v>63</v>
      </c>
    </row>
    <row r="20" spans="2:5" x14ac:dyDescent="0.25">
      <c r="B20" s="35" t="s">
        <v>52</v>
      </c>
      <c r="C20" s="41">
        <v>200</v>
      </c>
      <c r="D20" s="41">
        <v>102</v>
      </c>
      <c r="E20" s="41">
        <f>C20*D20</f>
        <v>20400</v>
      </c>
    </row>
    <row r="21" spans="2:5" x14ac:dyDescent="0.25">
      <c r="B21" s="42" t="s">
        <v>58</v>
      </c>
      <c r="C21" s="42">
        <v>20</v>
      </c>
      <c r="D21" s="42">
        <v>150</v>
      </c>
      <c r="E21" s="42">
        <f>C21*D21</f>
        <v>3000</v>
      </c>
    </row>
    <row r="22" spans="2:5" x14ac:dyDescent="0.25">
      <c r="B22" s="35" t="s">
        <v>59</v>
      </c>
      <c r="C22" s="35">
        <v>20</v>
      </c>
      <c r="D22" s="35">
        <v>25</v>
      </c>
      <c r="E22" s="35">
        <f>C22*D22</f>
        <v>500</v>
      </c>
    </row>
    <row r="23" spans="2:5" x14ac:dyDescent="0.25">
      <c r="B23" s="35"/>
      <c r="C23" s="35"/>
      <c r="D23" s="35"/>
      <c r="E23" s="35"/>
    </row>
    <row r="24" spans="2:5" x14ac:dyDescent="0.25">
      <c r="B24" s="35" t="s">
        <v>60</v>
      </c>
      <c r="C24" s="35"/>
      <c r="D24" s="35"/>
      <c r="E24" s="49">
        <f>SUM(E19:E23)</f>
        <v>23900</v>
      </c>
    </row>
  </sheetData>
  <mergeCells count="2">
    <mergeCell ref="C5:E5"/>
    <mergeCell ref="C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39"/>
  <sheetViews>
    <sheetView tabSelected="1" workbookViewId="0">
      <selection activeCell="B6" sqref="B6:J33"/>
    </sheetView>
  </sheetViews>
  <sheetFormatPr baseColWidth="10" defaultRowHeight="15" x14ac:dyDescent="0.25"/>
  <cols>
    <col min="1" max="1" width="3.7109375" customWidth="1"/>
    <col min="2" max="2" width="11.85546875" customWidth="1"/>
    <col min="3" max="3" width="51" customWidth="1"/>
    <col min="4" max="4" width="9.42578125" customWidth="1"/>
    <col min="5" max="5" width="7.7109375" customWidth="1"/>
    <col min="6" max="10" width="14" customWidth="1"/>
    <col min="11" max="11" width="8.85546875" customWidth="1"/>
    <col min="12" max="19" width="7.42578125" customWidth="1"/>
    <col min="20" max="20" width="3.28515625" customWidth="1"/>
    <col min="21" max="21" width="19.28515625" customWidth="1"/>
    <col min="22" max="22" width="8.85546875" customWidth="1"/>
    <col min="23" max="23" width="11.28515625" customWidth="1"/>
    <col min="24" max="27" width="9.28515625" customWidth="1"/>
    <col min="28" max="28" width="10" customWidth="1"/>
    <col min="29" max="29" width="10.5703125" customWidth="1"/>
    <col min="30" max="30" width="9.7109375" customWidth="1"/>
    <col min="31" max="31" width="10.42578125" customWidth="1"/>
    <col min="32" max="32" width="11.140625" customWidth="1"/>
    <col min="33" max="33" width="9.5703125" customWidth="1"/>
    <col min="34" max="35" width="7.28515625" customWidth="1"/>
  </cols>
  <sheetData>
    <row r="3" spans="2:16" x14ac:dyDescent="0.25">
      <c r="B3" s="65" t="s">
        <v>74</v>
      </c>
    </row>
    <row r="4" spans="2:16" ht="15.75" x14ac:dyDescent="0.25">
      <c r="B4" s="1" t="s">
        <v>26</v>
      </c>
    </row>
    <row r="6" spans="2:16" ht="15" customHeight="1" x14ac:dyDescent="0.25">
      <c r="B6" s="254" t="s">
        <v>33</v>
      </c>
      <c r="C6" s="254" t="s">
        <v>0</v>
      </c>
      <c r="D6" s="254" t="s">
        <v>1</v>
      </c>
      <c r="E6" s="254" t="s">
        <v>23</v>
      </c>
      <c r="F6" s="252" t="s">
        <v>2</v>
      </c>
      <c r="G6" s="253"/>
      <c r="H6" s="253"/>
      <c r="I6" s="253"/>
      <c r="J6" s="252" t="s">
        <v>3</v>
      </c>
    </row>
    <row r="7" spans="2:16" ht="15.75" customHeight="1" x14ac:dyDescent="0.25">
      <c r="B7" s="254"/>
      <c r="C7" s="254"/>
      <c r="D7" s="254"/>
      <c r="E7" s="254"/>
      <c r="F7" s="40" t="s">
        <v>4</v>
      </c>
      <c r="G7" s="40" t="s">
        <v>5</v>
      </c>
      <c r="H7" s="40" t="s">
        <v>7</v>
      </c>
      <c r="I7" s="40" t="s">
        <v>6</v>
      </c>
      <c r="J7" s="253"/>
    </row>
    <row r="8" spans="2:16" ht="16.5" x14ac:dyDescent="0.25">
      <c r="B8" s="23" t="s">
        <v>8</v>
      </c>
      <c r="C8" s="24" t="s">
        <v>12</v>
      </c>
      <c r="D8" s="24"/>
      <c r="E8" s="24"/>
      <c r="F8" s="31"/>
      <c r="G8" s="31"/>
      <c r="H8" s="31"/>
      <c r="I8" s="31"/>
      <c r="J8" s="32"/>
    </row>
    <row r="9" spans="2:16" ht="36" customHeight="1" x14ac:dyDescent="0.25">
      <c r="B9" s="23" t="s">
        <v>8</v>
      </c>
      <c r="C9" s="24" t="s">
        <v>34</v>
      </c>
      <c r="D9" s="24"/>
      <c r="E9" s="35"/>
      <c r="F9" s="38">
        <f>SUM(F10:F14)</f>
        <v>41964</v>
      </c>
      <c r="G9" s="38">
        <f>SUM(G10:G14)</f>
        <v>3000</v>
      </c>
      <c r="H9" s="38">
        <f>SUM(H10:H14)</f>
        <v>39000</v>
      </c>
      <c r="I9" s="38">
        <f>SUM(I10:I14)</f>
        <v>17000</v>
      </c>
      <c r="J9" s="38">
        <f>SUM(J10:J14)</f>
        <v>100964</v>
      </c>
      <c r="P9" s="45"/>
    </row>
    <row r="10" spans="2:16" ht="29.25" customHeight="1" x14ac:dyDescent="0.25">
      <c r="B10" s="25">
        <v>1.01</v>
      </c>
      <c r="C10" s="39" t="s">
        <v>35</v>
      </c>
      <c r="D10" s="26">
        <v>1</v>
      </c>
      <c r="E10" s="26">
        <v>1</v>
      </c>
      <c r="F10" s="33">
        <v>16964</v>
      </c>
      <c r="G10" s="33">
        <f>5*20*15</f>
        <v>1500</v>
      </c>
      <c r="H10" s="50">
        <v>26000</v>
      </c>
      <c r="I10" s="33">
        <f>5*20*80</f>
        <v>8000</v>
      </c>
      <c r="J10" s="33">
        <f t="shared" ref="J10:J15" si="0">F10+G10+H10+I10</f>
        <v>52464</v>
      </c>
      <c r="P10" s="45"/>
    </row>
    <row r="11" spans="2:16" ht="37.5" customHeight="1" x14ac:dyDescent="0.25">
      <c r="B11" s="25">
        <v>1.02</v>
      </c>
      <c r="C11" s="39" t="s">
        <v>32</v>
      </c>
      <c r="D11" s="26">
        <v>2</v>
      </c>
      <c r="E11" s="26">
        <v>1</v>
      </c>
      <c r="F11" s="33">
        <v>3000</v>
      </c>
      <c r="G11" s="33">
        <f>5*15*20</f>
        <v>1500</v>
      </c>
      <c r="H11" s="33">
        <v>10000</v>
      </c>
      <c r="I11" s="33">
        <v>5000</v>
      </c>
      <c r="J11" s="33">
        <f t="shared" si="0"/>
        <v>19500</v>
      </c>
      <c r="P11" s="45"/>
    </row>
    <row r="12" spans="2:16" ht="16.5" x14ac:dyDescent="0.25">
      <c r="B12" s="25">
        <v>1.03</v>
      </c>
      <c r="C12" s="27" t="s">
        <v>36</v>
      </c>
      <c r="D12" s="26">
        <v>4</v>
      </c>
      <c r="E12" s="26">
        <v>1</v>
      </c>
      <c r="F12" s="33">
        <v>5000</v>
      </c>
      <c r="G12" s="33"/>
      <c r="H12" s="33"/>
      <c r="I12" s="33">
        <v>2000</v>
      </c>
      <c r="J12" s="33">
        <f t="shared" si="0"/>
        <v>7000</v>
      </c>
      <c r="P12" s="45"/>
    </row>
    <row r="13" spans="2:16" ht="37.5" customHeight="1" x14ac:dyDescent="0.25">
      <c r="B13" s="25">
        <v>1.04</v>
      </c>
      <c r="C13" s="39" t="s">
        <v>37</v>
      </c>
      <c r="D13" s="26">
        <v>3</v>
      </c>
      <c r="E13" s="26">
        <v>1</v>
      </c>
      <c r="F13" s="33">
        <v>12000</v>
      </c>
      <c r="G13" s="33"/>
      <c r="H13" s="33">
        <v>3000</v>
      </c>
      <c r="I13" s="33"/>
      <c r="J13" s="33">
        <f t="shared" si="0"/>
        <v>15000</v>
      </c>
    </row>
    <row r="14" spans="2:16" ht="31.5" customHeight="1" x14ac:dyDescent="0.25">
      <c r="B14" s="25">
        <v>1.05</v>
      </c>
      <c r="C14" s="39" t="s">
        <v>38</v>
      </c>
      <c r="D14" s="26">
        <v>3</v>
      </c>
      <c r="E14" s="26">
        <v>1</v>
      </c>
      <c r="F14" s="33">
        <v>5000</v>
      </c>
      <c r="G14" s="33"/>
      <c r="H14" s="33"/>
      <c r="I14" s="33">
        <v>2000</v>
      </c>
      <c r="J14" s="33">
        <f t="shared" si="0"/>
        <v>7000</v>
      </c>
      <c r="K14" s="45"/>
      <c r="L14" s="12"/>
      <c r="N14" s="12"/>
      <c r="O14" s="12"/>
    </row>
    <row r="15" spans="2:16" ht="16.5" x14ac:dyDescent="0.25">
      <c r="B15" s="28"/>
      <c r="C15" s="24" t="s">
        <v>13</v>
      </c>
      <c r="D15" s="29"/>
      <c r="E15" s="29"/>
      <c r="F15" s="33"/>
      <c r="G15" s="33"/>
      <c r="H15" s="33"/>
      <c r="I15" s="33"/>
      <c r="J15" s="33">
        <f t="shared" si="0"/>
        <v>0</v>
      </c>
      <c r="K15" s="46"/>
      <c r="L15" s="12"/>
      <c r="N15" s="12"/>
      <c r="O15" s="12"/>
    </row>
    <row r="16" spans="2:16" ht="15" customHeight="1" x14ac:dyDescent="0.25">
      <c r="B16" s="23" t="s">
        <v>9</v>
      </c>
      <c r="C16" s="30" t="s">
        <v>39</v>
      </c>
      <c r="D16" s="26"/>
      <c r="E16" s="26"/>
      <c r="F16" s="38">
        <f>SUM(F17:F21)</f>
        <v>82536.000000000015</v>
      </c>
      <c r="G16" s="38">
        <f t="shared" ref="G16:J16" si="1">SUM(G17:G21)</f>
        <v>27889.999999999996</v>
      </c>
      <c r="H16" s="38">
        <f t="shared" si="1"/>
        <v>17500</v>
      </c>
      <c r="I16" s="38">
        <f t="shared" si="1"/>
        <v>42500</v>
      </c>
      <c r="J16" s="38">
        <f t="shared" si="1"/>
        <v>170426</v>
      </c>
      <c r="K16" s="46"/>
      <c r="L16" s="12"/>
      <c r="N16" s="12"/>
      <c r="O16" s="12"/>
    </row>
    <row r="17" spans="2:12" ht="36" customHeight="1" x14ac:dyDescent="0.25">
      <c r="B17" s="25">
        <v>2.0099999999999998</v>
      </c>
      <c r="C17" s="39" t="s">
        <v>31</v>
      </c>
      <c r="D17" s="26">
        <v>1</v>
      </c>
      <c r="E17" s="26">
        <v>1</v>
      </c>
      <c r="F17" s="33">
        <v>2500</v>
      </c>
      <c r="G17" s="33"/>
      <c r="H17" s="33">
        <v>2500</v>
      </c>
      <c r="I17" s="33">
        <v>2500</v>
      </c>
      <c r="J17" s="33">
        <f>F17+G17+H17+I17</f>
        <v>7500</v>
      </c>
      <c r="K17" s="46"/>
      <c r="L17" s="12"/>
    </row>
    <row r="18" spans="2:12" ht="24.75" customHeight="1" x14ac:dyDescent="0.25">
      <c r="B18" s="25">
        <v>2.02</v>
      </c>
      <c r="C18" s="39" t="s">
        <v>14</v>
      </c>
      <c r="D18" s="26">
        <v>7</v>
      </c>
      <c r="E18" s="26">
        <v>3</v>
      </c>
      <c r="F18" s="33">
        <f>11620.54*3</f>
        <v>34861.620000000003</v>
      </c>
      <c r="G18" s="33">
        <f>4380.95*3</f>
        <v>13142.849999999999</v>
      </c>
      <c r="H18" s="33"/>
      <c r="I18" s="33"/>
      <c r="J18" s="33">
        <f t="shared" ref="J18:J19" si="2">F18+G18+H18+I18</f>
        <v>48004.47</v>
      </c>
      <c r="K18" s="46"/>
      <c r="L18" s="12"/>
    </row>
    <row r="19" spans="2:12" ht="16.5" x14ac:dyDescent="0.25">
      <c r="B19" s="25">
        <v>2.0299999999999998</v>
      </c>
      <c r="C19" s="28" t="s">
        <v>40</v>
      </c>
      <c r="D19" s="26">
        <v>6</v>
      </c>
      <c r="E19" s="26">
        <v>3</v>
      </c>
      <c r="F19" s="33">
        <f>(3395.82+4276.04)*3</f>
        <v>23015.58</v>
      </c>
      <c r="G19" s="33">
        <f>(1936.51+952.38)*3</f>
        <v>8666.67</v>
      </c>
      <c r="H19" s="33"/>
      <c r="I19" s="33"/>
      <c r="J19" s="33">
        <f t="shared" si="2"/>
        <v>31682.25</v>
      </c>
      <c r="K19" s="46"/>
      <c r="L19" s="12"/>
    </row>
    <row r="20" spans="2:12" ht="36" customHeight="1" x14ac:dyDescent="0.25">
      <c r="B20" s="25">
        <v>2.04</v>
      </c>
      <c r="C20" s="39" t="s">
        <v>41</v>
      </c>
      <c r="D20" s="26">
        <v>9</v>
      </c>
      <c r="E20" s="26">
        <v>1</v>
      </c>
      <c r="F20" s="33">
        <v>15561.42</v>
      </c>
      <c r="G20" s="36">
        <v>5350.3200000000006</v>
      </c>
      <c r="H20" s="33"/>
      <c r="I20" s="33"/>
      <c r="J20" s="33">
        <f>F20+G20+H20+I20</f>
        <v>20911.740000000002</v>
      </c>
      <c r="K20" s="46"/>
      <c r="L20" s="12"/>
    </row>
    <row r="21" spans="2:12" ht="30.75" customHeight="1" x14ac:dyDescent="0.25">
      <c r="B21" s="25">
        <v>2.0499999999999998</v>
      </c>
      <c r="C21" s="39" t="s">
        <v>42</v>
      </c>
      <c r="D21" s="26">
        <v>14</v>
      </c>
      <c r="E21" s="26">
        <v>14</v>
      </c>
      <c r="F21" s="33">
        <f>6662.69-65.31</f>
        <v>6597.3799999999992</v>
      </c>
      <c r="G21" s="33">
        <v>730.16</v>
      </c>
      <c r="H21" s="33">
        <v>15000</v>
      </c>
      <c r="I21" s="33">
        <v>40000</v>
      </c>
      <c r="J21" s="33">
        <f>F21+G21+H21+I21</f>
        <v>62327.54</v>
      </c>
      <c r="K21" s="46"/>
      <c r="L21" s="12"/>
    </row>
    <row r="22" spans="2:12" ht="16.5" x14ac:dyDescent="0.25">
      <c r="B22" s="25"/>
      <c r="C22" s="24" t="s">
        <v>15</v>
      </c>
      <c r="D22" s="29"/>
      <c r="E22" s="29"/>
      <c r="F22" s="33"/>
      <c r="G22" s="33"/>
      <c r="H22" s="33"/>
      <c r="I22" s="33"/>
      <c r="J22" s="33">
        <f>F22+G22+H22+I22</f>
        <v>0</v>
      </c>
      <c r="K22" s="46"/>
      <c r="L22" s="12"/>
    </row>
    <row r="23" spans="2:12" ht="28.5" customHeight="1" x14ac:dyDescent="0.25">
      <c r="B23" s="23" t="s">
        <v>16</v>
      </c>
      <c r="C23" s="24" t="s">
        <v>43</v>
      </c>
      <c r="D23" s="29"/>
      <c r="E23" s="29"/>
      <c r="F23" s="38">
        <f>SUM(F24:F28)</f>
        <v>80000</v>
      </c>
      <c r="G23" s="38">
        <f t="shared" ref="G23:J23" si="3">SUM(G24:G28)</f>
        <v>0</v>
      </c>
      <c r="H23" s="38">
        <f>SUM(H24:H28)</f>
        <v>65000</v>
      </c>
      <c r="I23" s="38">
        <f t="shared" si="3"/>
        <v>38110</v>
      </c>
      <c r="J23" s="38">
        <f t="shared" si="3"/>
        <v>183110</v>
      </c>
      <c r="K23" s="46"/>
      <c r="L23" s="12"/>
    </row>
    <row r="24" spans="2:12" ht="16.5" x14ac:dyDescent="0.25">
      <c r="B24" s="25">
        <v>3.01</v>
      </c>
      <c r="C24" s="39" t="s">
        <v>27</v>
      </c>
      <c r="D24" s="26">
        <v>9</v>
      </c>
      <c r="E24" s="26">
        <v>3</v>
      </c>
      <c r="F24" s="33">
        <v>10000</v>
      </c>
      <c r="G24" s="33"/>
      <c r="H24" s="33"/>
      <c r="I24" s="33"/>
      <c r="J24" s="33">
        <f>F24+G24+H24+I24</f>
        <v>10000</v>
      </c>
      <c r="K24" s="47"/>
      <c r="L24" s="12"/>
    </row>
    <row r="25" spans="2:12" ht="16.5" x14ac:dyDescent="0.25">
      <c r="B25" s="25">
        <v>3.02</v>
      </c>
      <c r="C25" s="39" t="s">
        <v>28</v>
      </c>
      <c r="D25" s="26">
        <v>5</v>
      </c>
      <c r="E25" s="26">
        <v>7</v>
      </c>
      <c r="F25" s="33">
        <v>6500</v>
      </c>
      <c r="G25" s="33"/>
      <c r="H25" s="33">
        <v>30000</v>
      </c>
      <c r="I25" s="33">
        <v>15000</v>
      </c>
      <c r="J25" s="33">
        <f>F25+G25+H25+I25</f>
        <v>51500</v>
      </c>
    </row>
    <row r="26" spans="2:12" ht="33" x14ac:dyDescent="0.25">
      <c r="B26" s="25">
        <v>3.03</v>
      </c>
      <c r="C26" s="39" t="s">
        <v>29</v>
      </c>
      <c r="D26" s="26">
        <v>5</v>
      </c>
      <c r="E26" s="26">
        <v>1</v>
      </c>
      <c r="F26" s="33">
        <v>3500</v>
      </c>
      <c r="G26" s="33"/>
      <c r="H26" s="33">
        <v>5000</v>
      </c>
      <c r="I26" s="33">
        <v>3110</v>
      </c>
      <c r="J26" s="33">
        <f>F26+G26+H26+I26</f>
        <v>11610</v>
      </c>
    </row>
    <row r="27" spans="2:12" ht="16.5" x14ac:dyDescent="0.25">
      <c r="B27" s="25">
        <v>3.04</v>
      </c>
      <c r="C27" s="39" t="s">
        <v>30</v>
      </c>
      <c r="D27" s="26">
        <v>9</v>
      </c>
      <c r="E27" s="26">
        <v>50</v>
      </c>
      <c r="F27" s="33"/>
      <c r="G27" s="33"/>
      <c r="H27" s="33">
        <v>15000</v>
      </c>
      <c r="I27" s="33">
        <v>5000</v>
      </c>
      <c r="J27" s="33">
        <f>F27+G27+H27+I27</f>
        <v>20000</v>
      </c>
    </row>
    <row r="28" spans="2:12" ht="16.5" x14ac:dyDescent="0.25">
      <c r="B28" s="25">
        <v>3.05</v>
      </c>
      <c r="C28" s="39" t="s">
        <v>44</v>
      </c>
      <c r="D28" s="26">
        <v>14</v>
      </c>
      <c r="E28" s="26">
        <v>14</v>
      </c>
      <c r="F28" s="33">
        <f>2*2000*15</f>
        <v>60000</v>
      </c>
      <c r="G28" s="33"/>
      <c r="H28" s="33">
        <v>15000</v>
      </c>
      <c r="I28" s="33">
        <v>15000</v>
      </c>
      <c r="J28" s="33">
        <f>F28+G28+H28+I28</f>
        <v>90000</v>
      </c>
    </row>
    <row r="29" spans="2:12" ht="16.5" x14ac:dyDescent="0.25">
      <c r="B29" s="23" t="s">
        <v>10</v>
      </c>
      <c r="C29" s="30" t="s">
        <v>45</v>
      </c>
      <c r="D29" s="26"/>
      <c r="E29" s="26"/>
      <c r="F29" s="38">
        <f>SUM(F30:F32)</f>
        <v>45500</v>
      </c>
      <c r="G29" s="38">
        <f t="shared" ref="G29:J29" si="4">SUM(G30:G32)</f>
        <v>0</v>
      </c>
      <c r="H29" s="38">
        <f t="shared" si="4"/>
        <v>0</v>
      </c>
      <c r="I29" s="38">
        <f t="shared" si="4"/>
        <v>0</v>
      </c>
      <c r="J29" s="38">
        <f t="shared" si="4"/>
        <v>45500</v>
      </c>
    </row>
    <row r="30" spans="2:12" ht="16.5" x14ac:dyDescent="0.25">
      <c r="B30" s="25">
        <v>4.01</v>
      </c>
      <c r="C30" s="29" t="s">
        <v>11</v>
      </c>
      <c r="D30" s="26">
        <v>14</v>
      </c>
      <c r="E30" s="26">
        <v>5</v>
      </c>
      <c r="F30" s="33">
        <f>5*3000</f>
        <v>15000</v>
      </c>
      <c r="G30" s="33"/>
      <c r="H30" s="33"/>
      <c r="I30" s="33"/>
      <c r="J30" s="33">
        <f>F30+G30+H30+I30</f>
        <v>15000</v>
      </c>
    </row>
    <row r="31" spans="2:12" ht="16.5" x14ac:dyDescent="0.25">
      <c r="B31" s="25">
        <v>4.0199999999999996</v>
      </c>
      <c r="C31" s="29" t="s">
        <v>46</v>
      </c>
      <c r="D31" s="26">
        <v>5</v>
      </c>
      <c r="E31" s="26">
        <v>5</v>
      </c>
      <c r="F31" s="33">
        <v>5500</v>
      </c>
      <c r="G31" s="33"/>
      <c r="H31" s="33"/>
      <c r="I31" s="33"/>
      <c r="J31" s="33">
        <f>F31+G31+H31+I31</f>
        <v>5500</v>
      </c>
    </row>
    <row r="32" spans="2:12" ht="16.5" x14ac:dyDescent="0.25">
      <c r="B32" s="25">
        <v>4.03</v>
      </c>
      <c r="C32" s="29" t="s">
        <v>24</v>
      </c>
      <c r="D32" s="26">
        <v>5</v>
      </c>
      <c r="E32" s="26">
        <v>5</v>
      </c>
      <c r="F32" s="33">
        <f>25000</f>
        <v>25000</v>
      </c>
      <c r="G32" s="33"/>
      <c r="H32" s="33"/>
      <c r="I32" s="33"/>
      <c r="J32" s="33">
        <f>F32+G32+H32+I32</f>
        <v>25000</v>
      </c>
    </row>
    <row r="33" spans="2:20" ht="27" customHeight="1" x14ac:dyDescent="0.25">
      <c r="B33" s="35"/>
      <c r="C33" s="255" t="s">
        <v>61</v>
      </c>
      <c r="D33" s="255"/>
      <c r="E33" s="255"/>
      <c r="F33" s="37">
        <f>F9+F16+F23+F29</f>
        <v>250000</v>
      </c>
      <c r="G33" s="37">
        <f>G9+G16+G23+G29</f>
        <v>30889.999999999996</v>
      </c>
      <c r="H33" s="37">
        <f>H9+H16+H23+H29</f>
        <v>121500</v>
      </c>
      <c r="I33" s="37">
        <f>I9+I16+I23+I29</f>
        <v>97610</v>
      </c>
      <c r="J33" s="37">
        <f>J9+J16+J23+J29</f>
        <v>500000</v>
      </c>
    </row>
    <row r="35" spans="2:20" x14ac:dyDescent="0.25">
      <c r="F35" s="36"/>
    </row>
    <row r="36" spans="2:20" x14ac:dyDescent="0.25">
      <c r="T36" s="36"/>
    </row>
    <row r="37" spans="2:20" x14ac:dyDescent="0.25">
      <c r="T37" s="36"/>
    </row>
    <row r="38" spans="2:20" x14ac:dyDescent="0.25">
      <c r="T38" s="36"/>
    </row>
    <row r="39" spans="2:20" x14ac:dyDescent="0.25">
      <c r="T39" s="36"/>
    </row>
  </sheetData>
  <mergeCells count="7">
    <mergeCell ref="J6:J7"/>
    <mergeCell ref="E6:E7"/>
    <mergeCell ref="C33:E33"/>
    <mergeCell ref="B6:B7"/>
    <mergeCell ref="C6:C7"/>
    <mergeCell ref="D6:D7"/>
    <mergeCell ref="F6:I6"/>
  </mergeCells>
  <printOptions horizontalCentered="1" verticalCentered="1"/>
  <pageMargins left="0" right="0" top="0.35433070866141736" bottom="0.15748031496062992" header="0.31496062992125984" footer="0.31496062992125984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3"/>
  <sheetViews>
    <sheetView topLeftCell="A79" workbookViewId="0">
      <selection activeCell="C2" sqref="C2"/>
    </sheetView>
  </sheetViews>
  <sheetFormatPr baseColWidth="10" defaultRowHeight="15" x14ac:dyDescent="0.25"/>
  <cols>
    <col min="3" max="3" width="39" customWidth="1"/>
    <col min="4" max="5" width="8" customWidth="1"/>
    <col min="6" max="9" width="9.28515625" customWidth="1"/>
  </cols>
  <sheetData>
    <row r="3" spans="2:9" ht="15.75" x14ac:dyDescent="0.25">
      <c r="B3" s="1" t="s">
        <v>369</v>
      </c>
      <c r="C3" s="66"/>
    </row>
    <row r="4" spans="2:9" ht="15.75" x14ac:dyDescent="0.25">
      <c r="B4" s="1" t="s">
        <v>75</v>
      </c>
      <c r="C4" s="66"/>
    </row>
    <row r="5" spans="2:9" x14ac:dyDescent="0.25">
      <c r="B5" s="256" t="s">
        <v>76</v>
      </c>
      <c r="C5" s="257"/>
      <c r="D5" s="257"/>
      <c r="E5" s="257"/>
      <c r="F5" s="257"/>
      <c r="G5" s="257"/>
      <c r="H5" s="258"/>
      <c r="I5" s="258"/>
    </row>
    <row r="6" spans="2:9" ht="16.5" x14ac:dyDescent="0.25">
      <c r="B6" s="67" t="s">
        <v>77</v>
      </c>
      <c r="C6" s="67" t="s">
        <v>72</v>
      </c>
      <c r="D6" s="67" t="s">
        <v>78</v>
      </c>
      <c r="E6" s="67" t="s">
        <v>79</v>
      </c>
      <c r="F6" s="67" t="s">
        <v>50</v>
      </c>
      <c r="G6" s="68" t="s">
        <v>61</v>
      </c>
      <c r="H6" s="68" t="s">
        <v>4</v>
      </c>
      <c r="I6" s="68" t="s">
        <v>80</v>
      </c>
    </row>
    <row r="7" spans="2:9" ht="16.5" x14ac:dyDescent="0.25">
      <c r="B7" s="69" t="s">
        <v>81</v>
      </c>
      <c r="C7" s="70" t="s">
        <v>82</v>
      </c>
      <c r="D7" s="71"/>
      <c r="E7" s="72"/>
      <c r="F7" s="72"/>
      <c r="G7" s="72"/>
      <c r="H7" s="72"/>
      <c r="I7" s="72"/>
    </row>
    <row r="8" spans="2:9" ht="16.5" x14ac:dyDescent="0.25">
      <c r="B8" s="69" t="s">
        <v>83</v>
      </c>
      <c r="C8" s="73" t="s">
        <v>84</v>
      </c>
      <c r="D8" s="74"/>
      <c r="E8" s="75"/>
      <c r="F8" s="76"/>
      <c r="G8" s="76"/>
      <c r="H8" s="76"/>
      <c r="I8" s="76"/>
    </row>
    <row r="9" spans="2:9" ht="16.5" x14ac:dyDescent="0.25">
      <c r="B9" s="74" t="s">
        <v>85</v>
      </c>
      <c r="C9" s="77" t="s">
        <v>86</v>
      </c>
      <c r="D9" s="74" t="s">
        <v>87</v>
      </c>
      <c r="E9" s="75">
        <v>39</v>
      </c>
      <c r="F9" s="76">
        <v>50</v>
      </c>
      <c r="G9" s="76">
        <f t="shared" ref="G9:G22" si="0">E9*F9</f>
        <v>1950</v>
      </c>
      <c r="H9" s="76"/>
      <c r="I9" s="76">
        <f>G9</f>
        <v>1950</v>
      </c>
    </row>
    <row r="10" spans="2:9" ht="33" x14ac:dyDescent="0.25">
      <c r="B10" s="74" t="s">
        <v>88</v>
      </c>
      <c r="C10" s="78" t="s">
        <v>89</v>
      </c>
      <c r="D10" s="74" t="s">
        <v>87</v>
      </c>
      <c r="E10" s="75">
        <v>80</v>
      </c>
      <c r="F10" s="76">
        <v>50</v>
      </c>
      <c r="G10" s="76">
        <f t="shared" si="0"/>
        <v>4000</v>
      </c>
      <c r="H10" s="76"/>
      <c r="I10" s="76">
        <f>G10</f>
        <v>4000</v>
      </c>
    </row>
    <row r="11" spans="2:9" ht="16.5" x14ac:dyDescent="0.25">
      <c r="B11" s="74" t="s">
        <v>90</v>
      </c>
      <c r="C11" s="77" t="s">
        <v>91</v>
      </c>
      <c r="D11" s="74" t="s">
        <v>87</v>
      </c>
      <c r="E11" s="75">
        <v>7</v>
      </c>
      <c r="F11" s="76">
        <v>40</v>
      </c>
      <c r="G11" s="76">
        <f t="shared" si="0"/>
        <v>280</v>
      </c>
      <c r="H11" s="76"/>
      <c r="I11" s="76">
        <f>G11</f>
        <v>280</v>
      </c>
    </row>
    <row r="12" spans="2:9" ht="16.5" x14ac:dyDescent="0.25">
      <c r="B12" s="74" t="s">
        <v>92</v>
      </c>
      <c r="C12" s="77" t="s">
        <v>93</v>
      </c>
      <c r="D12" s="74" t="s">
        <v>87</v>
      </c>
      <c r="E12" s="75">
        <v>7</v>
      </c>
      <c r="F12" s="76">
        <v>40</v>
      </c>
      <c r="G12" s="76">
        <f t="shared" si="0"/>
        <v>280</v>
      </c>
      <c r="H12" s="76"/>
      <c r="I12" s="76">
        <f>G12</f>
        <v>280</v>
      </c>
    </row>
    <row r="13" spans="2:9" ht="16.5" x14ac:dyDescent="0.25">
      <c r="B13" s="74" t="s">
        <v>94</v>
      </c>
      <c r="C13" s="77" t="s">
        <v>95</v>
      </c>
      <c r="D13" s="74" t="s">
        <v>96</v>
      </c>
      <c r="E13" s="75">
        <v>9</v>
      </c>
      <c r="F13" s="77">
        <f>16*1.18*3.15</f>
        <v>59.471999999999994</v>
      </c>
      <c r="G13" s="76">
        <f t="shared" si="0"/>
        <v>535.24799999999993</v>
      </c>
      <c r="H13" s="76">
        <f t="shared" ref="H13:H22" si="1">G13</f>
        <v>535.24799999999993</v>
      </c>
      <c r="I13" s="76"/>
    </row>
    <row r="14" spans="2:9" ht="16.5" x14ac:dyDescent="0.25">
      <c r="B14" s="74" t="s">
        <v>97</v>
      </c>
      <c r="C14" s="77" t="s">
        <v>98</v>
      </c>
      <c r="D14" s="74" t="s">
        <v>99</v>
      </c>
      <c r="E14" s="75">
        <v>3</v>
      </c>
      <c r="F14" s="76">
        <f>E14*3.2*1.18</f>
        <v>11.328000000000001</v>
      </c>
      <c r="G14" s="76">
        <f t="shared" si="0"/>
        <v>33.984000000000002</v>
      </c>
      <c r="H14" s="76">
        <f t="shared" si="1"/>
        <v>33.984000000000002</v>
      </c>
      <c r="I14" s="76"/>
    </row>
    <row r="15" spans="2:9" ht="33" x14ac:dyDescent="0.25">
      <c r="B15" s="74" t="s">
        <v>100</v>
      </c>
      <c r="C15" s="78" t="s">
        <v>101</v>
      </c>
      <c r="D15" s="74" t="s">
        <v>102</v>
      </c>
      <c r="E15" s="75">
        <v>5</v>
      </c>
      <c r="F15" s="76">
        <v>11.33</v>
      </c>
      <c r="G15" s="76">
        <f t="shared" si="0"/>
        <v>56.65</v>
      </c>
      <c r="H15" s="76">
        <f t="shared" si="1"/>
        <v>56.65</v>
      </c>
      <c r="I15" s="76"/>
    </row>
    <row r="16" spans="2:9" ht="16.5" x14ac:dyDescent="0.25">
      <c r="B16" s="74" t="s">
        <v>103</v>
      </c>
      <c r="C16" s="77" t="s">
        <v>104</v>
      </c>
      <c r="D16" s="74" t="s">
        <v>102</v>
      </c>
      <c r="E16" s="75">
        <v>1</v>
      </c>
      <c r="F16" s="76">
        <v>11.33</v>
      </c>
      <c r="G16" s="76">
        <f t="shared" si="0"/>
        <v>11.33</v>
      </c>
      <c r="H16" s="76">
        <f t="shared" si="1"/>
        <v>11.33</v>
      </c>
      <c r="I16" s="76"/>
    </row>
    <row r="17" spans="2:9" ht="16.5" x14ac:dyDescent="0.25">
      <c r="B17" s="74" t="s">
        <v>105</v>
      </c>
      <c r="C17" s="77" t="s">
        <v>106</v>
      </c>
      <c r="D17" s="74" t="s">
        <v>102</v>
      </c>
      <c r="E17" s="75">
        <v>1</v>
      </c>
      <c r="F17" s="76">
        <v>11.33</v>
      </c>
      <c r="G17" s="76">
        <f t="shared" si="0"/>
        <v>11.33</v>
      </c>
      <c r="H17" s="76">
        <f t="shared" si="1"/>
        <v>11.33</v>
      </c>
      <c r="I17" s="76"/>
    </row>
    <row r="18" spans="2:9" ht="16.5" x14ac:dyDescent="0.25">
      <c r="B18" s="74" t="s">
        <v>107</v>
      </c>
      <c r="C18" s="77" t="s">
        <v>108</v>
      </c>
      <c r="D18" s="74" t="s">
        <v>109</v>
      </c>
      <c r="E18" s="75">
        <v>160</v>
      </c>
      <c r="F18" s="76">
        <f>21.2</f>
        <v>21.2</v>
      </c>
      <c r="G18" s="76">
        <f t="shared" si="0"/>
        <v>3392</v>
      </c>
      <c r="H18" s="76">
        <f t="shared" si="1"/>
        <v>3392</v>
      </c>
      <c r="I18" s="76"/>
    </row>
    <row r="19" spans="2:9" ht="16.5" x14ac:dyDescent="0.25">
      <c r="B19" s="74" t="s">
        <v>110</v>
      </c>
      <c r="C19" s="77" t="s">
        <v>111</v>
      </c>
      <c r="D19" s="74" t="s">
        <v>78</v>
      </c>
      <c r="E19" s="75">
        <v>8</v>
      </c>
      <c r="F19" s="76">
        <v>35</v>
      </c>
      <c r="G19" s="76">
        <f t="shared" si="0"/>
        <v>280</v>
      </c>
      <c r="H19" s="76">
        <f t="shared" si="1"/>
        <v>280</v>
      </c>
      <c r="I19" s="76"/>
    </row>
    <row r="20" spans="2:9" ht="16.5" x14ac:dyDescent="0.25">
      <c r="B20" s="74" t="s">
        <v>112</v>
      </c>
      <c r="C20" s="77" t="s">
        <v>113</v>
      </c>
      <c r="D20" s="74" t="s">
        <v>78</v>
      </c>
      <c r="E20" s="75">
        <v>4</v>
      </c>
      <c r="F20" s="77">
        <v>35</v>
      </c>
      <c r="G20" s="76">
        <f t="shared" si="0"/>
        <v>140</v>
      </c>
      <c r="H20" s="76">
        <f t="shared" si="1"/>
        <v>140</v>
      </c>
      <c r="I20" s="77"/>
    </row>
    <row r="21" spans="2:9" ht="16.5" x14ac:dyDescent="0.25">
      <c r="B21" s="74" t="s">
        <v>114</v>
      </c>
      <c r="C21" s="77" t="s">
        <v>115</v>
      </c>
      <c r="D21" s="74" t="s">
        <v>116</v>
      </c>
      <c r="E21" s="75">
        <v>1</v>
      </c>
      <c r="F21" s="77">
        <v>75</v>
      </c>
      <c r="G21" s="76">
        <f t="shared" si="0"/>
        <v>75</v>
      </c>
      <c r="H21" s="76">
        <f t="shared" si="1"/>
        <v>75</v>
      </c>
      <c r="I21" s="77"/>
    </row>
    <row r="22" spans="2:9" ht="16.5" x14ac:dyDescent="0.25">
      <c r="B22" s="74" t="s">
        <v>117</v>
      </c>
      <c r="C22" s="77" t="s">
        <v>118</v>
      </c>
      <c r="D22" s="74" t="s">
        <v>78</v>
      </c>
      <c r="E22" s="75">
        <v>1</v>
      </c>
      <c r="F22" s="77">
        <v>65</v>
      </c>
      <c r="G22" s="76">
        <f t="shared" si="0"/>
        <v>65</v>
      </c>
      <c r="H22" s="76">
        <f t="shared" si="1"/>
        <v>65</v>
      </c>
      <c r="I22" s="77"/>
    </row>
    <row r="23" spans="2:9" ht="16.5" x14ac:dyDescent="0.25">
      <c r="B23" s="71" t="s">
        <v>119</v>
      </c>
      <c r="C23" s="73" t="s">
        <v>120</v>
      </c>
      <c r="D23" s="74"/>
      <c r="E23" s="79"/>
      <c r="F23" s="76"/>
      <c r="G23" s="76"/>
      <c r="H23" s="76"/>
      <c r="I23" s="76"/>
    </row>
    <row r="24" spans="2:9" ht="16.5" x14ac:dyDescent="0.25">
      <c r="B24" s="74" t="s">
        <v>121</v>
      </c>
      <c r="C24" s="77" t="s">
        <v>122</v>
      </c>
      <c r="D24" s="74" t="s">
        <v>123</v>
      </c>
      <c r="E24" s="75">
        <v>54</v>
      </c>
      <c r="F24" s="76">
        <v>10</v>
      </c>
      <c r="G24" s="76">
        <f t="shared" ref="G24:G56" si="2">E24*F24</f>
        <v>540</v>
      </c>
      <c r="H24" s="76"/>
      <c r="I24" s="76">
        <f>G24</f>
        <v>540</v>
      </c>
    </row>
    <row r="25" spans="2:9" ht="16.5" x14ac:dyDescent="0.25">
      <c r="B25" s="74" t="s">
        <v>124</v>
      </c>
      <c r="C25" s="77" t="s">
        <v>125</v>
      </c>
      <c r="D25" s="74" t="s">
        <v>123</v>
      </c>
      <c r="E25" s="75">
        <v>45</v>
      </c>
      <c r="F25" s="76">
        <v>10</v>
      </c>
      <c r="G25" s="76">
        <f t="shared" si="2"/>
        <v>450</v>
      </c>
      <c r="H25" s="76"/>
      <c r="I25" s="76">
        <f>G25</f>
        <v>450</v>
      </c>
    </row>
    <row r="26" spans="2:9" ht="16.5" x14ac:dyDescent="0.25">
      <c r="B26" s="71" t="s">
        <v>126</v>
      </c>
      <c r="C26" s="73" t="s">
        <v>127</v>
      </c>
      <c r="D26" s="74"/>
      <c r="E26" s="79"/>
      <c r="F26" s="76"/>
      <c r="G26" s="76">
        <f t="shared" si="2"/>
        <v>0</v>
      </c>
      <c r="H26" s="76"/>
      <c r="I26" s="76"/>
    </row>
    <row r="27" spans="2:9" ht="16.5" x14ac:dyDescent="0.25">
      <c r="B27" s="74" t="s">
        <v>128</v>
      </c>
      <c r="C27" s="80" t="s">
        <v>129</v>
      </c>
      <c r="D27" s="71" t="s">
        <v>130</v>
      </c>
      <c r="E27" s="75">
        <v>12</v>
      </c>
      <c r="F27" s="76">
        <f>34.07*1.18</f>
        <v>40.202599999999997</v>
      </c>
      <c r="G27" s="76">
        <f t="shared" si="2"/>
        <v>482.43119999999999</v>
      </c>
      <c r="H27" s="76">
        <f t="shared" ref="H27:H56" si="3">G27</f>
        <v>482.43119999999999</v>
      </c>
      <c r="I27" s="76"/>
    </row>
    <row r="28" spans="2:9" ht="16.5" x14ac:dyDescent="0.25">
      <c r="B28" s="74" t="s">
        <v>131</v>
      </c>
      <c r="C28" s="80" t="s">
        <v>132</v>
      </c>
      <c r="D28" s="71" t="s">
        <v>109</v>
      </c>
      <c r="E28" s="75">
        <v>2</v>
      </c>
      <c r="F28" s="76">
        <f>8.52*1.18</f>
        <v>10.053599999999999</v>
      </c>
      <c r="G28" s="76">
        <f t="shared" si="2"/>
        <v>20.107199999999999</v>
      </c>
      <c r="H28" s="76">
        <f t="shared" si="3"/>
        <v>20.107199999999999</v>
      </c>
      <c r="I28" s="76"/>
    </row>
    <row r="29" spans="2:9" ht="16.5" x14ac:dyDescent="0.25">
      <c r="B29" s="71" t="s">
        <v>133</v>
      </c>
      <c r="C29" s="73" t="s">
        <v>134</v>
      </c>
      <c r="D29" s="74"/>
      <c r="E29" s="79"/>
      <c r="F29" s="76"/>
      <c r="G29" s="76">
        <f t="shared" si="2"/>
        <v>0</v>
      </c>
      <c r="H29" s="76">
        <f t="shared" si="3"/>
        <v>0</v>
      </c>
      <c r="I29" s="76"/>
    </row>
    <row r="30" spans="2:9" ht="16.5" x14ac:dyDescent="0.25">
      <c r="B30" s="74" t="s">
        <v>135</v>
      </c>
      <c r="C30" s="77" t="s">
        <v>136</v>
      </c>
      <c r="D30" s="74" t="s">
        <v>123</v>
      </c>
      <c r="E30" s="75">
        <v>54</v>
      </c>
      <c r="F30" s="76">
        <v>12.5</v>
      </c>
      <c r="G30" s="76">
        <f t="shared" si="2"/>
        <v>675</v>
      </c>
      <c r="H30" s="76">
        <f t="shared" si="3"/>
        <v>675</v>
      </c>
      <c r="I30" s="76"/>
    </row>
    <row r="31" spans="2:9" ht="16.5" x14ac:dyDescent="0.25">
      <c r="B31" s="74" t="s">
        <v>137</v>
      </c>
      <c r="C31" s="77" t="s">
        <v>138</v>
      </c>
      <c r="D31" s="74" t="s">
        <v>123</v>
      </c>
      <c r="E31" s="75">
        <v>14</v>
      </c>
      <c r="F31" s="76">
        <v>20</v>
      </c>
      <c r="G31" s="76">
        <f t="shared" si="2"/>
        <v>280</v>
      </c>
      <c r="H31" s="76">
        <f t="shared" si="3"/>
        <v>280</v>
      </c>
      <c r="I31" s="76"/>
    </row>
    <row r="32" spans="2:9" ht="16.5" x14ac:dyDescent="0.25">
      <c r="B32" s="74" t="s">
        <v>139</v>
      </c>
      <c r="C32" s="77" t="s">
        <v>140</v>
      </c>
      <c r="D32" s="74" t="s">
        <v>123</v>
      </c>
      <c r="E32" s="75">
        <v>7.8</v>
      </c>
      <c r="F32" s="76">
        <v>120</v>
      </c>
      <c r="G32" s="76">
        <f t="shared" si="2"/>
        <v>936</v>
      </c>
      <c r="H32" s="76">
        <f t="shared" si="3"/>
        <v>936</v>
      </c>
      <c r="I32" s="76"/>
    </row>
    <row r="33" spans="2:9" ht="16.5" x14ac:dyDescent="0.25">
      <c r="B33" s="74" t="s">
        <v>141</v>
      </c>
      <c r="C33" s="80" t="s">
        <v>142</v>
      </c>
      <c r="D33" s="74" t="s">
        <v>123</v>
      </c>
      <c r="E33" s="75">
        <v>12</v>
      </c>
      <c r="F33" s="76">
        <v>24</v>
      </c>
      <c r="G33" s="76">
        <f t="shared" si="2"/>
        <v>288</v>
      </c>
      <c r="H33" s="76">
        <f t="shared" si="3"/>
        <v>288</v>
      </c>
      <c r="I33" s="76"/>
    </row>
    <row r="34" spans="2:9" ht="16.5" x14ac:dyDescent="0.25">
      <c r="B34" s="71" t="s">
        <v>143</v>
      </c>
      <c r="C34" s="73" t="s">
        <v>144</v>
      </c>
      <c r="D34" s="74"/>
      <c r="E34" s="79"/>
      <c r="F34" s="76"/>
      <c r="G34" s="76">
        <f t="shared" si="2"/>
        <v>0</v>
      </c>
      <c r="H34" s="76">
        <f t="shared" si="3"/>
        <v>0</v>
      </c>
      <c r="I34" s="76"/>
    </row>
    <row r="35" spans="2:9" ht="16.5" x14ac:dyDescent="0.25">
      <c r="B35" s="74" t="s">
        <v>145</v>
      </c>
      <c r="C35" s="77" t="s">
        <v>146</v>
      </c>
      <c r="D35" s="74" t="s">
        <v>147</v>
      </c>
      <c r="E35" s="75">
        <v>2</v>
      </c>
      <c r="F35" s="76">
        <f>185*3.15</f>
        <v>582.75</v>
      </c>
      <c r="G35" s="76">
        <f t="shared" si="2"/>
        <v>1165.5</v>
      </c>
      <c r="H35" s="76">
        <f t="shared" si="3"/>
        <v>1165.5</v>
      </c>
      <c r="I35" s="76"/>
    </row>
    <row r="36" spans="2:9" ht="16.5" x14ac:dyDescent="0.25">
      <c r="B36" s="71" t="s">
        <v>148</v>
      </c>
      <c r="C36" s="73" t="s">
        <v>149</v>
      </c>
      <c r="D36" s="74"/>
      <c r="E36" s="79"/>
      <c r="F36" s="76"/>
      <c r="G36" s="76">
        <f t="shared" si="2"/>
        <v>0</v>
      </c>
      <c r="H36" s="76">
        <f t="shared" si="3"/>
        <v>0</v>
      </c>
      <c r="I36" s="76"/>
    </row>
    <row r="37" spans="2:9" ht="16.5" x14ac:dyDescent="0.25">
      <c r="B37" s="74" t="s">
        <v>150</v>
      </c>
      <c r="C37" s="80" t="s">
        <v>151</v>
      </c>
      <c r="D37" s="74" t="s">
        <v>78</v>
      </c>
      <c r="E37" s="79">
        <v>1</v>
      </c>
      <c r="F37" s="76">
        <v>450</v>
      </c>
      <c r="G37" s="76">
        <f t="shared" si="2"/>
        <v>450</v>
      </c>
      <c r="H37" s="76">
        <f t="shared" si="3"/>
        <v>450</v>
      </c>
      <c r="I37" s="76"/>
    </row>
    <row r="38" spans="2:9" ht="16.5" x14ac:dyDescent="0.25">
      <c r="B38" s="74" t="s">
        <v>152</v>
      </c>
      <c r="C38" s="77" t="s">
        <v>153</v>
      </c>
      <c r="D38" s="74" t="s">
        <v>78</v>
      </c>
      <c r="E38" s="75">
        <v>4</v>
      </c>
      <c r="F38" s="76">
        <v>75</v>
      </c>
      <c r="G38" s="76">
        <f t="shared" si="2"/>
        <v>300</v>
      </c>
      <c r="H38" s="76">
        <f t="shared" si="3"/>
        <v>300</v>
      </c>
      <c r="I38" s="76"/>
    </row>
    <row r="39" spans="2:9" ht="16.5" x14ac:dyDescent="0.25">
      <c r="B39" s="74" t="s">
        <v>154</v>
      </c>
      <c r="C39" s="77" t="s">
        <v>155</v>
      </c>
      <c r="D39" s="74" t="s">
        <v>123</v>
      </c>
      <c r="E39" s="79">
        <v>1</v>
      </c>
      <c r="F39" s="77">
        <v>95</v>
      </c>
      <c r="G39" s="76">
        <f t="shared" si="2"/>
        <v>95</v>
      </c>
      <c r="H39" s="76">
        <f t="shared" si="3"/>
        <v>95</v>
      </c>
      <c r="I39" s="77"/>
    </row>
    <row r="40" spans="2:9" ht="16.5" x14ac:dyDescent="0.25">
      <c r="B40" s="74" t="s">
        <v>156</v>
      </c>
      <c r="C40" s="77" t="s">
        <v>157</v>
      </c>
      <c r="D40" s="74" t="s">
        <v>78</v>
      </c>
      <c r="E40" s="75">
        <v>5</v>
      </c>
      <c r="F40" s="76">
        <v>45</v>
      </c>
      <c r="G40" s="76">
        <f t="shared" si="2"/>
        <v>225</v>
      </c>
      <c r="H40" s="76">
        <f t="shared" si="3"/>
        <v>225</v>
      </c>
      <c r="I40" s="76"/>
    </row>
    <row r="41" spans="2:9" ht="16.5" x14ac:dyDescent="0.25">
      <c r="B41" s="74" t="s">
        <v>158</v>
      </c>
      <c r="C41" s="77" t="s">
        <v>159</v>
      </c>
      <c r="D41" s="74" t="s">
        <v>78</v>
      </c>
      <c r="E41" s="75">
        <v>10</v>
      </c>
      <c r="F41" s="76">
        <v>75</v>
      </c>
      <c r="G41" s="76">
        <f t="shared" si="2"/>
        <v>750</v>
      </c>
      <c r="H41" s="76">
        <f t="shared" si="3"/>
        <v>750</v>
      </c>
      <c r="I41" s="76"/>
    </row>
    <row r="42" spans="2:9" ht="16.5" x14ac:dyDescent="0.25">
      <c r="B42" s="74" t="s">
        <v>160</v>
      </c>
      <c r="C42" s="77" t="s">
        <v>161</v>
      </c>
      <c r="D42" s="74" t="s">
        <v>123</v>
      </c>
      <c r="E42" s="75">
        <v>1</v>
      </c>
      <c r="F42" s="77">
        <v>85</v>
      </c>
      <c r="G42" s="76">
        <f t="shared" si="2"/>
        <v>85</v>
      </c>
      <c r="H42" s="76">
        <f t="shared" si="3"/>
        <v>85</v>
      </c>
      <c r="I42" s="77"/>
    </row>
    <row r="43" spans="2:9" ht="16.5" x14ac:dyDescent="0.25">
      <c r="B43" s="74" t="s">
        <v>162</v>
      </c>
      <c r="C43" s="77" t="s">
        <v>163</v>
      </c>
      <c r="D43" s="74" t="s">
        <v>123</v>
      </c>
      <c r="E43" s="75">
        <v>1</v>
      </c>
      <c r="F43" s="77">
        <v>55</v>
      </c>
      <c r="G43" s="76">
        <f t="shared" si="2"/>
        <v>55</v>
      </c>
      <c r="H43" s="76">
        <f t="shared" si="3"/>
        <v>55</v>
      </c>
      <c r="I43" s="77"/>
    </row>
    <row r="44" spans="2:9" ht="16.5" x14ac:dyDescent="0.25">
      <c r="B44" s="74" t="s">
        <v>164</v>
      </c>
      <c r="C44" s="77" t="s">
        <v>165</v>
      </c>
      <c r="D44" s="74" t="s">
        <v>123</v>
      </c>
      <c r="E44" s="75">
        <v>1</v>
      </c>
      <c r="F44" s="76">
        <v>55</v>
      </c>
      <c r="G44" s="76">
        <f t="shared" si="2"/>
        <v>55</v>
      </c>
      <c r="H44" s="76">
        <f t="shared" si="3"/>
        <v>55</v>
      </c>
      <c r="I44" s="76"/>
    </row>
    <row r="45" spans="2:9" ht="16.5" x14ac:dyDescent="0.25">
      <c r="B45" s="74" t="s">
        <v>166</v>
      </c>
      <c r="C45" s="77" t="s">
        <v>167</v>
      </c>
      <c r="D45" s="74" t="s">
        <v>78</v>
      </c>
      <c r="E45" s="75">
        <v>1</v>
      </c>
      <c r="F45" s="76">
        <v>450</v>
      </c>
      <c r="G45" s="76">
        <f t="shared" si="2"/>
        <v>450</v>
      </c>
      <c r="H45" s="76">
        <f t="shared" si="3"/>
        <v>450</v>
      </c>
      <c r="I45" s="76"/>
    </row>
    <row r="46" spans="2:9" ht="16.5" x14ac:dyDescent="0.25">
      <c r="B46" s="74" t="s">
        <v>168</v>
      </c>
      <c r="C46" s="77" t="s">
        <v>169</v>
      </c>
      <c r="D46" s="74" t="s">
        <v>170</v>
      </c>
      <c r="E46" s="75">
        <v>2</v>
      </c>
      <c r="F46" s="76">
        <v>350</v>
      </c>
      <c r="G46" s="76">
        <f t="shared" si="2"/>
        <v>700</v>
      </c>
      <c r="H46" s="76">
        <f t="shared" si="3"/>
        <v>700</v>
      </c>
      <c r="I46" s="76"/>
    </row>
    <row r="47" spans="2:9" ht="16.5" x14ac:dyDescent="0.25">
      <c r="B47" s="74" t="s">
        <v>171</v>
      </c>
      <c r="C47" s="77" t="s">
        <v>172</v>
      </c>
      <c r="D47" s="74" t="s">
        <v>78</v>
      </c>
      <c r="E47" s="75">
        <v>2</v>
      </c>
      <c r="F47" s="76">
        <v>120</v>
      </c>
      <c r="G47" s="76">
        <f t="shared" si="2"/>
        <v>240</v>
      </c>
      <c r="H47" s="76">
        <f t="shared" si="3"/>
        <v>240</v>
      </c>
      <c r="I47" s="76"/>
    </row>
    <row r="48" spans="2:9" ht="16.5" x14ac:dyDescent="0.25">
      <c r="B48" s="74" t="s">
        <v>173</v>
      </c>
      <c r="C48" s="77" t="s">
        <v>174</v>
      </c>
      <c r="D48" s="74" t="s">
        <v>175</v>
      </c>
      <c r="E48" s="75">
        <v>2</v>
      </c>
      <c r="F48" s="76">
        <v>45</v>
      </c>
      <c r="G48" s="76">
        <f t="shared" si="2"/>
        <v>90</v>
      </c>
      <c r="H48" s="76">
        <f t="shared" si="3"/>
        <v>90</v>
      </c>
      <c r="I48" s="76"/>
    </row>
    <row r="49" spans="2:9" ht="16.5" x14ac:dyDescent="0.25">
      <c r="B49" s="74" t="s">
        <v>176</v>
      </c>
      <c r="C49" s="77" t="s">
        <v>177</v>
      </c>
      <c r="D49" s="74" t="s">
        <v>78</v>
      </c>
      <c r="E49" s="75">
        <v>2</v>
      </c>
      <c r="F49" s="76">
        <v>35</v>
      </c>
      <c r="G49" s="76">
        <f t="shared" si="2"/>
        <v>70</v>
      </c>
      <c r="H49" s="76">
        <f t="shared" si="3"/>
        <v>70</v>
      </c>
      <c r="I49" s="76"/>
    </row>
    <row r="50" spans="2:9" ht="16.5" x14ac:dyDescent="0.25">
      <c r="B50" s="74" t="s">
        <v>178</v>
      </c>
      <c r="C50" s="77" t="s">
        <v>179</v>
      </c>
      <c r="D50" s="74" t="s">
        <v>78</v>
      </c>
      <c r="E50" s="75">
        <v>1</v>
      </c>
      <c r="F50" s="76">
        <v>180</v>
      </c>
      <c r="G50" s="76">
        <f t="shared" si="2"/>
        <v>180</v>
      </c>
      <c r="H50" s="76">
        <f t="shared" si="3"/>
        <v>180</v>
      </c>
      <c r="I50" s="76"/>
    </row>
    <row r="51" spans="2:9" ht="16.5" x14ac:dyDescent="0.25">
      <c r="B51" s="74" t="s">
        <v>180</v>
      </c>
      <c r="C51" s="77" t="s">
        <v>181</v>
      </c>
      <c r="D51" s="74" t="s">
        <v>78</v>
      </c>
      <c r="E51" s="75">
        <v>1</v>
      </c>
      <c r="F51" s="76">
        <v>250</v>
      </c>
      <c r="G51" s="76">
        <f t="shared" si="2"/>
        <v>250</v>
      </c>
      <c r="H51" s="76">
        <f t="shared" si="3"/>
        <v>250</v>
      </c>
      <c r="I51" s="76"/>
    </row>
    <row r="52" spans="2:9" ht="16.5" x14ac:dyDescent="0.25">
      <c r="B52" s="71" t="s">
        <v>182</v>
      </c>
      <c r="C52" s="73" t="s">
        <v>183</v>
      </c>
      <c r="D52" s="81"/>
      <c r="E52" s="82"/>
      <c r="F52" s="81"/>
      <c r="G52" s="76">
        <f t="shared" si="2"/>
        <v>0</v>
      </c>
      <c r="H52" s="76">
        <f t="shared" si="3"/>
        <v>0</v>
      </c>
      <c r="I52" s="81"/>
    </row>
    <row r="53" spans="2:9" ht="16.5" x14ac:dyDescent="0.25">
      <c r="B53" s="74" t="s">
        <v>184</v>
      </c>
      <c r="C53" s="77" t="s">
        <v>185</v>
      </c>
      <c r="D53" s="74" t="s">
        <v>170</v>
      </c>
      <c r="E53" s="75">
        <v>15</v>
      </c>
      <c r="F53" s="76">
        <v>12</v>
      </c>
      <c r="G53" s="76">
        <f t="shared" si="2"/>
        <v>180</v>
      </c>
      <c r="H53" s="76">
        <f t="shared" si="3"/>
        <v>180</v>
      </c>
      <c r="I53" s="76"/>
    </row>
    <row r="54" spans="2:9" ht="16.5" x14ac:dyDescent="0.25">
      <c r="B54" s="74" t="s">
        <v>186</v>
      </c>
      <c r="C54" s="77" t="s">
        <v>187</v>
      </c>
      <c r="D54" s="74" t="s">
        <v>170</v>
      </c>
      <c r="E54" s="75">
        <v>5</v>
      </c>
      <c r="F54" s="76">
        <v>25</v>
      </c>
      <c r="G54" s="76">
        <f t="shared" si="2"/>
        <v>125</v>
      </c>
      <c r="H54" s="76">
        <f t="shared" si="3"/>
        <v>125</v>
      </c>
      <c r="I54" s="76"/>
    </row>
    <row r="55" spans="2:9" ht="16.5" x14ac:dyDescent="0.25">
      <c r="B55" s="74" t="s">
        <v>188</v>
      </c>
      <c r="C55" s="73" t="s">
        <v>189</v>
      </c>
      <c r="D55" s="81"/>
      <c r="E55" s="82"/>
      <c r="F55" s="81"/>
      <c r="G55" s="76">
        <f t="shared" si="2"/>
        <v>0</v>
      </c>
      <c r="H55" s="76">
        <f t="shared" si="3"/>
        <v>0</v>
      </c>
      <c r="I55" s="81"/>
    </row>
    <row r="56" spans="2:9" ht="16.5" x14ac:dyDescent="0.25">
      <c r="B56" s="74" t="s">
        <v>190</v>
      </c>
      <c r="C56" s="80" t="s">
        <v>191</v>
      </c>
      <c r="D56" s="74" t="s">
        <v>78</v>
      </c>
      <c r="E56" s="75">
        <v>7</v>
      </c>
      <c r="F56" s="76">
        <v>280</v>
      </c>
      <c r="G56" s="76">
        <f t="shared" si="2"/>
        <v>1960</v>
      </c>
      <c r="H56" s="76">
        <f t="shared" si="3"/>
        <v>1960</v>
      </c>
      <c r="I56" s="76"/>
    </row>
    <row r="57" spans="2:9" ht="16.5" x14ac:dyDescent="0.25">
      <c r="B57" s="74"/>
      <c r="C57" s="80"/>
      <c r="D57" s="74"/>
      <c r="E57" s="75"/>
      <c r="F57" s="76"/>
      <c r="G57" s="76"/>
      <c r="H57" s="76"/>
      <c r="I57" s="76"/>
    </row>
    <row r="58" spans="2:9" ht="16.5" x14ac:dyDescent="0.25">
      <c r="B58" s="71" t="s">
        <v>192</v>
      </c>
      <c r="C58" s="73" t="s">
        <v>193</v>
      </c>
      <c r="D58" s="81"/>
      <c r="E58" s="82"/>
      <c r="F58" s="81"/>
      <c r="G58" s="76">
        <f>E58*F58</f>
        <v>0</v>
      </c>
      <c r="H58" s="76">
        <f>G58</f>
        <v>0</v>
      </c>
      <c r="I58" s="81"/>
    </row>
    <row r="59" spans="2:9" ht="16.5" x14ac:dyDescent="0.25">
      <c r="B59" s="74" t="s">
        <v>194</v>
      </c>
      <c r="C59" s="77" t="s">
        <v>195</v>
      </c>
      <c r="D59" s="74" t="s">
        <v>196</v>
      </c>
      <c r="E59" s="75">
        <v>3</v>
      </c>
      <c r="F59" s="76">
        <v>32</v>
      </c>
      <c r="G59" s="76">
        <f>E59*F59</f>
        <v>96</v>
      </c>
      <c r="H59" s="76">
        <f>G59</f>
        <v>96</v>
      </c>
      <c r="I59" s="76"/>
    </row>
    <row r="60" spans="2:9" ht="16.5" x14ac:dyDescent="0.25">
      <c r="B60" s="74" t="s">
        <v>197</v>
      </c>
      <c r="C60" s="77" t="s">
        <v>198</v>
      </c>
      <c r="D60" s="74" t="s">
        <v>196</v>
      </c>
      <c r="E60" s="75">
        <v>3</v>
      </c>
      <c r="F60" s="76">
        <v>32</v>
      </c>
      <c r="G60" s="76">
        <f>E60*F60</f>
        <v>96</v>
      </c>
      <c r="H60" s="76">
        <f>G60</f>
        <v>96</v>
      </c>
      <c r="I60" s="76"/>
    </row>
    <row r="61" spans="2:9" ht="16.5" x14ac:dyDescent="0.25">
      <c r="B61" s="69" t="s">
        <v>199</v>
      </c>
      <c r="C61" s="83" t="s">
        <v>200</v>
      </c>
      <c r="D61" s="74"/>
      <c r="E61" s="75"/>
      <c r="F61" s="76"/>
      <c r="G61" s="76"/>
      <c r="H61" s="76"/>
      <c r="I61" s="76"/>
    </row>
    <row r="62" spans="2:9" ht="16.5" x14ac:dyDescent="0.25">
      <c r="B62" s="74" t="s">
        <v>201</v>
      </c>
      <c r="C62" s="77" t="s">
        <v>202</v>
      </c>
      <c r="D62" s="74" t="s">
        <v>203</v>
      </c>
      <c r="E62" s="75">
        <v>1</v>
      </c>
      <c r="F62" s="76">
        <f>1769.4*3.15</f>
        <v>5573.6100000000006</v>
      </c>
      <c r="G62" s="76">
        <f>F62*E62</f>
        <v>5573.6100000000006</v>
      </c>
      <c r="H62" s="76">
        <f t="shared" ref="H62:H117" si="4">G62</f>
        <v>5573.6100000000006</v>
      </c>
      <c r="I62" s="76"/>
    </row>
    <row r="63" spans="2:9" ht="16.5" x14ac:dyDescent="0.25">
      <c r="B63" s="74" t="s">
        <v>204</v>
      </c>
      <c r="C63" s="84" t="s">
        <v>205</v>
      </c>
      <c r="D63" s="85" t="s">
        <v>203</v>
      </c>
      <c r="E63" s="86">
        <v>1</v>
      </c>
      <c r="F63">
        <f>2914*3.15</f>
        <v>9179.1</v>
      </c>
      <c r="G63">
        <f t="shared" ref="G63:G117" si="5">E63*F63</f>
        <v>9179.1</v>
      </c>
      <c r="H63" s="87">
        <f t="shared" si="4"/>
        <v>9179.1</v>
      </c>
      <c r="I63" s="76"/>
    </row>
    <row r="64" spans="2:9" ht="16.5" x14ac:dyDescent="0.25">
      <c r="B64" s="74" t="s">
        <v>206</v>
      </c>
      <c r="C64" s="80" t="s">
        <v>207</v>
      </c>
      <c r="D64" s="74" t="s">
        <v>78</v>
      </c>
      <c r="E64" s="75">
        <v>1</v>
      </c>
      <c r="F64" s="77">
        <f>500*3.15</f>
        <v>1575</v>
      </c>
      <c r="G64" s="76">
        <f t="shared" si="5"/>
        <v>1575</v>
      </c>
      <c r="H64" s="76">
        <f t="shared" si="4"/>
        <v>1575</v>
      </c>
      <c r="I64" s="76"/>
    </row>
    <row r="65" spans="2:9" ht="16.5" x14ac:dyDescent="0.25">
      <c r="B65" s="74" t="s">
        <v>208</v>
      </c>
      <c r="C65" s="80" t="s">
        <v>209</v>
      </c>
      <c r="D65" s="71" t="s">
        <v>78</v>
      </c>
      <c r="E65" s="75">
        <v>1</v>
      </c>
      <c r="F65" s="72">
        <v>980</v>
      </c>
      <c r="G65" s="76">
        <f t="shared" si="5"/>
        <v>980</v>
      </c>
      <c r="H65" s="76">
        <f t="shared" si="4"/>
        <v>980</v>
      </c>
      <c r="I65" s="76"/>
    </row>
    <row r="66" spans="2:9" ht="16.5" x14ac:dyDescent="0.25">
      <c r="B66" s="74" t="s">
        <v>210</v>
      </c>
      <c r="C66" s="73" t="s">
        <v>211</v>
      </c>
      <c r="D66" s="81"/>
      <c r="E66" s="82"/>
      <c r="F66" s="81"/>
      <c r="G66" s="76">
        <f t="shared" si="5"/>
        <v>0</v>
      </c>
      <c r="H66" s="76">
        <f t="shared" si="4"/>
        <v>0</v>
      </c>
      <c r="I66" s="81"/>
    </row>
    <row r="67" spans="2:9" ht="16.5" x14ac:dyDescent="0.25">
      <c r="B67" s="74" t="s">
        <v>212</v>
      </c>
      <c r="C67" s="77" t="s">
        <v>213</v>
      </c>
      <c r="D67" s="74" t="s">
        <v>78</v>
      </c>
      <c r="E67" s="75">
        <v>1</v>
      </c>
      <c r="F67" s="76">
        <v>75</v>
      </c>
      <c r="G67" s="76">
        <f t="shared" si="5"/>
        <v>75</v>
      </c>
      <c r="H67" s="76">
        <f t="shared" si="4"/>
        <v>75</v>
      </c>
      <c r="I67" s="76"/>
    </row>
    <row r="68" spans="2:9" ht="16.5" x14ac:dyDescent="0.25">
      <c r="B68" s="74" t="s">
        <v>214</v>
      </c>
      <c r="C68" s="80" t="s">
        <v>215</v>
      </c>
      <c r="D68" s="74" t="s">
        <v>78</v>
      </c>
      <c r="E68" s="75">
        <v>1</v>
      </c>
      <c r="F68" s="76">
        <v>145</v>
      </c>
      <c r="G68" s="76">
        <f t="shared" si="5"/>
        <v>145</v>
      </c>
      <c r="H68" s="76">
        <f t="shared" si="4"/>
        <v>145</v>
      </c>
      <c r="I68" s="76"/>
    </row>
    <row r="69" spans="2:9" ht="16.5" x14ac:dyDescent="0.25">
      <c r="B69" s="74" t="s">
        <v>216</v>
      </c>
      <c r="C69" s="80" t="s">
        <v>217</v>
      </c>
      <c r="D69" s="74" t="s">
        <v>78</v>
      </c>
      <c r="E69" s="75">
        <v>2</v>
      </c>
      <c r="F69" s="76">
        <v>129</v>
      </c>
      <c r="G69" s="76">
        <f t="shared" si="5"/>
        <v>258</v>
      </c>
      <c r="H69" s="76">
        <f t="shared" si="4"/>
        <v>258</v>
      </c>
      <c r="I69" s="76"/>
    </row>
    <row r="70" spans="2:9" ht="16.5" x14ac:dyDescent="0.25">
      <c r="B70" s="74" t="s">
        <v>218</v>
      </c>
      <c r="C70" s="80" t="s">
        <v>219</v>
      </c>
      <c r="D70" s="74" t="s">
        <v>123</v>
      </c>
      <c r="E70" s="75">
        <v>1</v>
      </c>
      <c r="F70" s="76">
        <v>50</v>
      </c>
      <c r="G70" s="76">
        <f t="shared" si="5"/>
        <v>50</v>
      </c>
      <c r="H70" s="76">
        <f t="shared" si="4"/>
        <v>50</v>
      </c>
      <c r="I70" s="76"/>
    </row>
    <row r="71" spans="2:9" ht="16.5" x14ac:dyDescent="0.25">
      <c r="B71" s="74" t="s">
        <v>220</v>
      </c>
      <c r="C71" s="80" t="s">
        <v>221</v>
      </c>
      <c r="D71" s="74" t="s">
        <v>78</v>
      </c>
      <c r="E71" s="79">
        <v>1</v>
      </c>
      <c r="F71" s="77">
        <v>320</v>
      </c>
      <c r="G71" s="76">
        <f t="shared" si="5"/>
        <v>320</v>
      </c>
      <c r="H71" s="76">
        <f t="shared" si="4"/>
        <v>320</v>
      </c>
      <c r="I71" s="77"/>
    </row>
    <row r="72" spans="2:9" ht="16.5" x14ac:dyDescent="0.25">
      <c r="B72" s="74" t="s">
        <v>222</v>
      </c>
      <c r="C72" s="80" t="s">
        <v>223</v>
      </c>
      <c r="D72" s="74" t="s">
        <v>123</v>
      </c>
      <c r="E72" s="75">
        <v>1</v>
      </c>
      <c r="F72" s="77">
        <v>750</v>
      </c>
      <c r="G72" s="76">
        <f t="shared" si="5"/>
        <v>750</v>
      </c>
      <c r="H72" s="76">
        <f t="shared" si="4"/>
        <v>750</v>
      </c>
      <c r="I72" s="77"/>
    </row>
    <row r="73" spans="2:9" ht="16.5" x14ac:dyDescent="0.25">
      <c r="B73" s="74" t="s">
        <v>224</v>
      </c>
      <c r="C73" s="80" t="s">
        <v>225</v>
      </c>
      <c r="D73" s="74" t="s">
        <v>175</v>
      </c>
      <c r="E73" s="75">
        <v>1</v>
      </c>
      <c r="F73" s="77">
        <v>125</v>
      </c>
      <c r="G73" s="76">
        <f t="shared" si="5"/>
        <v>125</v>
      </c>
      <c r="H73" s="76">
        <f t="shared" si="4"/>
        <v>125</v>
      </c>
      <c r="I73" s="77"/>
    </row>
    <row r="74" spans="2:9" ht="16.5" x14ac:dyDescent="0.25">
      <c r="B74" s="69" t="s">
        <v>226</v>
      </c>
      <c r="C74" s="73" t="s">
        <v>227</v>
      </c>
      <c r="D74" s="71"/>
      <c r="E74" s="75"/>
      <c r="F74" s="76"/>
      <c r="G74" s="76">
        <f t="shared" si="5"/>
        <v>0</v>
      </c>
      <c r="H74" s="76">
        <f t="shared" si="4"/>
        <v>0</v>
      </c>
      <c r="I74" s="76"/>
    </row>
    <row r="75" spans="2:9" ht="16.5" x14ac:dyDescent="0.25">
      <c r="B75" s="69" t="s">
        <v>228</v>
      </c>
      <c r="C75" s="73" t="s">
        <v>229</v>
      </c>
      <c r="D75" s="71"/>
      <c r="E75" s="75"/>
      <c r="F75" s="76"/>
      <c r="G75" s="76">
        <f t="shared" si="5"/>
        <v>0</v>
      </c>
      <c r="H75" s="76">
        <f t="shared" si="4"/>
        <v>0</v>
      </c>
      <c r="I75" s="76"/>
    </row>
    <row r="76" spans="2:9" ht="16.5" x14ac:dyDescent="0.25">
      <c r="B76" s="71" t="s">
        <v>230</v>
      </c>
      <c r="C76" s="80" t="s">
        <v>231</v>
      </c>
      <c r="D76" s="71" t="s">
        <v>170</v>
      </c>
      <c r="E76" s="75">
        <v>1</v>
      </c>
      <c r="F76" s="72">
        <v>12.5</v>
      </c>
      <c r="G76" s="76">
        <f t="shared" si="5"/>
        <v>12.5</v>
      </c>
      <c r="H76" s="76">
        <f t="shared" si="4"/>
        <v>12.5</v>
      </c>
      <c r="I76" s="76"/>
    </row>
    <row r="77" spans="2:9" ht="16.5" x14ac:dyDescent="0.25">
      <c r="B77" s="71" t="s">
        <v>232</v>
      </c>
      <c r="C77" s="80" t="s">
        <v>233</v>
      </c>
      <c r="D77" s="71" t="s">
        <v>170</v>
      </c>
      <c r="E77" s="75">
        <v>3</v>
      </c>
      <c r="F77" s="72">
        <v>12</v>
      </c>
      <c r="G77" s="76">
        <f t="shared" si="5"/>
        <v>36</v>
      </c>
      <c r="H77" s="76">
        <f t="shared" si="4"/>
        <v>36</v>
      </c>
      <c r="I77" s="76"/>
    </row>
    <row r="78" spans="2:9" ht="16.5" x14ac:dyDescent="0.25">
      <c r="B78" s="71" t="s">
        <v>234</v>
      </c>
      <c r="C78" s="80" t="s">
        <v>235</v>
      </c>
      <c r="D78" s="71" t="s">
        <v>170</v>
      </c>
      <c r="E78" s="75">
        <v>1</v>
      </c>
      <c r="F78" s="72">
        <v>16</v>
      </c>
      <c r="G78" s="76">
        <f t="shared" si="5"/>
        <v>16</v>
      </c>
      <c r="H78" s="76">
        <f t="shared" si="4"/>
        <v>16</v>
      </c>
      <c r="I78" s="76"/>
    </row>
    <row r="79" spans="2:9" ht="16.5" x14ac:dyDescent="0.25">
      <c r="B79" s="71" t="s">
        <v>236</v>
      </c>
      <c r="C79" s="80" t="s">
        <v>237</v>
      </c>
      <c r="D79" s="71" t="s">
        <v>170</v>
      </c>
      <c r="E79" s="75">
        <v>1</v>
      </c>
      <c r="F79" s="72">
        <v>15</v>
      </c>
      <c r="G79" s="76">
        <f t="shared" si="5"/>
        <v>15</v>
      </c>
      <c r="H79" s="76">
        <f t="shared" si="4"/>
        <v>15</v>
      </c>
      <c r="I79" s="76"/>
    </row>
    <row r="80" spans="2:9" ht="16.5" x14ac:dyDescent="0.25">
      <c r="B80" s="69" t="s">
        <v>238</v>
      </c>
      <c r="C80" s="73" t="s">
        <v>239</v>
      </c>
      <c r="D80" s="73"/>
      <c r="E80" s="88"/>
      <c r="F80" s="73"/>
      <c r="G80" s="76">
        <f t="shared" si="5"/>
        <v>0</v>
      </c>
      <c r="H80" s="76">
        <f t="shared" si="4"/>
        <v>0</v>
      </c>
      <c r="I80" s="73"/>
    </row>
    <row r="81" spans="2:9" ht="16.5" x14ac:dyDescent="0.25">
      <c r="B81" s="71" t="s">
        <v>240</v>
      </c>
      <c r="C81" s="80" t="s">
        <v>241</v>
      </c>
      <c r="D81" s="71" t="s">
        <v>242</v>
      </c>
      <c r="E81" s="75">
        <v>1</v>
      </c>
      <c r="F81" s="72">
        <v>12</v>
      </c>
      <c r="G81" s="76">
        <f t="shared" si="5"/>
        <v>12</v>
      </c>
      <c r="H81" s="76">
        <f t="shared" si="4"/>
        <v>12</v>
      </c>
      <c r="I81" s="76"/>
    </row>
    <row r="82" spans="2:9" ht="16.5" x14ac:dyDescent="0.25">
      <c r="B82" s="69" t="s">
        <v>243</v>
      </c>
      <c r="C82" s="73" t="s">
        <v>244</v>
      </c>
      <c r="D82" s="73"/>
      <c r="E82" s="88"/>
      <c r="F82" s="73"/>
      <c r="G82" s="76">
        <f t="shared" si="5"/>
        <v>0</v>
      </c>
      <c r="H82" s="76">
        <f t="shared" si="4"/>
        <v>0</v>
      </c>
      <c r="I82" s="73"/>
    </row>
    <row r="83" spans="2:9" ht="16.5" x14ac:dyDescent="0.25">
      <c r="B83" s="71" t="s">
        <v>245</v>
      </c>
      <c r="C83" s="80" t="s">
        <v>246</v>
      </c>
      <c r="D83" s="71" t="s">
        <v>78</v>
      </c>
      <c r="E83" s="75">
        <v>2</v>
      </c>
      <c r="F83" s="72">
        <v>2.5</v>
      </c>
      <c r="G83" s="76">
        <f t="shared" si="5"/>
        <v>5</v>
      </c>
      <c r="H83" s="76">
        <f t="shared" si="4"/>
        <v>5</v>
      </c>
      <c r="I83" s="80"/>
    </row>
    <row r="84" spans="2:9" ht="16.5" x14ac:dyDescent="0.25">
      <c r="B84" s="71" t="s">
        <v>247</v>
      </c>
      <c r="C84" s="80" t="s">
        <v>248</v>
      </c>
      <c r="D84" s="71" t="s">
        <v>116</v>
      </c>
      <c r="E84" s="75">
        <v>4</v>
      </c>
      <c r="F84" s="72">
        <v>2</v>
      </c>
      <c r="G84" s="76">
        <f t="shared" si="5"/>
        <v>8</v>
      </c>
      <c r="H84" s="76">
        <f t="shared" si="4"/>
        <v>8</v>
      </c>
      <c r="I84" s="80"/>
    </row>
    <row r="85" spans="2:9" ht="16.5" x14ac:dyDescent="0.25">
      <c r="B85" s="69" t="s">
        <v>249</v>
      </c>
      <c r="C85" s="73" t="s">
        <v>250</v>
      </c>
      <c r="D85" s="71"/>
      <c r="E85" s="89"/>
      <c r="F85" s="71"/>
      <c r="G85" s="76">
        <f t="shared" si="5"/>
        <v>0</v>
      </c>
      <c r="H85" s="76">
        <f t="shared" si="4"/>
        <v>0</v>
      </c>
      <c r="I85" s="76"/>
    </row>
    <row r="86" spans="2:9" ht="16.5" x14ac:dyDescent="0.25">
      <c r="B86" s="71" t="s">
        <v>251</v>
      </c>
      <c r="C86" s="80" t="s">
        <v>252</v>
      </c>
      <c r="D86" s="71" t="s">
        <v>170</v>
      </c>
      <c r="E86" s="75">
        <v>1</v>
      </c>
      <c r="F86" s="72">
        <v>8.5</v>
      </c>
      <c r="G86" s="76">
        <f t="shared" si="5"/>
        <v>8.5</v>
      </c>
      <c r="H86" s="76">
        <f t="shared" si="4"/>
        <v>8.5</v>
      </c>
      <c r="I86" s="76"/>
    </row>
    <row r="87" spans="2:9" ht="16.5" x14ac:dyDescent="0.25">
      <c r="B87" s="71" t="s">
        <v>253</v>
      </c>
      <c r="C87" s="80" t="s">
        <v>254</v>
      </c>
      <c r="D87" s="71" t="s">
        <v>170</v>
      </c>
      <c r="E87" s="75">
        <v>1</v>
      </c>
      <c r="F87" s="72">
        <v>9.5</v>
      </c>
      <c r="G87" s="76">
        <f t="shared" si="5"/>
        <v>9.5</v>
      </c>
      <c r="H87" s="76">
        <f t="shared" si="4"/>
        <v>9.5</v>
      </c>
      <c r="I87" s="76"/>
    </row>
    <row r="88" spans="2:9" ht="16.5" x14ac:dyDescent="0.25">
      <c r="B88" s="69" t="s">
        <v>255</v>
      </c>
      <c r="C88" s="73" t="s">
        <v>256</v>
      </c>
      <c r="D88" s="71"/>
      <c r="E88" s="89"/>
      <c r="F88" s="71"/>
      <c r="G88" s="76">
        <f t="shared" si="5"/>
        <v>0</v>
      </c>
      <c r="H88" s="76">
        <f t="shared" si="4"/>
        <v>0</v>
      </c>
      <c r="I88" s="76"/>
    </row>
    <row r="89" spans="2:9" ht="16.5" x14ac:dyDescent="0.25">
      <c r="B89" s="71" t="s">
        <v>257</v>
      </c>
      <c r="C89" s="80" t="s">
        <v>258</v>
      </c>
      <c r="D89" s="71" t="s">
        <v>170</v>
      </c>
      <c r="E89" s="75">
        <v>1</v>
      </c>
      <c r="F89" s="72">
        <v>95</v>
      </c>
      <c r="G89" s="76">
        <f t="shared" si="5"/>
        <v>95</v>
      </c>
      <c r="H89" s="76">
        <f t="shared" si="4"/>
        <v>95</v>
      </c>
      <c r="I89" s="76"/>
    </row>
    <row r="90" spans="2:9" ht="16.5" x14ac:dyDescent="0.25">
      <c r="B90" s="71" t="s">
        <v>259</v>
      </c>
      <c r="C90" s="80" t="s">
        <v>260</v>
      </c>
      <c r="D90" s="71" t="s">
        <v>170</v>
      </c>
      <c r="E90" s="75">
        <v>1</v>
      </c>
      <c r="F90" s="72">
        <v>105</v>
      </c>
      <c r="G90" s="76">
        <f t="shared" si="5"/>
        <v>105</v>
      </c>
      <c r="H90" s="76">
        <f t="shared" si="4"/>
        <v>105</v>
      </c>
      <c r="I90" s="76"/>
    </row>
    <row r="91" spans="2:9" ht="16.5" x14ac:dyDescent="0.25">
      <c r="B91" s="69" t="s">
        <v>261</v>
      </c>
      <c r="C91" s="73" t="s">
        <v>262</v>
      </c>
      <c r="D91" s="71"/>
      <c r="E91" s="75"/>
      <c r="F91" s="72"/>
      <c r="G91" s="76">
        <f t="shared" si="5"/>
        <v>0</v>
      </c>
      <c r="H91" s="76">
        <f t="shared" si="4"/>
        <v>0</v>
      </c>
      <c r="I91" s="76"/>
    </row>
    <row r="92" spans="2:9" ht="16.5" x14ac:dyDescent="0.25">
      <c r="B92" s="69" t="s">
        <v>263</v>
      </c>
      <c r="C92" s="73" t="s">
        <v>264</v>
      </c>
      <c r="D92" s="71"/>
      <c r="E92" s="89"/>
      <c r="F92" s="71"/>
      <c r="G92" s="76">
        <f t="shared" si="5"/>
        <v>0</v>
      </c>
      <c r="H92" s="76">
        <f t="shared" si="4"/>
        <v>0</v>
      </c>
      <c r="I92" s="76"/>
    </row>
    <row r="93" spans="2:9" ht="16.5" x14ac:dyDescent="0.25">
      <c r="B93" s="71" t="s">
        <v>265</v>
      </c>
      <c r="C93" s="80" t="s">
        <v>266</v>
      </c>
      <c r="D93" s="71" t="s">
        <v>170</v>
      </c>
      <c r="E93" s="75">
        <v>1</v>
      </c>
      <c r="F93" s="72">
        <v>5</v>
      </c>
      <c r="G93" s="76">
        <f t="shared" si="5"/>
        <v>5</v>
      </c>
      <c r="H93" s="76">
        <f t="shared" si="4"/>
        <v>5</v>
      </c>
      <c r="I93" s="76"/>
    </row>
    <row r="94" spans="2:9" ht="16.5" x14ac:dyDescent="0.25">
      <c r="B94" s="71" t="s">
        <v>267</v>
      </c>
      <c r="C94" s="80" t="s">
        <v>268</v>
      </c>
      <c r="D94" s="71" t="s">
        <v>170</v>
      </c>
      <c r="E94" s="89">
        <v>1</v>
      </c>
      <c r="F94" s="71">
        <v>3.5</v>
      </c>
      <c r="G94" s="76">
        <f t="shared" si="5"/>
        <v>3.5</v>
      </c>
      <c r="H94" s="76">
        <f t="shared" si="4"/>
        <v>3.5</v>
      </c>
      <c r="I94" s="76"/>
    </row>
    <row r="95" spans="2:9" ht="16.5" x14ac:dyDescent="0.25">
      <c r="B95" s="71" t="s">
        <v>269</v>
      </c>
      <c r="C95" s="80" t="s">
        <v>270</v>
      </c>
      <c r="D95" s="71" t="s">
        <v>170</v>
      </c>
      <c r="E95" s="75">
        <v>2</v>
      </c>
      <c r="F95" s="72">
        <v>3.5</v>
      </c>
      <c r="G95" s="76">
        <f t="shared" si="5"/>
        <v>7</v>
      </c>
      <c r="H95" s="76">
        <f t="shared" si="4"/>
        <v>7</v>
      </c>
      <c r="I95" s="76"/>
    </row>
    <row r="96" spans="2:9" ht="16.5" x14ac:dyDescent="0.25">
      <c r="B96" s="71" t="s">
        <v>271</v>
      </c>
      <c r="C96" s="80" t="s">
        <v>272</v>
      </c>
      <c r="D96" s="71" t="s">
        <v>170</v>
      </c>
      <c r="E96" s="89">
        <v>1</v>
      </c>
      <c r="F96" s="71">
        <v>3.5</v>
      </c>
      <c r="G96" s="76">
        <f t="shared" si="5"/>
        <v>3.5</v>
      </c>
      <c r="H96" s="76">
        <f t="shared" si="4"/>
        <v>3.5</v>
      </c>
      <c r="I96" s="80"/>
    </row>
    <row r="97" spans="2:9" ht="16.5" x14ac:dyDescent="0.25">
      <c r="B97" s="71" t="s">
        <v>273</v>
      </c>
      <c r="C97" s="80" t="s">
        <v>274</v>
      </c>
      <c r="D97" s="71" t="s">
        <v>170</v>
      </c>
      <c r="E97" s="75">
        <v>2</v>
      </c>
      <c r="F97" s="72">
        <v>2.2000000000000002</v>
      </c>
      <c r="G97" s="76">
        <f t="shared" si="5"/>
        <v>4.4000000000000004</v>
      </c>
      <c r="H97" s="76">
        <f t="shared" si="4"/>
        <v>4.4000000000000004</v>
      </c>
      <c r="I97" s="76"/>
    </row>
    <row r="98" spans="2:9" ht="16.5" x14ac:dyDescent="0.25">
      <c r="B98" s="71" t="s">
        <v>275</v>
      </c>
      <c r="C98" s="80" t="s">
        <v>276</v>
      </c>
      <c r="D98" s="71" t="s">
        <v>170</v>
      </c>
      <c r="E98" s="75">
        <v>1</v>
      </c>
      <c r="F98" s="72">
        <v>5</v>
      </c>
      <c r="G98" s="76">
        <f t="shared" si="5"/>
        <v>5</v>
      </c>
      <c r="H98" s="76">
        <f t="shared" si="4"/>
        <v>5</v>
      </c>
      <c r="I98" s="76"/>
    </row>
    <row r="99" spans="2:9" ht="16.5" x14ac:dyDescent="0.25">
      <c r="B99" s="71" t="s">
        <v>277</v>
      </c>
      <c r="C99" s="80" t="s">
        <v>278</v>
      </c>
      <c r="D99" s="71" t="s">
        <v>170</v>
      </c>
      <c r="E99" s="75">
        <v>4</v>
      </c>
      <c r="F99" s="72">
        <v>2.5</v>
      </c>
      <c r="G99" s="76">
        <f t="shared" si="5"/>
        <v>10</v>
      </c>
      <c r="H99" s="76">
        <f t="shared" si="4"/>
        <v>10</v>
      </c>
      <c r="I99" s="80"/>
    </row>
    <row r="100" spans="2:9" ht="16.5" x14ac:dyDescent="0.25">
      <c r="B100" s="71" t="s">
        <v>279</v>
      </c>
      <c r="C100" s="80" t="s">
        <v>280</v>
      </c>
      <c r="D100" s="71" t="s">
        <v>170</v>
      </c>
      <c r="E100" s="75">
        <v>1</v>
      </c>
      <c r="F100" s="72">
        <v>8</v>
      </c>
      <c r="G100" s="76">
        <f t="shared" si="5"/>
        <v>8</v>
      </c>
      <c r="H100" s="76">
        <f t="shared" si="4"/>
        <v>8</v>
      </c>
      <c r="I100" s="80"/>
    </row>
    <row r="101" spans="2:9" ht="16.5" x14ac:dyDescent="0.25">
      <c r="B101" s="71" t="s">
        <v>281</v>
      </c>
      <c r="C101" s="80" t="s">
        <v>282</v>
      </c>
      <c r="D101" s="71" t="s">
        <v>170</v>
      </c>
      <c r="E101" s="75">
        <v>1</v>
      </c>
      <c r="F101" s="72">
        <v>1.5</v>
      </c>
      <c r="G101" s="76">
        <f t="shared" si="5"/>
        <v>1.5</v>
      </c>
      <c r="H101" s="76">
        <f t="shared" si="4"/>
        <v>1.5</v>
      </c>
      <c r="I101" s="80"/>
    </row>
    <row r="102" spans="2:9" ht="16.5" x14ac:dyDescent="0.25">
      <c r="B102" s="69" t="s">
        <v>283</v>
      </c>
      <c r="C102" s="73" t="s">
        <v>284</v>
      </c>
      <c r="D102" s="73"/>
      <c r="E102" s="88"/>
      <c r="F102" s="73"/>
      <c r="G102" s="76">
        <f t="shared" si="5"/>
        <v>0</v>
      </c>
      <c r="H102" s="76">
        <f t="shared" si="4"/>
        <v>0</v>
      </c>
      <c r="I102" s="73"/>
    </row>
    <row r="103" spans="2:9" ht="16.5" x14ac:dyDescent="0.25">
      <c r="B103" s="71" t="s">
        <v>285</v>
      </c>
      <c r="C103" s="80" t="s">
        <v>286</v>
      </c>
      <c r="D103" s="71" t="s">
        <v>287</v>
      </c>
      <c r="E103" s="75">
        <v>6</v>
      </c>
      <c r="F103" s="72">
        <v>22</v>
      </c>
      <c r="G103" s="76">
        <f t="shared" si="5"/>
        <v>132</v>
      </c>
      <c r="H103" s="76">
        <f t="shared" si="4"/>
        <v>132</v>
      </c>
      <c r="I103" s="72"/>
    </row>
    <row r="104" spans="2:9" ht="16.5" x14ac:dyDescent="0.25">
      <c r="B104" s="71" t="s">
        <v>288</v>
      </c>
      <c r="C104" s="80" t="s">
        <v>289</v>
      </c>
      <c r="D104" s="71" t="s">
        <v>287</v>
      </c>
      <c r="E104" s="75">
        <v>5</v>
      </c>
      <c r="F104" s="72">
        <v>35</v>
      </c>
      <c r="G104" s="76">
        <f t="shared" si="5"/>
        <v>175</v>
      </c>
      <c r="H104" s="76">
        <f t="shared" si="4"/>
        <v>175</v>
      </c>
      <c r="I104" s="72"/>
    </row>
    <row r="105" spans="2:9" ht="16.5" x14ac:dyDescent="0.25">
      <c r="B105" s="69" t="s">
        <v>290</v>
      </c>
      <c r="C105" s="73" t="s">
        <v>291</v>
      </c>
      <c r="D105" s="73"/>
      <c r="E105" s="88"/>
      <c r="F105" s="73"/>
      <c r="G105" s="76">
        <f t="shared" si="5"/>
        <v>0</v>
      </c>
      <c r="H105" s="76">
        <f t="shared" si="4"/>
        <v>0</v>
      </c>
      <c r="I105" s="73"/>
    </row>
    <row r="106" spans="2:9" ht="16.5" x14ac:dyDescent="0.25">
      <c r="B106" s="71" t="s">
        <v>292</v>
      </c>
      <c r="C106" s="80" t="s">
        <v>293</v>
      </c>
      <c r="D106" s="71" t="s">
        <v>78</v>
      </c>
      <c r="E106" s="75">
        <v>1</v>
      </c>
      <c r="F106" s="72">
        <v>70</v>
      </c>
      <c r="G106" s="76">
        <f t="shared" si="5"/>
        <v>70</v>
      </c>
      <c r="H106" s="76">
        <f t="shared" si="4"/>
        <v>70</v>
      </c>
      <c r="I106" s="76"/>
    </row>
    <row r="107" spans="2:9" ht="16.5" x14ac:dyDescent="0.25">
      <c r="B107" s="71" t="s">
        <v>294</v>
      </c>
      <c r="C107" s="80" t="s">
        <v>295</v>
      </c>
      <c r="D107" s="71" t="s">
        <v>78</v>
      </c>
      <c r="E107" s="75">
        <v>1</v>
      </c>
      <c r="F107" s="72">
        <v>1250</v>
      </c>
      <c r="G107" s="76">
        <f t="shared" si="5"/>
        <v>1250</v>
      </c>
      <c r="H107" s="76">
        <f t="shared" si="4"/>
        <v>1250</v>
      </c>
      <c r="I107" s="76"/>
    </row>
    <row r="108" spans="2:9" ht="16.5" x14ac:dyDescent="0.25">
      <c r="B108" s="69" t="s">
        <v>296</v>
      </c>
      <c r="C108" s="73" t="s">
        <v>297</v>
      </c>
      <c r="D108" s="71"/>
      <c r="E108" s="75"/>
      <c r="F108" s="76"/>
      <c r="G108" s="76">
        <f t="shared" si="5"/>
        <v>0</v>
      </c>
      <c r="H108" s="76">
        <f t="shared" si="4"/>
        <v>0</v>
      </c>
      <c r="I108" s="76"/>
    </row>
    <row r="109" spans="2:9" ht="16.5" x14ac:dyDescent="0.25">
      <c r="B109" s="69" t="s">
        <v>298</v>
      </c>
      <c r="C109" s="73" t="s">
        <v>299</v>
      </c>
      <c r="D109" s="71"/>
      <c r="E109" s="75"/>
      <c r="F109" s="72"/>
      <c r="G109" s="76">
        <f t="shared" si="5"/>
        <v>0</v>
      </c>
      <c r="H109" s="76">
        <f t="shared" si="4"/>
        <v>0</v>
      </c>
      <c r="I109" s="76"/>
    </row>
    <row r="110" spans="2:9" ht="16.5" x14ac:dyDescent="0.25">
      <c r="B110" s="71" t="s">
        <v>300</v>
      </c>
      <c r="C110" s="80" t="s">
        <v>301</v>
      </c>
      <c r="D110" s="71" t="s">
        <v>170</v>
      </c>
      <c r="E110" s="75">
        <v>5</v>
      </c>
      <c r="F110" s="72">
        <v>4.5</v>
      </c>
      <c r="G110" s="76">
        <f t="shared" si="5"/>
        <v>22.5</v>
      </c>
      <c r="H110" s="76">
        <f t="shared" si="4"/>
        <v>22.5</v>
      </c>
      <c r="I110" s="76"/>
    </row>
    <row r="111" spans="2:9" ht="16.5" x14ac:dyDescent="0.25">
      <c r="B111" s="69" t="s">
        <v>302</v>
      </c>
      <c r="C111" s="73" t="s">
        <v>303</v>
      </c>
      <c r="D111" s="73"/>
      <c r="E111" s="88"/>
      <c r="F111" s="69"/>
      <c r="G111" s="76">
        <f t="shared" si="5"/>
        <v>0</v>
      </c>
      <c r="H111" s="76">
        <f t="shared" si="4"/>
        <v>0</v>
      </c>
      <c r="I111" s="73"/>
    </row>
    <row r="112" spans="2:9" ht="16.5" x14ac:dyDescent="0.25">
      <c r="B112" s="74" t="s">
        <v>304</v>
      </c>
      <c r="C112" s="80" t="s">
        <v>305</v>
      </c>
      <c r="D112" s="71" t="s">
        <v>170</v>
      </c>
      <c r="E112" s="75">
        <v>4</v>
      </c>
      <c r="F112" s="72">
        <v>8.5</v>
      </c>
      <c r="G112" s="76">
        <f t="shared" si="5"/>
        <v>34</v>
      </c>
      <c r="H112" s="76">
        <f t="shared" si="4"/>
        <v>34</v>
      </c>
      <c r="I112" s="76"/>
    </row>
    <row r="113" spans="2:9" ht="16.5" x14ac:dyDescent="0.25">
      <c r="B113" s="69" t="s">
        <v>306</v>
      </c>
      <c r="C113" s="73" t="s">
        <v>307</v>
      </c>
      <c r="D113" s="73"/>
      <c r="E113" s="88"/>
      <c r="F113" s="69"/>
      <c r="G113" s="76">
        <f t="shared" si="5"/>
        <v>0</v>
      </c>
      <c r="H113" s="76">
        <f t="shared" si="4"/>
        <v>0</v>
      </c>
      <c r="I113" s="73"/>
    </row>
    <row r="114" spans="2:9" ht="16.5" x14ac:dyDescent="0.25">
      <c r="B114" s="74" t="s">
        <v>308</v>
      </c>
      <c r="C114" s="80" t="s">
        <v>309</v>
      </c>
      <c r="D114" s="71" t="s">
        <v>287</v>
      </c>
      <c r="E114" s="89">
        <v>20</v>
      </c>
      <c r="F114" s="71">
        <v>3.5</v>
      </c>
      <c r="G114" s="76">
        <f t="shared" si="5"/>
        <v>70</v>
      </c>
      <c r="H114" s="76">
        <f t="shared" si="4"/>
        <v>70</v>
      </c>
      <c r="I114" s="72"/>
    </row>
    <row r="115" spans="2:9" ht="16.5" x14ac:dyDescent="0.25">
      <c r="B115" s="69" t="s">
        <v>310</v>
      </c>
      <c r="C115" s="73" t="s">
        <v>311</v>
      </c>
      <c r="D115" s="73"/>
      <c r="E115" s="88"/>
      <c r="F115" s="69"/>
      <c r="G115" s="76">
        <f t="shared" si="5"/>
        <v>0</v>
      </c>
      <c r="H115" s="76">
        <f t="shared" si="4"/>
        <v>0</v>
      </c>
      <c r="I115" s="73"/>
    </row>
    <row r="116" spans="2:9" ht="16.5" x14ac:dyDescent="0.25">
      <c r="B116" s="71" t="s">
        <v>312</v>
      </c>
      <c r="C116" s="80" t="s">
        <v>313</v>
      </c>
      <c r="D116" s="71" t="s">
        <v>175</v>
      </c>
      <c r="E116" s="89">
        <v>50</v>
      </c>
      <c r="F116" s="71">
        <v>0.5</v>
      </c>
      <c r="G116" s="76">
        <f t="shared" si="5"/>
        <v>25</v>
      </c>
      <c r="H116" s="76">
        <f t="shared" si="4"/>
        <v>25</v>
      </c>
      <c r="I116" s="72"/>
    </row>
    <row r="117" spans="2:9" ht="16.5" x14ac:dyDescent="0.25">
      <c r="B117" s="71" t="s">
        <v>314</v>
      </c>
      <c r="C117" s="80" t="s">
        <v>315</v>
      </c>
      <c r="D117" s="71" t="s">
        <v>175</v>
      </c>
      <c r="E117" s="89">
        <v>30</v>
      </c>
      <c r="F117" s="71">
        <v>0.5</v>
      </c>
      <c r="G117" s="76">
        <f t="shared" si="5"/>
        <v>15</v>
      </c>
      <c r="H117" s="76">
        <f t="shared" si="4"/>
        <v>15</v>
      </c>
      <c r="I117" s="72"/>
    </row>
    <row r="118" spans="2:9" ht="16.5" x14ac:dyDescent="0.25">
      <c r="B118" s="69" t="s">
        <v>316</v>
      </c>
      <c r="C118" s="73" t="s">
        <v>317</v>
      </c>
      <c r="D118" s="69"/>
      <c r="E118" s="88"/>
      <c r="F118" s="69"/>
      <c r="G118" s="76"/>
      <c r="H118" s="76"/>
      <c r="I118" s="73"/>
    </row>
    <row r="119" spans="2:9" ht="16.5" x14ac:dyDescent="0.25">
      <c r="B119" s="71" t="s">
        <v>318</v>
      </c>
      <c r="C119" s="80" t="s">
        <v>319</v>
      </c>
      <c r="D119" s="71" t="s">
        <v>170</v>
      </c>
      <c r="E119" s="89">
        <v>1</v>
      </c>
      <c r="F119" s="71">
        <v>7.5</v>
      </c>
      <c r="G119" s="76">
        <f>E119*F119</f>
        <v>7.5</v>
      </c>
      <c r="H119" s="76">
        <f>G119</f>
        <v>7.5</v>
      </c>
      <c r="I119" s="80"/>
    </row>
    <row r="120" spans="2:9" ht="16.5" x14ac:dyDescent="0.25">
      <c r="B120" s="69" t="s">
        <v>320</v>
      </c>
      <c r="C120" s="73" t="s">
        <v>321</v>
      </c>
      <c r="D120" s="69"/>
      <c r="E120" s="88"/>
      <c r="F120" s="69"/>
      <c r="G120" s="76"/>
      <c r="H120" s="76"/>
      <c r="I120" s="73"/>
    </row>
    <row r="121" spans="2:9" ht="16.5" x14ac:dyDescent="0.25">
      <c r="B121" s="71" t="s">
        <v>322</v>
      </c>
      <c r="C121" s="80" t="s">
        <v>323</v>
      </c>
      <c r="D121" s="71" t="s">
        <v>170</v>
      </c>
      <c r="E121" s="89">
        <v>1</v>
      </c>
      <c r="F121" s="71">
        <v>33</v>
      </c>
      <c r="G121" s="76">
        <f>E121*F121</f>
        <v>33</v>
      </c>
      <c r="H121" s="76">
        <f>G121</f>
        <v>33</v>
      </c>
      <c r="I121" s="80"/>
    </row>
    <row r="122" spans="2:9" ht="16.5" x14ac:dyDescent="0.25">
      <c r="B122" s="71" t="s">
        <v>324</v>
      </c>
      <c r="C122" s="80" t="s">
        <v>325</v>
      </c>
      <c r="D122" s="71" t="s">
        <v>170</v>
      </c>
      <c r="E122" s="89">
        <v>5</v>
      </c>
      <c r="F122" s="71">
        <v>45</v>
      </c>
      <c r="G122" s="76">
        <f>E122*F122</f>
        <v>225</v>
      </c>
      <c r="H122" s="76">
        <f>G122</f>
        <v>225</v>
      </c>
      <c r="I122" s="80"/>
    </row>
    <row r="123" spans="2:9" ht="16.5" x14ac:dyDescent="0.25">
      <c r="B123" s="69" t="s">
        <v>326</v>
      </c>
      <c r="C123" s="73" t="s">
        <v>327</v>
      </c>
      <c r="D123" s="69"/>
      <c r="E123" s="88"/>
      <c r="F123" s="69"/>
      <c r="G123" s="76"/>
      <c r="H123" s="76"/>
      <c r="I123" s="73"/>
    </row>
    <row r="124" spans="2:9" ht="16.5" x14ac:dyDescent="0.25">
      <c r="B124" s="71" t="s">
        <v>328</v>
      </c>
      <c r="C124" s="80" t="s">
        <v>329</v>
      </c>
      <c r="D124" s="71" t="s">
        <v>170</v>
      </c>
      <c r="E124" s="89">
        <v>1</v>
      </c>
      <c r="F124" s="71">
        <v>245</v>
      </c>
      <c r="G124" s="76">
        <f>E124*F124</f>
        <v>245</v>
      </c>
      <c r="H124" s="76">
        <f>G124</f>
        <v>245</v>
      </c>
      <c r="I124" s="80"/>
    </row>
    <row r="125" spans="2:9" ht="16.5" x14ac:dyDescent="0.25">
      <c r="B125" s="69" t="s">
        <v>330</v>
      </c>
      <c r="C125" s="73" t="s">
        <v>331</v>
      </c>
      <c r="D125" s="71"/>
      <c r="E125" s="89"/>
      <c r="F125" s="71"/>
      <c r="G125" s="76"/>
      <c r="H125" s="76"/>
      <c r="I125" s="80"/>
    </row>
    <row r="126" spans="2:9" ht="16.5" x14ac:dyDescent="0.25">
      <c r="B126" s="71" t="s">
        <v>332</v>
      </c>
      <c r="C126" s="80" t="s">
        <v>333</v>
      </c>
      <c r="D126" s="71" t="s">
        <v>334</v>
      </c>
      <c r="E126" s="89">
        <v>180</v>
      </c>
      <c r="F126" s="71">
        <v>35</v>
      </c>
      <c r="G126" s="76">
        <f>E126*F126</f>
        <v>6300</v>
      </c>
      <c r="H126" s="76"/>
      <c r="I126" s="80">
        <f>G126</f>
        <v>6300</v>
      </c>
    </row>
    <row r="127" spans="2:9" ht="16.5" x14ac:dyDescent="0.25">
      <c r="B127" s="90"/>
      <c r="C127" s="259" t="s">
        <v>61</v>
      </c>
      <c r="D127" s="259"/>
      <c r="E127" s="259"/>
      <c r="F127" s="259"/>
      <c r="G127" s="91">
        <f>SUM(G9:G126)</f>
        <v>50404.690399999999</v>
      </c>
      <c r="H127" s="91">
        <f>SUM(H9:H126)</f>
        <v>36604.690399999999</v>
      </c>
      <c r="I127" s="91">
        <f>SUM(I9:I126)</f>
        <v>13800</v>
      </c>
    </row>
    <row r="128" spans="2:9" ht="16.5" x14ac:dyDescent="0.25">
      <c r="B128" s="90"/>
      <c r="C128" s="259" t="s">
        <v>335</v>
      </c>
      <c r="D128" s="259"/>
      <c r="E128" s="259"/>
      <c r="F128" s="259"/>
      <c r="G128" s="91">
        <f>G127/3.15</f>
        <v>16001.489015873016</v>
      </c>
      <c r="H128" s="91">
        <f>H127/3.15</f>
        <v>11620.536634920634</v>
      </c>
      <c r="I128" s="91">
        <f>I127/3.15</f>
        <v>4380.9523809523807</v>
      </c>
    </row>
    <row r="129" spans="2:9" x14ac:dyDescent="0.25">
      <c r="B129" s="12"/>
      <c r="C129" s="12" t="s">
        <v>336</v>
      </c>
      <c r="D129" s="12"/>
      <c r="E129" s="12"/>
      <c r="F129" s="12"/>
      <c r="G129" s="92"/>
      <c r="H129" s="92"/>
      <c r="I129" s="92"/>
    </row>
    <row r="130" spans="2:9" x14ac:dyDescent="0.25">
      <c r="E130" s="45" t="s">
        <v>123</v>
      </c>
      <c r="F130" s="45" t="s">
        <v>337</v>
      </c>
      <c r="G130" s="93">
        <f t="shared" ref="G130:I131" si="6">G127/60</f>
        <v>840.07817333333332</v>
      </c>
      <c r="H130" s="93">
        <f t="shared" si="6"/>
        <v>610.07817333333332</v>
      </c>
      <c r="I130" s="93">
        <f t="shared" si="6"/>
        <v>230</v>
      </c>
    </row>
    <row r="131" spans="2:9" x14ac:dyDescent="0.25">
      <c r="E131" s="45" t="s">
        <v>123</v>
      </c>
      <c r="F131" s="45" t="s">
        <v>338</v>
      </c>
      <c r="G131" s="93">
        <f t="shared" si="6"/>
        <v>266.69148359788358</v>
      </c>
      <c r="H131" s="93">
        <f t="shared" si="6"/>
        <v>193.67561058201056</v>
      </c>
      <c r="I131" s="93">
        <f t="shared" si="6"/>
        <v>73.015873015873012</v>
      </c>
    </row>
    <row r="134" spans="2:9" x14ac:dyDescent="0.25">
      <c r="C134" s="65" t="s">
        <v>339</v>
      </c>
    </row>
    <row r="135" spans="2:9" x14ac:dyDescent="0.25">
      <c r="B135" s="94"/>
      <c r="C135" s="94"/>
      <c r="D135" s="94"/>
      <c r="E135" s="95" t="s">
        <v>338</v>
      </c>
      <c r="F135" s="94"/>
      <c r="G135" s="94"/>
      <c r="H135" s="94"/>
      <c r="I135" s="94"/>
    </row>
    <row r="136" spans="2:9" ht="16.5" x14ac:dyDescent="0.25">
      <c r="B136" s="96"/>
      <c r="C136" s="97" t="s">
        <v>340</v>
      </c>
      <c r="D136" s="90"/>
      <c r="E136" s="90">
        <v>266.69</v>
      </c>
      <c r="F136" s="96"/>
      <c r="G136" s="98"/>
      <c r="H136" s="98"/>
      <c r="I136" s="94"/>
    </row>
    <row r="137" spans="2:9" ht="16.5" x14ac:dyDescent="0.25">
      <c r="B137" s="90"/>
      <c r="C137" s="97" t="s">
        <v>341</v>
      </c>
      <c r="D137" s="90"/>
      <c r="E137" s="90">
        <f>0.05*266.69</f>
        <v>13.3345</v>
      </c>
      <c r="F137" s="90"/>
      <c r="G137" s="98"/>
      <c r="H137" s="98"/>
      <c r="I137" s="94"/>
    </row>
    <row r="138" spans="2:9" x14ac:dyDescent="0.25">
      <c r="B138" s="94"/>
      <c r="C138" s="94" t="s">
        <v>342</v>
      </c>
      <c r="D138" s="94"/>
      <c r="E138" s="99">
        <v>0</v>
      </c>
      <c r="F138" s="94"/>
      <c r="G138" s="94"/>
      <c r="H138" s="94"/>
      <c r="I138" s="94"/>
    </row>
    <row r="139" spans="2:9" x14ac:dyDescent="0.25">
      <c r="B139" s="94"/>
      <c r="C139" s="94" t="s">
        <v>343</v>
      </c>
      <c r="D139" s="94"/>
      <c r="E139" s="100">
        <f>SUM(E136:E138)</f>
        <v>280.02449999999999</v>
      </c>
      <c r="F139" s="94"/>
      <c r="G139" s="94"/>
      <c r="H139" s="94"/>
      <c r="I139" s="94"/>
    </row>
    <row r="140" spans="2:9" x14ac:dyDescent="0.25">
      <c r="B140" s="94"/>
      <c r="C140" s="101" t="s">
        <v>344</v>
      </c>
      <c r="D140" s="94"/>
      <c r="E140" s="94">
        <f>0.1*280.02</f>
        <v>28.001999999999999</v>
      </c>
      <c r="F140" s="94"/>
      <c r="G140" s="94"/>
    </row>
    <row r="141" spans="2:9" x14ac:dyDescent="0.25">
      <c r="B141" s="94"/>
      <c r="C141" s="101" t="s">
        <v>345</v>
      </c>
      <c r="D141" s="94"/>
      <c r="E141" s="100">
        <f>E139+E140</f>
        <v>308.0265</v>
      </c>
      <c r="F141" s="94"/>
      <c r="G141" s="94"/>
    </row>
    <row r="143" spans="2:9" x14ac:dyDescent="0.25">
      <c r="C143" s="102" t="s">
        <v>346</v>
      </c>
      <c r="D143" s="65"/>
      <c r="E143" s="65">
        <f>60*E141</f>
        <v>18481.59</v>
      </c>
    </row>
  </sheetData>
  <mergeCells count="3">
    <mergeCell ref="B5:I5"/>
    <mergeCell ref="C127:F127"/>
    <mergeCell ref="C128:F1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C11" sqref="C11"/>
    </sheetView>
  </sheetViews>
  <sheetFormatPr baseColWidth="10" defaultRowHeight="15" x14ac:dyDescent="0.25"/>
  <cols>
    <col min="3" max="3" width="50.5703125" customWidth="1"/>
  </cols>
  <sheetData>
    <row r="4" spans="3:7" ht="16.5" x14ac:dyDescent="0.3">
      <c r="C4" s="2" t="s">
        <v>347</v>
      </c>
    </row>
    <row r="5" spans="3:7" ht="16.5" x14ac:dyDescent="0.25">
      <c r="C5" s="103" t="s">
        <v>348</v>
      </c>
      <c r="D5" s="104"/>
    </row>
    <row r="6" spans="3:7" x14ac:dyDescent="0.25">
      <c r="C6" s="105"/>
      <c r="D6" s="105"/>
    </row>
    <row r="7" spans="3:7" ht="33" x14ac:dyDescent="0.25">
      <c r="C7" s="51" t="s">
        <v>349</v>
      </c>
      <c r="D7" s="51" t="s">
        <v>350</v>
      </c>
      <c r="E7" s="51" t="s">
        <v>351</v>
      </c>
      <c r="F7" s="51" t="s">
        <v>352</v>
      </c>
      <c r="G7" s="51" t="s">
        <v>353</v>
      </c>
    </row>
    <row r="8" spans="3:7" ht="32.25" customHeight="1" x14ac:dyDescent="0.25">
      <c r="C8" s="106" t="s">
        <v>354</v>
      </c>
      <c r="D8" s="107"/>
      <c r="E8" s="108"/>
      <c r="F8" s="108"/>
      <c r="G8" s="108"/>
    </row>
    <row r="9" spans="3:7" ht="32.25" customHeight="1" x14ac:dyDescent="0.25">
      <c r="C9" s="109" t="s">
        <v>355</v>
      </c>
      <c r="D9" s="107" t="s">
        <v>356</v>
      </c>
      <c r="E9" s="107">
        <v>5</v>
      </c>
      <c r="F9" s="110">
        <v>5</v>
      </c>
      <c r="G9" s="110">
        <f>E9*F9</f>
        <v>25</v>
      </c>
    </row>
    <row r="10" spans="3:7" ht="32.25" customHeight="1" x14ac:dyDescent="0.25">
      <c r="C10" s="109" t="s">
        <v>357</v>
      </c>
      <c r="D10" s="107" t="s">
        <v>358</v>
      </c>
      <c r="E10" s="107">
        <v>5</v>
      </c>
      <c r="F10" s="110">
        <v>50</v>
      </c>
      <c r="G10" s="110">
        <f t="shared" ref="G10:G16" si="0">E10*F10</f>
        <v>250</v>
      </c>
    </row>
    <row r="11" spans="3:7" ht="32.25" customHeight="1" x14ac:dyDescent="0.25">
      <c r="C11" s="106" t="s">
        <v>359</v>
      </c>
      <c r="D11" s="107"/>
      <c r="E11" s="107"/>
      <c r="F11" s="110"/>
      <c r="G11" s="110">
        <f t="shared" si="0"/>
        <v>0</v>
      </c>
    </row>
    <row r="12" spans="3:7" ht="32.25" customHeight="1" x14ac:dyDescent="0.25">
      <c r="C12" s="109" t="s">
        <v>360</v>
      </c>
      <c r="D12" s="107" t="s">
        <v>334</v>
      </c>
      <c r="E12" s="107">
        <v>15</v>
      </c>
      <c r="F12" s="110">
        <v>35</v>
      </c>
      <c r="G12" s="110">
        <f t="shared" si="0"/>
        <v>525</v>
      </c>
    </row>
    <row r="13" spans="3:7" ht="32.25" customHeight="1" x14ac:dyDescent="0.25">
      <c r="C13" s="106" t="s">
        <v>361</v>
      </c>
      <c r="D13" s="107"/>
      <c r="E13" s="107"/>
      <c r="F13" s="110"/>
      <c r="G13" s="110">
        <f t="shared" si="0"/>
        <v>0</v>
      </c>
    </row>
    <row r="14" spans="3:7" ht="32.25" customHeight="1" x14ac:dyDescent="0.25">
      <c r="C14" s="109" t="s">
        <v>362</v>
      </c>
      <c r="D14" s="107" t="s">
        <v>363</v>
      </c>
      <c r="E14" s="107">
        <v>10</v>
      </c>
      <c r="F14" s="110">
        <v>14</v>
      </c>
      <c r="G14" s="110">
        <f t="shared" si="0"/>
        <v>140</v>
      </c>
    </row>
    <row r="15" spans="3:7" ht="32.25" customHeight="1" x14ac:dyDescent="0.25">
      <c r="C15" s="111" t="s">
        <v>364</v>
      </c>
      <c r="D15" s="107" t="s">
        <v>334</v>
      </c>
      <c r="E15" s="107">
        <v>20</v>
      </c>
      <c r="F15" s="110">
        <v>8</v>
      </c>
      <c r="G15" s="110">
        <f t="shared" si="0"/>
        <v>160</v>
      </c>
    </row>
    <row r="16" spans="3:7" ht="32.25" customHeight="1" x14ac:dyDescent="0.25">
      <c r="C16" s="109" t="s">
        <v>365</v>
      </c>
      <c r="D16" s="107" t="s">
        <v>334</v>
      </c>
      <c r="E16" s="107">
        <v>5</v>
      </c>
      <c r="F16" s="110">
        <v>15</v>
      </c>
      <c r="G16" s="110">
        <f t="shared" si="0"/>
        <v>75</v>
      </c>
    </row>
    <row r="17" spans="3:7" ht="32.25" customHeight="1" x14ac:dyDescent="0.25">
      <c r="C17" s="260" t="s">
        <v>366</v>
      </c>
      <c r="D17" s="261"/>
      <c r="E17" s="261"/>
      <c r="F17" s="262"/>
      <c r="G17" s="91">
        <f>SUM(G9:G16)</f>
        <v>1175</v>
      </c>
    </row>
    <row r="18" spans="3:7" x14ac:dyDescent="0.25">
      <c r="C18" s="263" t="s">
        <v>367</v>
      </c>
      <c r="D18" s="263"/>
      <c r="E18" s="263"/>
      <c r="F18" s="263"/>
      <c r="G18" s="263"/>
    </row>
    <row r="19" spans="3:7" x14ac:dyDescent="0.25">
      <c r="C19" s="264" t="s">
        <v>368</v>
      </c>
      <c r="D19" s="264"/>
      <c r="E19" s="264"/>
      <c r="F19" s="264"/>
      <c r="G19" s="264"/>
    </row>
  </sheetData>
  <mergeCells count="3">
    <mergeCell ref="C17:F17"/>
    <mergeCell ref="C18:G18"/>
    <mergeCell ref="C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7"/>
  <sheetViews>
    <sheetView topLeftCell="A10" workbookViewId="0">
      <selection activeCell="H47" sqref="H47"/>
    </sheetView>
  </sheetViews>
  <sheetFormatPr baseColWidth="10" defaultRowHeight="15" x14ac:dyDescent="0.25"/>
  <cols>
    <col min="3" max="3" width="46.85546875" customWidth="1"/>
  </cols>
  <sheetData>
    <row r="3" spans="2:9" ht="16.5" x14ac:dyDescent="0.25">
      <c r="B3" s="112" t="s">
        <v>370</v>
      </c>
      <c r="C3" s="112"/>
      <c r="D3" s="113"/>
      <c r="E3" s="113"/>
      <c r="F3" s="113"/>
      <c r="G3" s="113"/>
      <c r="H3" s="44"/>
      <c r="I3" s="44"/>
    </row>
    <row r="4" spans="2:9" ht="16.5" x14ac:dyDescent="0.25">
      <c r="B4" s="114" t="s">
        <v>371</v>
      </c>
      <c r="C4" s="114"/>
      <c r="D4" s="115"/>
      <c r="E4" s="115"/>
      <c r="F4" s="115"/>
      <c r="G4" s="115"/>
      <c r="H4" s="44"/>
      <c r="I4" s="44"/>
    </row>
    <row r="5" spans="2:9" ht="16.5" x14ac:dyDescent="0.25">
      <c r="B5" s="67" t="s">
        <v>77</v>
      </c>
      <c r="C5" s="67" t="s">
        <v>72</v>
      </c>
      <c r="D5" s="67" t="s">
        <v>78</v>
      </c>
      <c r="E5" s="67" t="s">
        <v>79</v>
      </c>
      <c r="F5" s="67" t="s">
        <v>50</v>
      </c>
      <c r="G5" s="68" t="s">
        <v>61</v>
      </c>
      <c r="H5" s="68" t="s">
        <v>4</v>
      </c>
      <c r="I5" s="68" t="s">
        <v>80</v>
      </c>
    </row>
    <row r="6" spans="2:9" ht="16.5" x14ac:dyDescent="0.25">
      <c r="B6" s="116" t="s">
        <v>83</v>
      </c>
      <c r="C6" s="117" t="s">
        <v>84</v>
      </c>
      <c r="D6" s="118"/>
      <c r="E6" s="119"/>
      <c r="F6" s="120"/>
      <c r="G6" s="121"/>
      <c r="H6" s="109"/>
      <c r="I6" s="109"/>
    </row>
    <row r="7" spans="2:9" ht="16.5" x14ac:dyDescent="0.25">
      <c r="B7" s="107" t="s">
        <v>85</v>
      </c>
      <c r="C7" s="109" t="s">
        <v>372</v>
      </c>
      <c r="D7" s="107" t="s">
        <v>99</v>
      </c>
      <c r="E7" s="122">
        <v>39</v>
      </c>
      <c r="F7" s="123">
        <v>11.33</v>
      </c>
      <c r="G7" s="123">
        <f t="shared" ref="G7:G19" si="0">E7*F7</f>
        <v>441.87</v>
      </c>
      <c r="H7" s="124">
        <f>G7</f>
        <v>441.87</v>
      </c>
      <c r="I7" s="124"/>
    </row>
    <row r="8" spans="2:9" ht="16.5" x14ac:dyDescent="0.25">
      <c r="B8" s="107" t="s">
        <v>88</v>
      </c>
      <c r="C8" s="111" t="s">
        <v>373</v>
      </c>
      <c r="D8" s="107" t="s">
        <v>87</v>
      </c>
      <c r="E8" s="122">
        <v>38</v>
      </c>
      <c r="F8" s="123">
        <v>50</v>
      </c>
      <c r="G8" s="123">
        <f t="shared" si="0"/>
        <v>1900</v>
      </c>
      <c r="H8" s="125"/>
      <c r="I8" s="124">
        <f>G8</f>
        <v>1900</v>
      </c>
    </row>
    <row r="9" spans="2:9" ht="16.5" x14ac:dyDescent="0.25">
      <c r="B9" s="107" t="s">
        <v>90</v>
      </c>
      <c r="C9" s="77" t="s">
        <v>108</v>
      </c>
      <c r="D9" s="107" t="s">
        <v>374</v>
      </c>
      <c r="E9" s="126">
        <v>89</v>
      </c>
      <c r="F9" s="109">
        <v>21.2</v>
      </c>
      <c r="G9" s="109">
        <f t="shared" si="0"/>
        <v>1886.8</v>
      </c>
      <c r="H9" s="109">
        <f t="shared" ref="H9:H19" si="1">G9</f>
        <v>1886.8</v>
      </c>
      <c r="I9" s="109"/>
    </row>
    <row r="10" spans="2:9" ht="16.5" x14ac:dyDescent="0.25">
      <c r="B10" s="107" t="s">
        <v>92</v>
      </c>
      <c r="C10" s="111" t="s">
        <v>375</v>
      </c>
      <c r="D10" s="127" t="s">
        <v>96</v>
      </c>
      <c r="E10" s="128">
        <v>4</v>
      </c>
      <c r="F10" s="129">
        <f>16*1.18*3.15</f>
        <v>59.471999999999994</v>
      </c>
      <c r="G10" s="123">
        <f t="shared" si="0"/>
        <v>237.88799999999998</v>
      </c>
      <c r="H10" s="125">
        <f t="shared" si="1"/>
        <v>237.88799999999998</v>
      </c>
      <c r="I10" s="124"/>
    </row>
    <row r="11" spans="2:9" ht="16.5" x14ac:dyDescent="0.25">
      <c r="B11" s="107" t="s">
        <v>94</v>
      </c>
      <c r="C11" s="109" t="s">
        <v>376</v>
      </c>
      <c r="D11" s="107" t="s">
        <v>78</v>
      </c>
      <c r="E11" s="122">
        <v>6</v>
      </c>
      <c r="F11" s="123">
        <v>75</v>
      </c>
      <c r="G11" s="123">
        <f t="shared" si="0"/>
        <v>450</v>
      </c>
      <c r="H11" s="125">
        <f t="shared" si="1"/>
        <v>450</v>
      </c>
      <c r="I11" s="124"/>
    </row>
    <row r="12" spans="2:9" ht="16.5" x14ac:dyDescent="0.25">
      <c r="B12" s="107" t="s">
        <v>97</v>
      </c>
      <c r="C12" s="109" t="s">
        <v>377</v>
      </c>
      <c r="D12" s="107" t="s">
        <v>78</v>
      </c>
      <c r="E12" s="122">
        <v>7</v>
      </c>
      <c r="F12" s="123">
        <v>125</v>
      </c>
      <c r="G12" s="123">
        <f t="shared" si="0"/>
        <v>875</v>
      </c>
      <c r="H12" s="125">
        <f t="shared" si="1"/>
        <v>875</v>
      </c>
      <c r="I12" s="124"/>
    </row>
    <row r="13" spans="2:9" ht="16.5" x14ac:dyDescent="0.25">
      <c r="B13" s="107" t="s">
        <v>100</v>
      </c>
      <c r="C13" s="109" t="s">
        <v>378</v>
      </c>
      <c r="D13" s="107" t="s">
        <v>78</v>
      </c>
      <c r="E13" s="122">
        <v>6</v>
      </c>
      <c r="F13" s="123">
        <v>45</v>
      </c>
      <c r="G13" s="123">
        <f t="shared" si="0"/>
        <v>270</v>
      </c>
      <c r="H13" s="125">
        <f t="shared" si="1"/>
        <v>270</v>
      </c>
      <c r="I13" s="124"/>
    </row>
    <row r="14" spans="2:9" ht="16.5" x14ac:dyDescent="0.25">
      <c r="B14" s="107" t="s">
        <v>103</v>
      </c>
      <c r="C14" s="109" t="s">
        <v>379</v>
      </c>
      <c r="D14" s="107" t="s">
        <v>78</v>
      </c>
      <c r="E14" s="122">
        <v>4</v>
      </c>
      <c r="F14" s="123">
        <v>35</v>
      </c>
      <c r="G14" s="123">
        <f t="shared" si="0"/>
        <v>140</v>
      </c>
      <c r="H14" s="125">
        <f t="shared" si="1"/>
        <v>140</v>
      </c>
      <c r="I14" s="124"/>
    </row>
    <row r="15" spans="2:9" ht="16.5" x14ac:dyDescent="0.25">
      <c r="B15" s="107" t="s">
        <v>105</v>
      </c>
      <c r="C15" s="109" t="s">
        <v>380</v>
      </c>
      <c r="D15" s="107" t="s">
        <v>102</v>
      </c>
      <c r="E15" s="122">
        <v>0.5</v>
      </c>
      <c r="F15" s="123">
        <v>3.2</v>
      </c>
      <c r="G15" s="123">
        <f t="shared" si="0"/>
        <v>1.6</v>
      </c>
      <c r="H15" s="125">
        <f t="shared" si="1"/>
        <v>1.6</v>
      </c>
      <c r="I15" s="124"/>
    </row>
    <row r="16" spans="2:9" ht="16.5" x14ac:dyDescent="0.25">
      <c r="B16" s="107" t="s">
        <v>107</v>
      </c>
      <c r="C16" s="109" t="s">
        <v>381</v>
      </c>
      <c r="D16" s="107" t="s">
        <v>102</v>
      </c>
      <c r="E16" s="122">
        <v>0.5</v>
      </c>
      <c r="F16" s="123">
        <v>3.2</v>
      </c>
      <c r="G16" s="123">
        <f t="shared" si="0"/>
        <v>1.6</v>
      </c>
      <c r="H16" s="125">
        <f t="shared" si="1"/>
        <v>1.6</v>
      </c>
      <c r="I16" s="124"/>
    </row>
    <row r="17" spans="2:9" ht="16.5" x14ac:dyDescent="0.25">
      <c r="B17" s="107" t="s">
        <v>110</v>
      </c>
      <c r="C17" s="111" t="s">
        <v>382</v>
      </c>
      <c r="D17" s="107" t="s">
        <v>102</v>
      </c>
      <c r="E17" s="128">
        <v>3</v>
      </c>
      <c r="F17" s="123">
        <v>3.2</v>
      </c>
      <c r="G17" s="123">
        <f t="shared" si="0"/>
        <v>9.6000000000000014</v>
      </c>
      <c r="H17" s="125">
        <f t="shared" si="1"/>
        <v>9.6000000000000014</v>
      </c>
      <c r="I17" s="124"/>
    </row>
    <row r="18" spans="2:9" ht="16.5" x14ac:dyDescent="0.25">
      <c r="B18" s="107" t="s">
        <v>112</v>
      </c>
      <c r="C18" s="111" t="s">
        <v>383</v>
      </c>
      <c r="D18" s="107" t="s">
        <v>242</v>
      </c>
      <c r="E18" s="128">
        <v>12</v>
      </c>
      <c r="F18" s="123">
        <f>10*3.15</f>
        <v>31.5</v>
      </c>
      <c r="G18" s="123">
        <f t="shared" si="0"/>
        <v>378</v>
      </c>
      <c r="H18" s="125">
        <f t="shared" si="1"/>
        <v>378</v>
      </c>
      <c r="I18" s="124"/>
    </row>
    <row r="19" spans="2:9" ht="16.5" x14ac:dyDescent="0.25">
      <c r="B19" s="107" t="s">
        <v>114</v>
      </c>
      <c r="C19" s="111" t="s">
        <v>384</v>
      </c>
      <c r="D19" s="107" t="s">
        <v>99</v>
      </c>
      <c r="E19" s="128">
        <v>3</v>
      </c>
      <c r="F19" s="123">
        <v>3.5</v>
      </c>
      <c r="G19" s="123">
        <f t="shared" si="0"/>
        <v>10.5</v>
      </c>
      <c r="H19" s="125">
        <f t="shared" si="1"/>
        <v>10.5</v>
      </c>
      <c r="I19" s="124" t="s">
        <v>76</v>
      </c>
    </row>
    <row r="20" spans="2:9" ht="16.5" x14ac:dyDescent="0.25">
      <c r="B20" s="108" t="s">
        <v>119</v>
      </c>
      <c r="C20" s="117" t="s">
        <v>120</v>
      </c>
      <c r="D20" s="130"/>
      <c r="E20" s="79"/>
      <c r="F20" s="123"/>
      <c r="G20" s="123"/>
      <c r="H20" s="125"/>
      <c r="I20" s="124"/>
    </row>
    <row r="21" spans="2:9" ht="16.5" x14ac:dyDescent="0.25">
      <c r="B21" s="107" t="s">
        <v>121</v>
      </c>
      <c r="C21" s="131" t="s">
        <v>385</v>
      </c>
      <c r="D21" s="130" t="s">
        <v>123</v>
      </c>
      <c r="E21" s="75">
        <v>76</v>
      </c>
      <c r="F21" s="123">
        <v>10</v>
      </c>
      <c r="G21" s="123">
        <f>E21*F21</f>
        <v>760</v>
      </c>
      <c r="H21" s="125">
        <f>G21</f>
        <v>760</v>
      </c>
      <c r="I21" s="124"/>
    </row>
    <row r="22" spans="2:9" ht="16.5" x14ac:dyDescent="0.25">
      <c r="B22" s="107" t="s">
        <v>124</v>
      </c>
      <c r="C22" s="109" t="s">
        <v>386</v>
      </c>
      <c r="D22" s="107" t="s">
        <v>123</v>
      </c>
      <c r="E22" s="122">
        <v>82</v>
      </c>
      <c r="F22" s="123">
        <v>10</v>
      </c>
      <c r="G22" s="123">
        <f>E22*F22</f>
        <v>820</v>
      </c>
      <c r="H22" s="125">
        <f>G22</f>
        <v>820</v>
      </c>
      <c r="I22" s="124"/>
    </row>
    <row r="23" spans="2:9" ht="16.5" x14ac:dyDescent="0.25">
      <c r="B23" s="116" t="s">
        <v>126</v>
      </c>
      <c r="C23" s="117" t="s">
        <v>127</v>
      </c>
      <c r="D23" s="118"/>
      <c r="E23" s="89"/>
      <c r="F23" s="123"/>
      <c r="G23" s="123"/>
      <c r="H23" s="125"/>
      <c r="I23" s="124"/>
    </row>
    <row r="24" spans="2:9" ht="16.5" x14ac:dyDescent="0.25">
      <c r="B24" s="107" t="s">
        <v>128</v>
      </c>
      <c r="C24" s="132" t="s">
        <v>387</v>
      </c>
      <c r="D24" s="130" t="s">
        <v>203</v>
      </c>
      <c r="E24" s="79">
        <v>6</v>
      </c>
      <c r="F24" s="123">
        <v>7.5</v>
      </c>
      <c r="G24" s="123">
        <f t="shared" ref="G24:G30" si="2">E24*F24</f>
        <v>45</v>
      </c>
      <c r="H24" s="125">
        <f t="shared" ref="H24:H30" si="3">G24</f>
        <v>45</v>
      </c>
      <c r="I24" s="124"/>
    </row>
    <row r="25" spans="2:9" ht="16.5" x14ac:dyDescent="0.25">
      <c r="B25" s="107" t="s">
        <v>131</v>
      </c>
      <c r="C25" s="132" t="s">
        <v>388</v>
      </c>
      <c r="D25" s="130" t="s">
        <v>389</v>
      </c>
      <c r="E25" s="79">
        <v>2</v>
      </c>
      <c r="F25" s="123">
        <v>2.5</v>
      </c>
      <c r="G25" s="123">
        <f t="shared" si="2"/>
        <v>5</v>
      </c>
      <c r="H25" s="125">
        <f t="shared" si="3"/>
        <v>5</v>
      </c>
      <c r="I25" s="124"/>
    </row>
    <row r="26" spans="2:9" ht="16.5" x14ac:dyDescent="0.25">
      <c r="B26" s="107" t="s">
        <v>390</v>
      </c>
      <c r="C26" s="77" t="s">
        <v>129</v>
      </c>
      <c r="D26" s="74" t="s">
        <v>130</v>
      </c>
      <c r="E26" s="75">
        <v>56</v>
      </c>
      <c r="F26" s="76">
        <f>34.07*1.18</f>
        <v>40.202599999999997</v>
      </c>
      <c r="G26" s="76">
        <f t="shared" si="2"/>
        <v>2251.3455999999996</v>
      </c>
      <c r="H26" s="76">
        <f t="shared" si="3"/>
        <v>2251.3455999999996</v>
      </c>
      <c r="I26" s="124"/>
    </row>
    <row r="27" spans="2:9" ht="16.5" x14ac:dyDescent="0.25">
      <c r="B27" s="107" t="s">
        <v>391</v>
      </c>
      <c r="C27" s="77" t="s">
        <v>392</v>
      </c>
      <c r="D27" s="74" t="s">
        <v>350</v>
      </c>
      <c r="E27" s="75">
        <v>12</v>
      </c>
      <c r="F27" s="76">
        <f>25.56*1.18</f>
        <v>30.160799999999998</v>
      </c>
      <c r="G27" s="76">
        <f t="shared" si="2"/>
        <v>361.92959999999999</v>
      </c>
      <c r="H27" s="76">
        <f t="shared" si="3"/>
        <v>361.92959999999999</v>
      </c>
      <c r="I27" s="124"/>
    </row>
    <row r="28" spans="2:9" ht="16.5" x14ac:dyDescent="0.25">
      <c r="B28" s="107" t="s">
        <v>393</v>
      </c>
      <c r="C28" s="77" t="s">
        <v>394</v>
      </c>
      <c r="D28" s="74" t="s">
        <v>109</v>
      </c>
      <c r="E28" s="75">
        <v>4</v>
      </c>
      <c r="F28" s="76">
        <f>8.52*1.18</f>
        <v>10.053599999999999</v>
      </c>
      <c r="G28" s="76">
        <f t="shared" si="2"/>
        <v>40.214399999999998</v>
      </c>
      <c r="H28" s="76">
        <f t="shared" si="3"/>
        <v>40.214399999999998</v>
      </c>
      <c r="I28" s="124"/>
    </row>
    <row r="29" spans="2:9" ht="16.5" x14ac:dyDescent="0.25">
      <c r="B29" s="133" t="s">
        <v>133</v>
      </c>
      <c r="C29" s="117" t="s">
        <v>144</v>
      </c>
      <c r="D29" s="130"/>
      <c r="E29" s="79"/>
      <c r="F29" s="123"/>
      <c r="G29" s="123">
        <f t="shared" si="2"/>
        <v>0</v>
      </c>
      <c r="H29" s="76">
        <f t="shared" si="3"/>
        <v>0</v>
      </c>
      <c r="I29" s="124"/>
    </row>
    <row r="30" spans="2:9" ht="16.5" x14ac:dyDescent="0.25">
      <c r="B30" s="130" t="s">
        <v>137</v>
      </c>
      <c r="C30" s="131" t="s">
        <v>395</v>
      </c>
      <c r="D30" s="130" t="s">
        <v>396</v>
      </c>
      <c r="E30" s="75">
        <v>2</v>
      </c>
      <c r="F30" s="124">
        <f>185*3.15</f>
        <v>582.75</v>
      </c>
      <c r="G30" s="123">
        <f t="shared" si="2"/>
        <v>1165.5</v>
      </c>
      <c r="H30" s="76">
        <f t="shared" si="3"/>
        <v>1165.5</v>
      </c>
      <c r="I30" s="124"/>
    </row>
    <row r="31" spans="2:9" ht="16.5" x14ac:dyDescent="0.25">
      <c r="B31" s="133" t="s">
        <v>143</v>
      </c>
      <c r="C31" s="117" t="s">
        <v>397</v>
      </c>
      <c r="D31" s="130"/>
      <c r="E31" s="79"/>
      <c r="F31" s="123"/>
      <c r="G31" s="123"/>
      <c r="H31" s="76"/>
      <c r="I31" s="124"/>
    </row>
    <row r="32" spans="2:9" ht="16.5" x14ac:dyDescent="0.25">
      <c r="B32" s="130" t="s">
        <v>145</v>
      </c>
      <c r="C32" s="132" t="s">
        <v>398</v>
      </c>
      <c r="D32" s="130" t="s">
        <v>78</v>
      </c>
      <c r="E32" s="75">
        <v>1</v>
      </c>
      <c r="F32" s="123">
        <v>90</v>
      </c>
      <c r="G32" s="123">
        <f>E32*F32</f>
        <v>90</v>
      </c>
      <c r="H32" s="76">
        <f>G32</f>
        <v>90</v>
      </c>
      <c r="I32" s="124"/>
    </row>
    <row r="33" spans="2:9" ht="16.5" x14ac:dyDescent="0.25">
      <c r="B33" s="130" t="s">
        <v>399</v>
      </c>
      <c r="C33" s="131" t="s">
        <v>400</v>
      </c>
      <c r="D33" s="130" t="s">
        <v>116</v>
      </c>
      <c r="E33" s="75">
        <v>1</v>
      </c>
      <c r="F33" s="123">
        <v>150</v>
      </c>
      <c r="G33" s="123">
        <f>E33*F33</f>
        <v>150</v>
      </c>
      <c r="H33" s="76">
        <f>G33</f>
        <v>150</v>
      </c>
      <c r="I33" s="124"/>
    </row>
    <row r="34" spans="2:9" ht="16.5" x14ac:dyDescent="0.25">
      <c r="B34" s="133" t="s">
        <v>148</v>
      </c>
      <c r="C34" s="117" t="s">
        <v>183</v>
      </c>
      <c r="D34" s="134"/>
      <c r="E34" s="82"/>
      <c r="F34" s="123"/>
      <c r="G34" s="123"/>
      <c r="H34" s="76"/>
      <c r="I34" s="124"/>
    </row>
    <row r="35" spans="2:9" ht="16.5" x14ac:dyDescent="0.25">
      <c r="B35" s="107" t="s">
        <v>150</v>
      </c>
      <c r="C35" s="77" t="s">
        <v>185</v>
      </c>
      <c r="D35" s="74" t="s">
        <v>170</v>
      </c>
      <c r="E35" s="75">
        <v>15</v>
      </c>
      <c r="F35" s="76">
        <v>12</v>
      </c>
      <c r="G35" s="76">
        <f>E35*F35</f>
        <v>180</v>
      </c>
      <c r="H35" s="76">
        <f>G35</f>
        <v>180</v>
      </c>
      <c r="I35" s="124"/>
    </row>
    <row r="36" spans="2:9" ht="16.5" x14ac:dyDescent="0.25">
      <c r="B36" s="107" t="s">
        <v>152</v>
      </c>
      <c r="C36" s="77" t="s">
        <v>187</v>
      </c>
      <c r="D36" s="74" t="s">
        <v>170</v>
      </c>
      <c r="E36" s="75">
        <v>5</v>
      </c>
      <c r="F36" s="76">
        <v>25</v>
      </c>
      <c r="G36" s="76">
        <f>E36*F36</f>
        <v>125</v>
      </c>
      <c r="H36" s="76">
        <f>G36</f>
        <v>125</v>
      </c>
      <c r="I36" s="124"/>
    </row>
    <row r="37" spans="2:9" ht="16.5" x14ac:dyDescent="0.25">
      <c r="B37" s="69" t="s">
        <v>182</v>
      </c>
      <c r="C37" s="73" t="s">
        <v>401</v>
      </c>
      <c r="D37" s="71"/>
      <c r="E37" s="89"/>
      <c r="F37" s="71"/>
      <c r="G37" s="76"/>
      <c r="H37" s="76"/>
      <c r="I37" s="80"/>
    </row>
    <row r="38" spans="2:9" ht="16.5" x14ac:dyDescent="0.25">
      <c r="B38" s="71" t="s">
        <v>184</v>
      </c>
      <c r="C38" s="80" t="s">
        <v>333</v>
      </c>
      <c r="D38" s="71" t="s">
        <v>334</v>
      </c>
      <c r="E38" s="89">
        <v>120</v>
      </c>
      <c r="F38" s="71">
        <v>35</v>
      </c>
      <c r="G38" s="76">
        <f>E38*F38</f>
        <v>4200</v>
      </c>
      <c r="H38" s="76"/>
      <c r="I38" s="76">
        <f>G38</f>
        <v>4200</v>
      </c>
    </row>
    <row r="39" spans="2:9" ht="16.5" x14ac:dyDescent="0.25">
      <c r="B39" s="71"/>
      <c r="C39" s="259" t="s">
        <v>61</v>
      </c>
      <c r="D39" s="259"/>
      <c r="E39" s="259"/>
      <c r="F39" s="265"/>
      <c r="G39" s="91">
        <f>SUM(G7:G38)</f>
        <v>16796.847600000001</v>
      </c>
      <c r="H39" s="91">
        <f>SUM(H7:H38)</f>
        <v>10696.847600000001</v>
      </c>
      <c r="I39" s="91">
        <f>SUM(I7:I38)</f>
        <v>6100</v>
      </c>
    </row>
    <row r="40" spans="2:9" ht="16.5" x14ac:dyDescent="0.25">
      <c r="B40" s="71"/>
      <c r="C40" s="259" t="s">
        <v>335</v>
      </c>
      <c r="D40" s="259"/>
      <c r="E40" s="259"/>
      <c r="F40" s="265"/>
      <c r="G40" s="91">
        <f>G39/3.15</f>
        <v>5332.332571428572</v>
      </c>
      <c r="H40" s="91">
        <f>H39/3.15</f>
        <v>3395.8246349206352</v>
      </c>
      <c r="I40" s="91">
        <f>I39/3.15</f>
        <v>1936.5079365079366</v>
      </c>
    </row>
    <row r="41" spans="2:9" x14ac:dyDescent="0.25">
      <c r="B41" s="12"/>
      <c r="C41" s="12" t="s">
        <v>336</v>
      </c>
      <c r="D41" s="12"/>
      <c r="E41" s="12"/>
      <c r="F41" s="12"/>
      <c r="G41" s="12"/>
      <c r="H41" s="12"/>
      <c r="I41" s="12"/>
    </row>
    <row r="42" spans="2:9" x14ac:dyDescent="0.25">
      <c r="B42" s="12"/>
      <c r="C42" s="12"/>
      <c r="D42" s="12"/>
      <c r="E42" s="135" t="s">
        <v>123</v>
      </c>
      <c r="F42" s="135" t="s">
        <v>337</v>
      </c>
      <c r="G42" s="92">
        <f t="shared" ref="G42:I43" si="4">G39/120</f>
        <v>139.97373000000002</v>
      </c>
      <c r="H42" s="92">
        <f t="shared" si="4"/>
        <v>89.140396666666675</v>
      </c>
      <c r="I42" s="92">
        <f t="shared" si="4"/>
        <v>50.833333333333336</v>
      </c>
    </row>
    <row r="43" spans="2:9" x14ac:dyDescent="0.25">
      <c r="B43" s="12"/>
      <c r="C43" s="12"/>
      <c r="D43" s="12"/>
      <c r="E43" s="135" t="s">
        <v>123</v>
      </c>
      <c r="F43" s="135" t="s">
        <v>338</v>
      </c>
      <c r="G43" s="92">
        <f t="shared" si="4"/>
        <v>44.436104761904765</v>
      </c>
      <c r="H43" s="92">
        <f t="shared" si="4"/>
        <v>28.298538624338626</v>
      </c>
      <c r="I43" s="92">
        <f t="shared" si="4"/>
        <v>16.137566137566139</v>
      </c>
    </row>
    <row r="44" spans="2:9" x14ac:dyDescent="0.25">
      <c r="B44" s="12"/>
      <c r="C44" s="12"/>
      <c r="D44" s="12"/>
      <c r="E44" s="12"/>
      <c r="F44" s="12"/>
      <c r="G44" s="12"/>
      <c r="H44" s="12"/>
      <c r="I44" s="12"/>
    </row>
    <row r="45" spans="2:9" x14ac:dyDescent="0.25">
      <c r="B45" s="12"/>
      <c r="C45" s="12"/>
      <c r="D45" s="12"/>
      <c r="E45" s="12"/>
      <c r="F45" s="12"/>
      <c r="G45" s="12"/>
      <c r="H45" s="12"/>
      <c r="I45" s="12"/>
    </row>
    <row r="46" spans="2:9" x14ac:dyDescent="0.25">
      <c r="C46" s="93" t="s">
        <v>402</v>
      </c>
      <c r="D46" s="36"/>
      <c r="E46" s="36"/>
    </row>
    <row r="47" spans="2:9" x14ac:dyDescent="0.25">
      <c r="C47" s="100"/>
      <c r="D47" s="100"/>
      <c r="E47" s="136" t="s">
        <v>338</v>
      </c>
    </row>
    <row r="48" spans="2:9" ht="16.5" x14ac:dyDescent="0.25">
      <c r="C48" s="97" t="s">
        <v>403</v>
      </c>
      <c r="D48" s="90"/>
      <c r="E48" s="137">
        <v>44.44</v>
      </c>
    </row>
    <row r="49" spans="2:10" ht="16.5" x14ac:dyDescent="0.25">
      <c r="B49" s="94"/>
      <c r="C49" s="97" t="s">
        <v>341</v>
      </c>
      <c r="D49" s="90"/>
      <c r="E49" s="137">
        <f>E48*0.05</f>
        <v>2.222</v>
      </c>
    </row>
    <row r="50" spans="2:10" x14ac:dyDescent="0.25">
      <c r="B50" s="94"/>
      <c r="C50" s="100" t="s">
        <v>342</v>
      </c>
      <c r="D50" s="100"/>
      <c r="E50" s="138">
        <v>0</v>
      </c>
    </row>
    <row r="51" spans="2:10" x14ac:dyDescent="0.25">
      <c r="B51" s="94"/>
      <c r="C51" s="139" t="s">
        <v>343</v>
      </c>
      <c r="D51" s="100"/>
      <c r="E51" s="100">
        <f>SUM(E48:E50)</f>
        <v>46.661999999999999</v>
      </c>
    </row>
    <row r="52" spans="2:10" x14ac:dyDescent="0.25">
      <c r="B52" s="94"/>
      <c r="C52" s="140" t="s">
        <v>344</v>
      </c>
      <c r="D52" s="100"/>
      <c r="E52" s="100">
        <f>E51*0.1</f>
        <v>4.6661999999999999</v>
      </c>
    </row>
    <row r="53" spans="2:10" x14ac:dyDescent="0.25">
      <c r="B53" s="94"/>
      <c r="C53" s="140" t="s">
        <v>345</v>
      </c>
      <c r="D53" s="100"/>
      <c r="E53" s="100">
        <f>E51+E52</f>
        <v>51.328199999999995</v>
      </c>
      <c r="J53" s="36"/>
    </row>
    <row r="54" spans="2:10" x14ac:dyDescent="0.25">
      <c r="B54" s="94"/>
      <c r="J54" s="36"/>
    </row>
    <row r="55" spans="2:10" x14ac:dyDescent="0.25">
      <c r="B55" s="94"/>
      <c r="C55" s="141" t="s">
        <v>404</v>
      </c>
      <c r="D55" s="93"/>
      <c r="E55" s="93">
        <f>120*E53</f>
        <v>6159.3839999999991</v>
      </c>
    </row>
    <row r="56" spans="2:10" x14ac:dyDescent="0.25">
      <c r="B56" s="94"/>
      <c r="C56" s="94"/>
      <c r="J56" s="36"/>
    </row>
    <row r="57" spans="2:10" x14ac:dyDescent="0.25">
      <c r="B57" s="94"/>
      <c r="C57" s="94"/>
    </row>
  </sheetData>
  <mergeCells count="2">
    <mergeCell ref="C39:F39"/>
    <mergeCell ref="C40:F4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workbookViewId="0">
      <selection activeCell="C20" sqref="C20"/>
    </sheetView>
  </sheetViews>
  <sheetFormatPr baseColWidth="10" defaultRowHeight="15" x14ac:dyDescent="0.25"/>
  <cols>
    <col min="3" max="3" width="53" customWidth="1"/>
  </cols>
  <sheetData>
    <row r="3" spans="3:10" x14ac:dyDescent="0.25">
      <c r="C3" s="65" t="s">
        <v>405</v>
      </c>
    </row>
    <row r="4" spans="3:10" x14ac:dyDescent="0.25">
      <c r="C4" s="104" t="s">
        <v>406</v>
      </c>
    </row>
    <row r="5" spans="3:10" ht="15.75" thickBot="1" x14ac:dyDescent="0.3">
      <c r="C5" s="142"/>
    </row>
    <row r="6" spans="3:10" ht="17.25" thickBot="1" x14ac:dyDescent="0.3">
      <c r="C6" s="247" t="s">
        <v>407</v>
      </c>
      <c r="D6" s="247" t="s">
        <v>350</v>
      </c>
      <c r="E6" s="249" t="s">
        <v>408</v>
      </c>
      <c r="F6" s="250"/>
      <c r="G6" s="251"/>
      <c r="H6" s="249" t="s">
        <v>409</v>
      </c>
      <c r="I6" s="250"/>
      <c r="J6" s="251"/>
    </row>
    <row r="7" spans="3:10" ht="33.75" thickBot="1" x14ac:dyDescent="0.3">
      <c r="C7" s="248"/>
      <c r="D7" s="248"/>
      <c r="E7" s="5" t="s">
        <v>410</v>
      </c>
      <c r="F7" s="5" t="s">
        <v>411</v>
      </c>
      <c r="G7" s="5" t="s">
        <v>412</v>
      </c>
      <c r="H7" s="5" t="s">
        <v>410</v>
      </c>
      <c r="I7" s="5" t="s">
        <v>411</v>
      </c>
      <c r="J7" s="5" t="s">
        <v>412</v>
      </c>
    </row>
    <row r="8" spans="3:10" ht="17.25" thickBot="1" x14ac:dyDescent="0.3">
      <c r="C8" s="143" t="s">
        <v>413</v>
      </c>
      <c r="D8" s="144"/>
      <c r="E8" s="144"/>
      <c r="F8" s="144"/>
      <c r="G8" s="145"/>
      <c r="H8" s="146"/>
      <c r="I8" s="146"/>
      <c r="J8" s="147"/>
    </row>
    <row r="9" spans="3:10" ht="17.25" thickBot="1" x14ac:dyDescent="0.3">
      <c r="C9" s="6" t="s">
        <v>414</v>
      </c>
      <c r="D9" s="7" t="s">
        <v>415</v>
      </c>
      <c r="E9" s="7">
        <v>6</v>
      </c>
      <c r="F9" s="148">
        <v>9</v>
      </c>
      <c r="G9" s="149">
        <f>E9*F9</f>
        <v>54</v>
      </c>
      <c r="H9" s="148">
        <v>12</v>
      </c>
      <c r="I9" s="148">
        <v>9</v>
      </c>
      <c r="J9" s="149">
        <f>H9*I9</f>
        <v>108</v>
      </c>
    </row>
    <row r="10" spans="3:10" ht="17.25" thickBot="1" x14ac:dyDescent="0.3">
      <c r="C10" s="6" t="s">
        <v>416</v>
      </c>
      <c r="D10" s="7" t="s">
        <v>415</v>
      </c>
      <c r="E10" s="7">
        <v>1</v>
      </c>
      <c r="F10" s="148">
        <v>3.6</v>
      </c>
      <c r="G10" s="149">
        <f t="shared" ref="G10:G13" si="0">E10*F10</f>
        <v>3.6</v>
      </c>
      <c r="H10" s="148">
        <v>3</v>
      </c>
      <c r="I10" s="148">
        <v>3.6</v>
      </c>
      <c r="J10" s="149">
        <f t="shared" ref="J10:J13" si="1">H10*I10</f>
        <v>10.8</v>
      </c>
    </row>
    <row r="11" spans="3:10" ht="17.25" thickBot="1" x14ac:dyDescent="0.3">
      <c r="C11" s="6" t="s">
        <v>417</v>
      </c>
      <c r="D11" s="7" t="s">
        <v>350</v>
      </c>
      <c r="E11" s="7">
        <v>1</v>
      </c>
      <c r="F11" s="148">
        <v>3</v>
      </c>
      <c r="G11" s="149">
        <f t="shared" si="0"/>
        <v>3</v>
      </c>
      <c r="H11" s="148">
        <v>1</v>
      </c>
      <c r="I11" s="148">
        <v>10</v>
      </c>
      <c r="J11" s="149">
        <f t="shared" si="1"/>
        <v>10</v>
      </c>
    </row>
    <row r="12" spans="3:10" ht="17.25" thickBot="1" x14ac:dyDescent="0.3">
      <c r="C12" s="6" t="s">
        <v>418</v>
      </c>
      <c r="D12" s="7" t="s">
        <v>419</v>
      </c>
      <c r="E12" s="7">
        <v>730</v>
      </c>
      <c r="F12" s="148">
        <v>0.1</v>
      </c>
      <c r="G12" s="149">
        <f t="shared" si="0"/>
        <v>73</v>
      </c>
      <c r="H12" s="148">
        <f>730*0.4</f>
        <v>292</v>
      </c>
      <c r="I12" s="148">
        <v>0.5</v>
      </c>
      <c r="J12" s="149">
        <f t="shared" si="1"/>
        <v>146</v>
      </c>
    </row>
    <row r="13" spans="3:10" ht="17.25" thickBot="1" x14ac:dyDescent="0.3">
      <c r="C13" s="6" t="s">
        <v>420</v>
      </c>
      <c r="D13" s="7" t="s">
        <v>87</v>
      </c>
      <c r="E13" s="7"/>
      <c r="F13" s="148"/>
      <c r="G13" s="149">
        <f t="shared" si="0"/>
        <v>0</v>
      </c>
      <c r="H13" s="148">
        <v>15</v>
      </c>
      <c r="I13" s="148">
        <v>2.5</v>
      </c>
      <c r="J13" s="149">
        <f t="shared" si="1"/>
        <v>37.5</v>
      </c>
    </row>
    <row r="14" spans="3:10" ht="17.25" thickBot="1" x14ac:dyDescent="0.3">
      <c r="C14" s="143" t="s">
        <v>421</v>
      </c>
      <c r="D14" s="150"/>
      <c r="E14" s="151"/>
      <c r="F14" s="152"/>
      <c r="G14" s="153">
        <f>SUM(G9:G13)</f>
        <v>133.6</v>
      </c>
      <c r="H14" s="152"/>
      <c r="I14" s="152"/>
      <c r="J14" s="153">
        <f>SUM(J9:J13)</f>
        <v>312.3</v>
      </c>
    </row>
    <row r="15" spans="3:10" ht="17.25" thickBot="1" x14ac:dyDescent="0.3">
      <c r="C15" s="154" t="s">
        <v>422</v>
      </c>
      <c r="D15" s="155"/>
      <c r="E15" s="15"/>
      <c r="F15" s="152"/>
      <c r="G15" s="152"/>
      <c r="H15" s="152"/>
      <c r="I15" s="152"/>
      <c r="J15" s="152"/>
    </row>
    <row r="16" spans="3:10" ht="17.25" thickBot="1" x14ac:dyDescent="0.3">
      <c r="C16" s="6" t="s">
        <v>423</v>
      </c>
      <c r="D16" s="156" t="s">
        <v>424</v>
      </c>
      <c r="E16" s="20">
        <v>1</v>
      </c>
      <c r="F16" s="157">
        <v>0</v>
      </c>
      <c r="G16" s="149">
        <f>E16*F16</f>
        <v>0</v>
      </c>
      <c r="H16" s="158">
        <v>1</v>
      </c>
      <c r="I16" s="157">
        <v>6</v>
      </c>
      <c r="J16" s="149">
        <f>H16*I16</f>
        <v>6</v>
      </c>
    </row>
    <row r="17" spans="3:10" ht="17.25" thickBot="1" x14ac:dyDescent="0.3">
      <c r="C17" s="6" t="s">
        <v>425</v>
      </c>
      <c r="D17" s="20" t="s">
        <v>424</v>
      </c>
      <c r="E17" s="20">
        <v>1</v>
      </c>
      <c r="F17" s="157">
        <v>0</v>
      </c>
      <c r="G17" s="149">
        <f t="shared" ref="G17:G20" si="2">E17*F17</f>
        <v>0</v>
      </c>
      <c r="H17" s="158">
        <v>1</v>
      </c>
      <c r="I17" s="157">
        <v>40</v>
      </c>
      <c r="J17" s="149">
        <f t="shared" ref="J17:J20" si="3">H17*I17</f>
        <v>40</v>
      </c>
    </row>
    <row r="18" spans="3:10" ht="17.25" thickBot="1" x14ac:dyDescent="0.3">
      <c r="C18" s="6" t="s">
        <v>426</v>
      </c>
      <c r="D18" s="20" t="s">
        <v>424</v>
      </c>
      <c r="E18" s="20">
        <v>1</v>
      </c>
      <c r="F18" s="157">
        <v>12</v>
      </c>
      <c r="G18" s="149">
        <f t="shared" si="2"/>
        <v>12</v>
      </c>
      <c r="H18" s="158">
        <v>1</v>
      </c>
      <c r="I18" s="157">
        <v>25</v>
      </c>
      <c r="J18" s="149">
        <f t="shared" si="3"/>
        <v>25</v>
      </c>
    </row>
    <row r="19" spans="3:10" ht="17.25" thickBot="1" x14ac:dyDescent="0.3">
      <c r="C19" s="6" t="s">
        <v>427</v>
      </c>
      <c r="D19" s="20" t="s">
        <v>424</v>
      </c>
      <c r="E19" s="20">
        <v>1</v>
      </c>
      <c r="F19" s="157">
        <v>0</v>
      </c>
      <c r="G19" s="149">
        <f t="shared" si="2"/>
        <v>0</v>
      </c>
      <c r="H19" s="158">
        <v>1</v>
      </c>
      <c r="I19" s="157">
        <v>20</v>
      </c>
      <c r="J19" s="149">
        <f t="shared" si="3"/>
        <v>20</v>
      </c>
    </row>
    <row r="20" spans="3:10" ht="17.25" thickBot="1" x14ac:dyDescent="0.3">
      <c r="C20" s="6" t="s">
        <v>428</v>
      </c>
      <c r="D20" s="20" t="s">
        <v>424</v>
      </c>
      <c r="E20" s="20">
        <v>1</v>
      </c>
      <c r="F20" s="157">
        <v>10</v>
      </c>
      <c r="G20" s="149">
        <f t="shared" si="2"/>
        <v>10</v>
      </c>
      <c r="H20" s="158">
        <v>1</v>
      </c>
      <c r="I20" s="157">
        <v>10</v>
      </c>
      <c r="J20" s="149">
        <f t="shared" si="3"/>
        <v>10</v>
      </c>
    </row>
    <row r="21" spans="3:10" ht="17.25" thickBot="1" x14ac:dyDescent="0.3">
      <c r="C21" s="6" t="s">
        <v>429</v>
      </c>
      <c r="D21" s="20"/>
      <c r="E21" s="20"/>
      <c r="F21" s="159"/>
      <c r="G21" s="153">
        <f>SUM(G16:G20)</f>
        <v>22</v>
      </c>
      <c r="H21" s="160"/>
      <c r="I21" s="161"/>
      <c r="J21" s="153">
        <f>SUM(J16:J20)</f>
        <v>101</v>
      </c>
    </row>
    <row r="22" spans="3:10" ht="17.25" thickBot="1" x14ac:dyDescent="0.3">
      <c r="C22" s="63" t="s">
        <v>430</v>
      </c>
      <c r="D22" s="151"/>
      <c r="E22" s="151"/>
      <c r="F22" s="152"/>
      <c r="G22" s="153">
        <f>G14-G21</f>
        <v>111.6</v>
      </c>
      <c r="H22" s="161"/>
      <c r="I22" s="161"/>
      <c r="J22" s="153">
        <f>J14-J21</f>
        <v>211.3</v>
      </c>
    </row>
  </sheetData>
  <mergeCells count="4">
    <mergeCell ref="C6:C7"/>
    <mergeCell ref="D6:D7"/>
    <mergeCell ref="E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9"/>
  <sheetViews>
    <sheetView topLeftCell="A4" workbookViewId="0">
      <selection activeCell="C16" sqref="C16"/>
    </sheetView>
  </sheetViews>
  <sheetFormatPr baseColWidth="10" defaultRowHeight="15" x14ac:dyDescent="0.25"/>
  <cols>
    <col min="3" max="3" width="57.5703125" customWidth="1"/>
  </cols>
  <sheetData>
    <row r="4" spans="2:9" ht="16.5" x14ac:dyDescent="0.25">
      <c r="B4" s="112" t="s">
        <v>431</v>
      </c>
      <c r="C4" s="112"/>
      <c r="D4" s="44" t="s">
        <v>76</v>
      </c>
      <c r="E4" s="44"/>
      <c r="F4" s="44"/>
      <c r="G4" s="44"/>
      <c r="H4" s="44"/>
      <c r="I4" s="44"/>
    </row>
    <row r="5" spans="2:9" ht="16.5" x14ac:dyDescent="0.25">
      <c r="B5" s="114" t="s">
        <v>432</v>
      </c>
      <c r="C5" s="114"/>
      <c r="D5" s="113"/>
      <c r="E5" s="113"/>
      <c r="F5" s="113"/>
      <c r="G5" s="113"/>
      <c r="H5" s="113"/>
      <c r="I5" s="113"/>
    </row>
    <row r="6" spans="2:9" ht="16.5" x14ac:dyDescent="0.25">
      <c r="B6" s="67" t="s">
        <v>77</v>
      </c>
      <c r="C6" s="67" t="s">
        <v>72</v>
      </c>
      <c r="D6" s="67" t="s">
        <v>78</v>
      </c>
      <c r="E6" s="67" t="s">
        <v>79</v>
      </c>
      <c r="F6" s="67" t="s">
        <v>50</v>
      </c>
      <c r="G6" s="68" t="s">
        <v>61</v>
      </c>
      <c r="H6" s="68" t="s">
        <v>4</v>
      </c>
      <c r="I6" s="68" t="s">
        <v>80</v>
      </c>
    </row>
    <row r="7" spans="2:9" ht="16.5" x14ac:dyDescent="0.25">
      <c r="B7" s="116" t="s">
        <v>83</v>
      </c>
      <c r="C7" s="117" t="s">
        <v>84</v>
      </c>
      <c r="D7" s="130"/>
      <c r="E7" s="119"/>
      <c r="F7" s="119"/>
      <c r="G7" s="76"/>
      <c r="H7" s="119"/>
      <c r="I7" s="119"/>
    </row>
    <row r="8" spans="2:9" ht="16.5" x14ac:dyDescent="0.25">
      <c r="B8" s="118" t="s">
        <v>85</v>
      </c>
      <c r="C8" s="131" t="s">
        <v>373</v>
      </c>
      <c r="D8" s="130" t="s">
        <v>87</v>
      </c>
      <c r="E8" s="75">
        <v>18</v>
      </c>
      <c r="F8" s="110">
        <v>50</v>
      </c>
      <c r="G8" s="110">
        <f>E8*F8</f>
        <v>900</v>
      </c>
      <c r="H8" s="110"/>
      <c r="I8" s="76">
        <f>G8</f>
        <v>900</v>
      </c>
    </row>
    <row r="9" spans="2:9" ht="16.5" x14ac:dyDescent="0.25">
      <c r="B9" s="118" t="s">
        <v>88</v>
      </c>
      <c r="C9" s="131" t="s">
        <v>433</v>
      </c>
      <c r="D9" s="130" t="s">
        <v>99</v>
      </c>
      <c r="E9" s="75">
        <v>4</v>
      </c>
      <c r="F9" s="76">
        <v>11.33</v>
      </c>
      <c r="G9" s="110">
        <f t="shared" ref="G9:G29" si="0">E9*F9</f>
        <v>45.32</v>
      </c>
      <c r="H9" s="76">
        <f>G9</f>
        <v>45.32</v>
      </c>
      <c r="I9" s="76"/>
    </row>
    <row r="10" spans="2:9" ht="16.5" x14ac:dyDescent="0.25">
      <c r="B10" s="118" t="s">
        <v>90</v>
      </c>
      <c r="C10" s="77" t="s">
        <v>108</v>
      </c>
      <c r="D10" s="109" t="s">
        <v>374</v>
      </c>
      <c r="E10" s="107">
        <v>48</v>
      </c>
      <c r="F10" s="110">
        <v>21.2</v>
      </c>
      <c r="G10" s="110">
        <f t="shared" si="0"/>
        <v>1017.5999999999999</v>
      </c>
      <c r="H10" s="76">
        <f t="shared" ref="H10:H29" si="1">G10</f>
        <v>1017.5999999999999</v>
      </c>
      <c r="I10" s="76"/>
    </row>
    <row r="11" spans="2:9" ht="16.5" x14ac:dyDescent="0.25">
      <c r="B11" s="118" t="s">
        <v>92</v>
      </c>
      <c r="C11" s="131" t="s">
        <v>434</v>
      </c>
      <c r="D11" s="130" t="s">
        <v>96</v>
      </c>
      <c r="E11" s="75">
        <v>1</v>
      </c>
      <c r="F11" s="77">
        <v>59.47</v>
      </c>
      <c r="G11" s="110">
        <f t="shared" si="0"/>
        <v>59.47</v>
      </c>
      <c r="H11" s="76">
        <f t="shared" si="1"/>
        <v>59.47</v>
      </c>
      <c r="I11" s="76"/>
    </row>
    <row r="12" spans="2:9" ht="16.5" x14ac:dyDescent="0.25">
      <c r="B12" s="118" t="s">
        <v>94</v>
      </c>
      <c r="C12" s="131" t="s">
        <v>435</v>
      </c>
      <c r="D12" s="130" t="s">
        <v>78</v>
      </c>
      <c r="E12" s="75">
        <v>12</v>
      </c>
      <c r="F12" s="76">
        <v>125</v>
      </c>
      <c r="G12" s="110">
        <f t="shared" si="0"/>
        <v>1500</v>
      </c>
      <c r="H12" s="76">
        <f t="shared" si="1"/>
        <v>1500</v>
      </c>
      <c r="I12" s="76"/>
    </row>
    <row r="13" spans="2:9" ht="16.5" x14ac:dyDescent="0.25">
      <c r="B13" s="118" t="s">
        <v>97</v>
      </c>
      <c r="C13" s="131" t="s">
        <v>436</v>
      </c>
      <c r="D13" s="130" t="s">
        <v>78</v>
      </c>
      <c r="E13" s="75">
        <v>10</v>
      </c>
      <c r="F13" s="76">
        <v>75</v>
      </c>
      <c r="G13" s="110">
        <f t="shared" si="0"/>
        <v>750</v>
      </c>
      <c r="H13" s="76">
        <f t="shared" si="1"/>
        <v>750</v>
      </c>
      <c r="I13" s="76"/>
    </row>
    <row r="14" spans="2:9" ht="16.5" x14ac:dyDescent="0.25">
      <c r="B14" s="118" t="s">
        <v>100</v>
      </c>
      <c r="C14" s="131" t="s">
        <v>437</v>
      </c>
      <c r="D14" s="130" t="s">
        <v>78</v>
      </c>
      <c r="E14" s="75">
        <v>6</v>
      </c>
      <c r="F14" s="76">
        <v>75</v>
      </c>
      <c r="G14" s="110">
        <f t="shared" si="0"/>
        <v>450</v>
      </c>
      <c r="H14" s="76">
        <f t="shared" si="1"/>
        <v>450</v>
      </c>
      <c r="I14" s="76"/>
    </row>
    <row r="15" spans="2:9" ht="16.5" x14ac:dyDescent="0.25">
      <c r="B15" s="118" t="s">
        <v>103</v>
      </c>
      <c r="C15" s="131" t="s">
        <v>438</v>
      </c>
      <c r="D15" s="130" t="s">
        <v>78</v>
      </c>
      <c r="E15" s="75">
        <v>16</v>
      </c>
      <c r="F15" s="76">
        <v>85</v>
      </c>
      <c r="G15" s="110">
        <f t="shared" si="0"/>
        <v>1360</v>
      </c>
      <c r="H15" s="76">
        <f t="shared" si="1"/>
        <v>1360</v>
      </c>
      <c r="I15" s="76"/>
    </row>
    <row r="16" spans="2:9" ht="16.5" x14ac:dyDescent="0.25">
      <c r="B16" s="116" t="s">
        <v>119</v>
      </c>
      <c r="C16" s="117" t="s">
        <v>439</v>
      </c>
      <c r="D16" s="130"/>
      <c r="E16" s="79"/>
      <c r="F16" s="76"/>
      <c r="G16" s="110">
        <f t="shared" si="0"/>
        <v>0</v>
      </c>
      <c r="H16" s="76">
        <f t="shared" si="1"/>
        <v>0</v>
      </c>
      <c r="I16" s="76"/>
    </row>
    <row r="17" spans="2:9" ht="16.5" x14ac:dyDescent="0.25">
      <c r="B17" s="118" t="s">
        <v>121</v>
      </c>
      <c r="C17" s="77" t="s">
        <v>440</v>
      </c>
      <c r="D17" s="74" t="s">
        <v>130</v>
      </c>
      <c r="E17" s="75">
        <v>78</v>
      </c>
      <c r="F17" s="76">
        <f>60.71*1.18</f>
        <v>71.637799999999999</v>
      </c>
      <c r="G17" s="110">
        <f t="shared" si="0"/>
        <v>5587.7483999999995</v>
      </c>
      <c r="H17" s="76">
        <f t="shared" si="1"/>
        <v>5587.7483999999995</v>
      </c>
      <c r="I17" s="76"/>
    </row>
    <row r="18" spans="2:9" ht="16.5" x14ac:dyDescent="0.25">
      <c r="B18" s="118" t="s">
        <v>124</v>
      </c>
      <c r="C18" s="77" t="s">
        <v>441</v>
      </c>
      <c r="D18" s="74" t="s">
        <v>350</v>
      </c>
      <c r="E18" s="126">
        <f>25</f>
        <v>25</v>
      </c>
      <c r="F18" s="110">
        <f>30*1.18</f>
        <v>35.4</v>
      </c>
      <c r="G18" s="110">
        <f t="shared" si="0"/>
        <v>885</v>
      </c>
      <c r="H18" s="76">
        <f t="shared" si="1"/>
        <v>885</v>
      </c>
      <c r="I18" s="76"/>
    </row>
    <row r="19" spans="2:9" ht="16.5" x14ac:dyDescent="0.25">
      <c r="B19" s="118" t="s">
        <v>442</v>
      </c>
      <c r="C19" s="77" t="s">
        <v>394</v>
      </c>
      <c r="D19" s="74" t="s">
        <v>109</v>
      </c>
      <c r="E19" s="75">
        <v>8</v>
      </c>
      <c r="F19" s="76">
        <f>12*1.18</f>
        <v>14.16</v>
      </c>
      <c r="G19" s="110">
        <f t="shared" si="0"/>
        <v>113.28</v>
      </c>
      <c r="H19" s="76">
        <f t="shared" si="1"/>
        <v>113.28</v>
      </c>
      <c r="I19" s="76"/>
    </row>
    <row r="20" spans="2:9" ht="16.5" x14ac:dyDescent="0.25">
      <c r="B20" s="116" t="s">
        <v>126</v>
      </c>
      <c r="C20" s="117" t="s">
        <v>144</v>
      </c>
      <c r="D20" s="130"/>
      <c r="E20" s="79"/>
      <c r="F20" s="76"/>
      <c r="G20" s="110">
        <f t="shared" si="0"/>
        <v>0</v>
      </c>
      <c r="H20" s="76">
        <f t="shared" si="1"/>
        <v>0</v>
      </c>
      <c r="I20" s="76"/>
    </row>
    <row r="21" spans="2:9" ht="16.5" x14ac:dyDescent="0.25">
      <c r="B21" s="118" t="s">
        <v>128</v>
      </c>
      <c r="C21" s="131" t="s">
        <v>443</v>
      </c>
      <c r="D21" s="130" t="s">
        <v>147</v>
      </c>
      <c r="E21" s="75">
        <v>1</v>
      </c>
      <c r="F21" s="76">
        <f>185*3.15</f>
        <v>582.75</v>
      </c>
      <c r="G21" s="110">
        <f t="shared" si="0"/>
        <v>582.75</v>
      </c>
      <c r="H21" s="76">
        <f t="shared" si="1"/>
        <v>582.75</v>
      </c>
      <c r="I21" s="76"/>
    </row>
    <row r="22" spans="2:9" ht="16.5" x14ac:dyDescent="0.25">
      <c r="B22" s="116" t="s">
        <v>133</v>
      </c>
      <c r="C22" s="117" t="s">
        <v>149</v>
      </c>
      <c r="D22" s="130"/>
      <c r="E22" s="79"/>
      <c r="F22" s="76"/>
      <c r="G22" s="110">
        <f t="shared" si="0"/>
        <v>0</v>
      </c>
      <c r="H22" s="76">
        <f t="shared" si="1"/>
        <v>0</v>
      </c>
      <c r="I22" s="76"/>
    </row>
    <row r="23" spans="2:9" ht="16.5" x14ac:dyDescent="0.25">
      <c r="B23" s="118" t="s">
        <v>135</v>
      </c>
      <c r="C23" s="131" t="s">
        <v>444</v>
      </c>
      <c r="D23" s="130" t="s">
        <v>78</v>
      </c>
      <c r="E23" s="75">
        <v>2</v>
      </c>
      <c r="F23" s="76">
        <v>90</v>
      </c>
      <c r="G23" s="110">
        <f t="shared" si="0"/>
        <v>180</v>
      </c>
      <c r="H23" s="76">
        <f t="shared" si="1"/>
        <v>180</v>
      </c>
      <c r="I23" s="76"/>
    </row>
    <row r="24" spans="2:9" ht="16.5" x14ac:dyDescent="0.25">
      <c r="B24" s="116" t="s">
        <v>143</v>
      </c>
      <c r="C24" s="117" t="s">
        <v>183</v>
      </c>
      <c r="D24" s="134"/>
      <c r="E24" s="82"/>
      <c r="F24" s="81"/>
      <c r="G24" s="110">
        <f>E24*F24</f>
        <v>0</v>
      </c>
      <c r="H24" s="76">
        <f t="shared" si="1"/>
        <v>0</v>
      </c>
      <c r="I24" s="81"/>
    </row>
    <row r="25" spans="2:9" ht="16.5" x14ac:dyDescent="0.25">
      <c r="B25" s="118" t="s">
        <v>145</v>
      </c>
      <c r="C25" s="131" t="s">
        <v>185</v>
      </c>
      <c r="D25" s="74" t="s">
        <v>170</v>
      </c>
      <c r="E25" s="75">
        <v>4</v>
      </c>
      <c r="F25" s="76">
        <v>12</v>
      </c>
      <c r="G25" s="110">
        <f t="shared" si="0"/>
        <v>48</v>
      </c>
      <c r="H25" s="76">
        <f t="shared" si="1"/>
        <v>48</v>
      </c>
      <c r="I25" s="76"/>
    </row>
    <row r="26" spans="2:9" ht="16.5" x14ac:dyDescent="0.25">
      <c r="B26" s="118" t="s">
        <v>399</v>
      </c>
      <c r="C26" s="131" t="s">
        <v>187</v>
      </c>
      <c r="D26" s="74" t="s">
        <v>170</v>
      </c>
      <c r="E26" s="75">
        <v>2</v>
      </c>
      <c r="F26" s="76">
        <v>25</v>
      </c>
      <c r="G26" s="110">
        <f t="shared" si="0"/>
        <v>50</v>
      </c>
      <c r="H26" s="76">
        <f t="shared" si="1"/>
        <v>50</v>
      </c>
      <c r="I26" s="76"/>
    </row>
    <row r="27" spans="2:9" ht="16.5" x14ac:dyDescent="0.25">
      <c r="B27" s="69" t="s">
        <v>148</v>
      </c>
      <c r="C27" s="73" t="s">
        <v>445</v>
      </c>
      <c r="D27" s="71"/>
      <c r="E27" s="89"/>
      <c r="F27" s="71"/>
      <c r="G27" s="110">
        <f t="shared" si="0"/>
        <v>0</v>
      </c>
      <c r="H27" s="76">
        <f t="shared" si="1"/>
        <v>0</v>
      </c>
      <c r="I27" s="76"/>
    </row>
    <row r="28" spans="2:9" ht="16.5" x14ac:dyDescent="0.25">
      <c r="B28" s="71" t="s">
        <v>150</v>
      </c>
      <c r="C28" s="131" t="s">
        <v>446</v>
      </c>
      <c r="D28" s="71" t="s">
        <v>447</v>
      </c>
      <c r="E28" s="89">
        <v>1</v>
      </c>
      <c r="F28" s="71">
        <v>350</v>
      </c>
      <c r="G28" s="110">
        <f t="shared" si="0"/>
        <v>350</v>
      </c>
      <c r="H28" s="76">
        <f t="shared" si="1"/>
        <v>350</v>
      </c>
      <c r="I28" s="76"/>
    </row>
    <row r="29" spans="2:9" ht="16.5" x14ac:dyDescent="0.25">
      <c r="B29" s="71" t="s">
        <v>152</v>
      </c>
      <c r="C29" s="80" t="s">
        <v>448</v>
      </c>
      <c r="D29" s="71" t="s">
        <v>447</v>
      </c>
      <c r="E29" s="89">
        <v>1</v>
      </c>
      <c r="F29" s="71">
        <v>525</v>
      </c>
      <c r="G29" s="110">
        <f t="shared" si="0"/>
        <v>525</v>
      </c>
      <c r="H29" s="76">
        <f t="shared" si="1"/>
        <v>525</v>
      </c>
      <c r="I29" s="76"/>
    </row>
    <row r="30" spans="2:9" ht="16.5" x14ac:dyDescent="0.25">
      <c r="B30" s="69" t="s">
        <v>182</v>
      </c>
      <c r="C30" s="73" t="s">
        <v>449</v>
      </c>
      <c r="D30" s="71"/>
      <c r="E30" s="89"/>
      <c r="F30" s="71"/>
      <c r="G30" s="76"/>
      <c r="H30" s="76"/>
      <c r="I30" s="80"/>
    </row>
    <row r="31" spans="2:9" ht="16.5" x14ac:dyDescent="0.25">
      <c r="B31" s="71" t="s">
        <v>184</v>
      </c>
      <c r="C31" s="80" t="s">
        <v>333</v>
      </c>
      <c r="D31" s="71" t="s">
        <v>334</v>
      </c>
      <c r="E31" s="89">
        <v>60</v>
      </c>
      <c r="F31" s="71">
        <v>35</v>
      </c>
      <c r="G31" s="76">
        <f>E31*F31</f>
        <v>2100</v>
      </c>
      <c r="H31" s="76"/>
      <c r="I31" s="76">
        <f>G31</f>
        <v>2100</v>
      </c>
    </row>
    <row r="32" spans="2:9" ht="16.5" x14ac:dyDescent="0.25">
      <c r="B32" s="259" t="s">
        <v>61</v>
      </c>
      <c r="C32" s="259"/>
      <c r="D32" s="259"/>
      <c r="E32" s="259"/>
      <c r="F32" s="266"/>
      <c r="G32" s="91">
        <f>SUM(G8:G31)</f>
        <v>16504.168400000002</v>
      </c>
      <c r="H32" s="91">
        <f t="shared" ref="H32:I32" si="2">SUM(H8:H31)</f>
        <v>13504.1684</v>
      </c>
      <c r="I32" s="91">
        <f t="shared" si="2"/>
        <v>3000</v>
      </c>
    </row>
    <row r="33" spans="2:9" ht="16.5" x14ac:dyDescent="0.25">
      <c r="B33" s="259" t="s">
        <v>335</v>
      </c>
      <c r="C33" s="259"/>
      <c r="D33" s="259"/>
      <c r="E33" s="259"/>
      <c r="F33" s="266"/>
      <c r="G33" s="91">
        <f>G32/3.15</f>
        <v>5239.4185396825405</v>
      </c>
      <c r="H33" s="91">
        <f>H32/3.15</f>
        <v>4287.0375873015873</v>
      </c>
      <c r="I33" s="91">
        <f>I32/3.15</f>
        <v>952.38095238095241</v>
      </c>
    </row>
    <row r="34" spans="2:9" ht="16.5" x14ac:dyDescent="0.25">
      <c r="B34" s="162" t="s">
        <v>336</v>
      </c>
      <c r="C34" s="44"/>
      <c r="D34" s="44"/>
      <c r="E34" s="44"/>
      <c r="F34" s="44"/>
      <c r="G34" s="44"/>
      <c r="H34" s="44"/>
      <c r="I34" s="44"/>
    </row>
    <row r="36" spans="2:9" x14ac:dyDescent="0.25">
      <c r="C36" s="12"/>
      <c r="D36" s="12"/>
      <c r="E36" s="135" t="s">
        <v>123</v>
      </c>
      <c r="F36" s="135" t="s">
        <v>337</v>
      </c>
      <c r="G36" s="92">
        <f t="shared" ref="G36:I37" si="3">G32/50</f>
        <v>330.08336800000006</v>
      </c>
      <c r="H36" s="92">
        <f t="shared" si="3"/>
        <v>270.08336800000001</v>
      </c>
      <c r="I36" s="92">
        <f t="shared" si="3"/>
        <v>60</v>
      </c>
    </row>
    <row r="37" spans="2:9" x14ac:dyDescent="0.25">
      <c r="C37" s="12"/>
      <c r="D37" s="12"/>
      <c r="E37" s="135" t="s">
        <v>123</v>
      </c>
      <c r="F37" s="135" t="s">
        <v>338</v>
      </c>
      <c r="G37" s="92">
        <f t="shared" si="3"/>
        <v>104.78837079365081</v>
      </c>
      <c r="H37" s="92">
        <f t="shared" si="3"/>
        <v>85.740751746031748</v>
      </c>
      <c r="I37" s="92">
        <f t="shared" si="3"/>
        <v>19.047619047619047</v>
      </c>
    </row>
    <row r="38" spans="2:9" x14ac:dyDescent="0.25">
      <c r="C38" s="12"/>
      <c r="D38" s="12"/>
      <c r="E38" s="12"/>
      <c r="F38" s="12"/>
      <c r="G38" s="12"/>
      <c r="H38" s="12"/>
      <c r="I38" s="12"/>
    </row>
    <row r="39" spans="2:9" x14ac:dyDescent="0.25">
      <c r="B39" s="163"/>
      <c r="C39" s="12"/>
      <c r="D39" s="12"/>
      <c r="E39" s="12"/>
      <c r="F39" s="12"/>
      <c r="G39" s="12"/>
      <c r="H39" s="12"/>
      <c r="I39" s="12"/>
    </row>
    <row r="40" spans="2:9" x14ac:dyDescent="0.25">
      <c r="C40" s="93" t="s">
        <v>450</v>
      </c>
      <c r="D40" s="36"/>
      <c r="E40" s="36"/>
    </row>
    <row r="41" spans="2:9" x14ac:dyDescent="0.25">
      <c r="C41" s="100"/>
      <c r="D41" s="100"/>
      <c r="E41" s="139" t="s">
        <v>338</v>
      </c>
    </row>
    <row r="42" spans="2:9" ht="16.5" x14ac:dyDescent="0.25">
      <c r="C42" s="97" t="s">
        <v>451</v>
      </c>
      <c r="D42" s="90"/>
      <c r="E42" s="137">
        <v>104.79</v>
      </c>
    </row>
    <row r="43" spans="2:9" ht="16.5" x14ac:dyDescent="0.25">
      <c r="C43" s="97" t="s">
        <v>341</v>
      </c>
      <c r="D43" s="90"/>
      <c r="E43" s="137">
        <f>E42*0.05</f>
        <v>5.2395000000000005</v>
      </c>
    </row>
    <row r="44" spans="2:9" x14ac:dyDescent="0.25">
      <c r="C44" s="100" t="s">
        <v>342</v>
      </c>
      <c r="D44" s="100"/>
      <c r="E44" s="138">
        <v>0</v>
      </c>
    </row>
    <row r="45" spans="2:9" x14ac:dyDescent="0.25">
      <c r="C45" s="139" t="s">
        <v>343</v>
      </c>
      <c r="D45" s="100"/>
      <c r="E45" s="100">
        <f>SUM(E42:E44)</f>
        <v>110.02950000000001</v>
      </c>
    </row>
    <row r="46" spans="2:9" x14ac:dyDescent="0.25">
      <c r="C46" s="140" t="s">
        <v>344</v>
      </c>
      <c r="D46" s="100"/>
      <c r="E46" s="100">
        <f>E45*0.1</f>
        <v>11.002950000000002</v>
      </c>
    </row>
    <row r="47" spans="2:9" x14ac:dyDescent="0.25">
      <c r="C47" s="140" t="s">
        <v>345</v>
      </c>
      <c r="D47" s="100"/>
      <c r="E47" s="100">
        <f>E45+E46</f>
        <v>121.03245000000001</v>
      </c>
    </row>
    <row r="49" spans="3:5" x14ac:dyDescent="0.25">
      <c r="C49" s="141" t="s">
        <v>452</v>
      </c>
      <c r="D49" s="93" t="s">
        <v>338</v>
      </c>
      <c r="E49" s="93">
        <f>50*E47</f>
        <v>6051.6225000000004</v>
      </c>
    </row>
  </sheetData>
  <mergeCells count="2">
    <mergeCell ref="B32:F32"/>
    <mergeCell ref="B33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7"/>
  <sheetViews>
    <sheetView workbookViewId="0">
      <selection activeCell="C26" sqref="C26:G26"/>
    </sheetView>
  </sheetViews>
  <sheetFormatPr baseColWidth="10" defaultRowHeight="15" x14ac:dyDescent="0.25"/>
  <cols>
    <col min="3" max="3" width="37.5703125" customWidth="1"/>
  </cols>
  <sheetData>
    <row r="4" spans="3:9" x14ac:dyDescent="0.25">
      <c r="C4" s="65" t="s">
        <v>453</v>
      </c>
    </row>
    <row r="5" spans="3:9" x14ac:dyDescent="0.25">
      <c r="C5" s="104" t="s">
        <v>454</v>
      </c>
    </row>
    <row r="6" spans="3:9" x14ac:dyDescent="0.25">
      <c r="C6" s="105"/>
    </row>
    <row r="7" spans="3:9" ht="15.75" x14ac:dyDescent="0.25">
      <c r="C7" s="267" t="s">
        <v>407</v>
      </c>
      <c r="D7" s="267" t="s">
        <v>350</v>
      </c>
      <c r="E7" s="267" t="s">
        <v>455</v>
      </c>
      <c r="F7" s="267" t="s">
        <v>408</v>
      </c>
      <c r="G7" s="267"/>
      <c r="H7" s="267"/>
      <c r="I7" s="267" t="s">
        <v>456</v>
      </c>
    </row>
    <row r="8" spans="3:9" ht="47.25" x14ac:dyDescent="0.25">
      <c r="C8" s="267"/>
      <c r="D8" s="267"/>
      <c r="E8" s="267"/>
      <c r="F8" s="164" t="s">
        <v>410</v>
      </c>
      <c r="G8" s="164" t="s">
        <v>411</v>
      </c>
      <c r="H8" s="164" t="s">
        <v>457</v>
      </c>
      <c r="I8" s="267"/>
    </row>
    <row r="9" spans="3:9" ht="15.75" x14ac:dyDescent="0.25">
      <c r="C9" s="165" t="s">
        <v>458</v>
      </c>
      <c r="D9" s="165"/>
      <c r="E9" s="165"/>
      <c r="F9" s="165"/>
      <c r="G9" s="165"/>
      <c r="H9" s="166">
        <f>SUM(H10:H19)</f>
        <v>69.8</v>
      </c>
      <c r="I9" s="166">
        <f>SUM(I10:I19)</f>
        <v>284.40000000000003</v>
      </c>
    </row>
    <row r="10" spans="3:9" ht="15.75" x14ac:dyDescent="0.25">
      <c r="C10" s="167" t="s">
        <v>459</v>
      </c>
      <c r="D10" s="168" t="s">
        <v>460</v>
      </c>
      <c r="E10" s="168">
        <v>3</v>
      </c>
      <c r="F10" s="168">
        <v>12</v>
      </c>
      <c r="G10" s="169">
        <v>0.8</v>
      </c>
      <c r="H10" s="169">
        <f>F10*G10</f>
        <v>9.6000000000000014</v>
      </c>
      <c r="I10" s="169">
        <f>E10*H10</f>
        <v>28.800000000000004</v>
      </c>
    </row>
    <row r="11" spans="3:9" ht="15.75" x14ac:dyDescent="0.25">
      <c r="C11" s="167" t="s">
        <v>461</v>
      </c>
      <c r="D11" s="168" t="s">
        <v>102</v>
      </c>
      <c r="E11" s="168">
        <v>3</v>
      </c>
      <c r="F11" s="168">
        <v>5</v>
      </c>
      <c r="G11" s="169">
        <v>1</v>
      </c>
      <c r="H11" s="169">
        <f t="shared" ref="H11:H19" si="0">F11*G11</f>
        <v>5</v>
      </c>
      <c r="I11" s="169">
        <f t="shared" ref="I11:I19" si="1">E11*H11</f>
        <v>15</v>
      </c>
    </row>
    <row r="12" spans="3:9" ht="15.75" x14ac:dyDescent="0.25">
      <c r="C12" s="167" t="s">
        <v>462</v>
      </c>
      <c r="D12" s="168" t="s">
        <v>460</v>
      </c>
      <c r="E12" s="168">
        <v>2</v>
      </c>
      <c r="F12" s="168">
        <v>6</v>
      </c>
      <c r="G12" s="169">
        <v>1.5</v>
      </c>
      <c r="H12" s="169">
        <f t="shared" si="0"/>
        <v>9</v>
      </c>
      <c r="I12" s="169">
        <f t="shared" si="1"/>
        <v>18</v>
      </c>
    </row>
    <row r="13" spans="3:9" ht="15.75" x14ac:dyDescent="0.25">
      <c r="C13" s="167" t="s">
        <v>463</v>
      </c>
      <c r="D13" s="168" t="s">
        <v>102</v>
      </c>
      <c r="E13" s="168">
        <v>12</v>
      </c>
      <c r="F13" s="168">
        <v>5</v>
      </c>
      <c r="G13" s="169">
        <v>2</v>
      </c>
      <c r="H13" s="169">
        <f t="shared" si="0"/>
        <v>10</v>
      </c>
      <c r="I13" s="169">
        <f t="shared" si="1"/>
        <v>120</v>
      </c>
    </row>
    <row r="14" spans="3:9" ht="15.75" x14ac:dyDescent="0.25">
      <c r="C14" s="167" t="s">
        <v>464</v>
      </c>
      <c r="D14" s="168" t="s">
        <v>102</v>
      </c>
      <c r="E14" s="168">
        <v>2</v>
      </c>
      <c r="F14" s="168">
        <v>4</v>
      </c>
      <c r="G14" s="169">
        <v>1.5</v>
      </c>
      <c r="H14" s="169">
        <f t="shared" si="0"/>
        <v>6</v>
      </c>
      <c r="I14" s="169">
        <f t="shared" si="1"/>
        <v>12</v>
      </c>
    </row>
    <row r="15" spans="3:9" ht="15.75" x14ac:dyDescent="0.25">
      <c r="C15" s="167" t="s">
        <v>465</v>
      </c>
      <c r="D15" s="168" t="s">
        <v>102</v>
      </c>
      <c r="E15" s="168">
        <v>3</v>
      </c>
      <c r="F15" s="168">
        <v>3</v>
      </c>
      <c r="G15" s="169">
        <v>2</v>
      </c>
      <c r="H15" s="169">
        <f t="shared" si="0"/>
        <v>6</v>
      </c>
      <c r="I15" s="169">
        <f t="shared" si="1"/>
        <v>18</v>
      </c>
    </row>
    <row r="16" spans="3:9" ht="15.75" x14ac:dyDescent="0.25">
      <c r="C16" s="167" t="s">
        <v>466</v>
      </c>
      <c r="D16" s="168" t="s">
        <v>102</v>
      </c>
      <c r="E16" s="168">
        <v>3</v>
      </c>
      <c r="F16" s="168">
        <v>1</v>
      </c>
      <c r="G16" s="169">
        <v>2</v>
      </c>
      <c r="H16" s="169">
        <f t="shared" si="0"/>
        <v>2</v>
      </c>
      <c r="I16" s="169">
        <f t="shared" si="1"/>
        <v>6</v>
      </c>
    </row>
    <row r="17" spans="3:9" ht="15.75" x14ac:dyDescent="0.25">
      <c r="C17" s="167" t="s">
        <v>467</v>
      </c>
      <c r="D17" s="168" t="s">
        <v>102</v>
      </c>
      <c r="E17" s="168">
        <v>3</v>
      </c>
      <c r="F17" s="168">
        <v>6</v>
      </c>
      <c r="G17" s="169">
        <v>2</v>
      </c>
      <c r="H17" s="169">
        <f t="shared" si="0"/>
        <v>12</v>
      </c>
      <c r="I17" s="169">
        <f t="shared" si="1"/>
        <v>36</v>
      </c>
    </row>
    <row r="18" spans="3:9" ht="15.75" x14ac:dyDescent="0.25">
      <c r="C18" s="167" t="s">
        <v>468</v>
      </c>
      <c r="D18" s="168" t="s">
        <v>102</v>
      </c>
      <c r="E18" s="168">
        <v>3</v>
      </c>
      <c r="F18" s="168">
        <v>2</v>
      </c>
      <c r="G18" s="169">
        <v>1.8</v>
      </c>
      <c r="H18" s="169">
        <f t="shared" si="0"/>
        <v>3.6</v>
      </c>
      <c r="I18" s="169">
        <f t="shared" si="1"/>
        <v>10.8</v>
      </c>
    </row>
    <row r="19" spans="3:9" ht="15.75" x14ac:dyDescent="0.25">
      <c r="C19" s="167" t="s">
        <v>469</v>
      </c>
      <c r="D19" s="168" t="s">
        <v>102</v>
      </c>
      <c r="E19" s="168">
        <v>3</v>
      </c>
      <c r="F19" s="168">
        <v>3</v>
      </c>
      <c r="G19" s="169">
        <v>2.2000000000000002</v>
      </c>
      <c r="H19" s="169">
        <f t="shared" si="0"/>
        <v>6.6000000000000005</v>
      </c>
      <c r="I19" s="169">
        <f t="shared" si="1"/>
        <v>19.8</v>
      </c>
    </row>
    <row r="20" spans="3:9" ht="15.75" x14ac:dyDescent="0.25">
      <c r="C20" s="170" t="s">
        <v>470</v>
      </c>
      <c r="D20" s="168"/>
      <c r="E20" s="168"/>
      <c r="F20" s="168"/>
      <c r="G20" s="167"/>
      <c r="H20" s="166">
        <f>SUM(H21:H25)</f>
        <v>63.75</v>
      </c>
      <c r="I20" s="166">
        <f>SUM(I21:I25)</f>
        <v>191.25</v>
      </c>
    </row>
    <row r="21" spans="3:9" ht="15.75" x14ac:dyDescent="0.25">
      <c r="C21" s="171" t="s">
        <v>471</v>
      </c>
      <c r="D21" s="172" t="s">
        <v>123</v>
      </c>
      <c r="E21" s="172">
        <v>3</v>
      </c>
      <c r="F21" s="172">
        <v>5</v>
      </c>
      <c r="G21" s="169">
        <v>2.25</v>
      </c>
      <c r="H21" s="173">
        <f>F21*G21</f>
        <v>11.25</v>
      </c>
      <c r="I21" s="173">
        <f>E21*H21</f>
        <v>33.75</v>
      </c>
    </row>
    <row r="22" spans="3:9" ht="15.75" x14ac:dyDescent="0.25">
      <c r="C22" s="171" t="s">
        <v>472</v>
      </c>
      <c r="D22" s="172" t="s">
        <v>102</v>
      </c>
      <c r="E22" s="172">
        <v>3</v>
      </c>
      <c r="F22" s="172">
        <v>10</v>
      </c>
      <c r="G22" s="173">
        <v>2.5</v>
      </c>
      <c r="H22" s="173">
        <f>F22*G22</f>
        <v>25</v>
      </c>
      <c r="I22" s="173">
        <f t="shared" ref="I22:I25" si="2">E22*H22</f>
        <v>75</v>
      </c>
    </row>
    <row r="23" spans="3:9" ht="15.75" x14ac:dyDescent="0.25">
      <c r="C23" s="171" t="s">
        <v>473</v>
      </c>
      <c r="D23" s="172" t="s">
        <v>99</v>
      </c>
      <c r="E23" s="172">
        <v>3</v>
      </c>
      <c r="F23" s="172">
        <v>10</v>
      </c>
      <c r="G23" s="169">
        <v>1.25</v>
      </c>
      <c r="H23" s="173">
        <f t="shared" ref="H23:H25" si="3">F23*G23</f>
        <v>12.5</v>
      </c>
      <c r="I23" s="173">
        <f t="shared" si="2"/>
        <v>37.5</v>
      </c>
    </row>
    <row r="24" spans="3:9" ht="15.75" x14ac:dyDescent="0.25">
      <c r="C24" s="171" t="s">
        <v>426</v>
      </c>
      <c r="D24" s="168" t="s">
        <v>474</v>
      </c>
      <c r="E24" s="168">
        <v>3</v>
      </c>
      <c r="F24" s="168">
        <v>10</v>
      </c>
      <c r="G24" s="169">
        <v>1.1499999999999999</v>
      </c>
      <c r="H24" s="173">
        <f t="shared" si="3"/>
        <v>11.5</v>
      </c>
      <c r="I24" s="173">
        <f t="shared" si="2"/>
        <v>34.5</v>
      </c>
    </row>
    <row r="25" spans="3:9" ht="15.75" x14ac:dyDescent="0.25">
      <c r="C25" s="171" t="s">
        <v>475</v>
      </c>
      <c r="D25" s="168" t="s">
        <v>358</v>
      </c>
      <c r="E25" s="168">
        <v>3</v>
      </c>
      <c r="F25" s="168">
        <v>10</v>
      </c>
      <c r="G25" s="169">
        <v>0.35</v>
      </c>
      <c r="H25" s="173">
        <f t="shared" si="3"/>
        <v>3.5</v>
      </c>
      <c r="I25" s="173">
        <f t="shared" si="2"/>
        <v>10.5</v>
      </c>
    </row>
    <row r="26" spans="3:9" ht="15.75" x14ac:dyDescent="0.25">
      <c r="C26" s="268" t="s">
        <v>476</v>
      </c>
      <c r="D26" s="255"/>
      <c r="E26" s="255"/>
      <c r="F26" s="255"/>
      <c r="G26" s="255"/>
      <c r="H26" s="174">
        <f>H9-H20</f>
        <v>6.0499999999999972</v>
      </c>
      <c r="I26" s="174">
        <f>I9-I20</f>
        <v>93.150000000000034</v>
      </c>
    </row>
    <row r="27" spans="3:9" ht="15.75" x14ac:dyDescent="0.25">
      <c r="C27" s="66"/>
      <c r="D27" s="66"/>
      <c r="E27" s="66"/>
      <c r="F27" s="66"/>
      <c r="G27" s="66"/>
      <c r="H27" s="66"/>
      <c r="I27" s="66"/>
    </row>
  </sheetData>
  <mergeCells count="6">
    <mergeCell ref="I7:I8"/>
    <mergeCell ref="C26:G26"/>
    <mergeCell ref="C7:C8"/>
    <mergeCell ref="D7:D8"/>
    <mergeCell ref="E7:E8"/>
    <mergeCell ref="F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9"/>
  <sheetViews>
    <sheetView workbookViewId="0">
      <selection activeCell="D13" sqref="D13"/>
    </sheetView>
  </sheetViews>
  <sheetFormatPr baseColWidth="10" defaultRowHeight="15" x14ac:dyDescent="0.25"/>
  <cols>
    <col min="2" max="2" width="7.28515625" customWidth="1"/>
    <col min="3" max="3" width="37.5703125" customWidth="1"/>
    <col min="4" max="9" width="9.28515625" customWidth="1"/>
  </cols>
  <sheetData>
    <row r="4" spans="2:10" ht="15.75" x14ac:dyDescent="0.25">
      <c r="B4" s="175" t="s">
        <v>477</v>
      </c>
      <c r="C4" s="176"/>
      <c r="D4" s="135"/>
      <c r="E4" s="135"/>
      <c r="F4" s="135"/>
      <c r="G4" s="135"/>
      <c r="H4" s="135"/>
      <c r="I4" s="135"/>
    </row>
    <row r="5" spans="2:10" ht="15.75" x14ac:dyDescent="0.25">
      <c r="B5" s="175" t="s">
        <v>478</v>
      </c>
      <c r="C5" s="176"/>
      <c r="D5" s="135"/>
      <c r="E5" s="135"/>
      <c r="F5" s="135"/>
      <c r="G5" s="135"/>
      <c r="H5" s="135"/>
      <c r="I5" s="135"/>
    </row>
    <row r="6" spans="2:10" x14ac:dyDescent="0.25">
      <c r="B6" s="135"/>
      <c r="C6" s="135"/>
      <c r="D6" s="135"/>
      <c r="E6" s="135"/>
      <c r="F6" s="135"/>
      <c r="G6" s="135"/>
      <c r="H6" s="135"/>
      <c r="I6" s="135"/>
    </row>
    <row r="7" spans="2:10" ht="16.5" x14ac:dyDescent="0.25">
      <c r="B7" s="68" t="s">
        <v>77</v>
      </c>
      <c r="C7" s="68" t="s">
        <v>72</v>
      </c>
      <c r="D7" s="68" t="s">
        <v>78</v>
      </c>
      <c r="E7" s="68" t="s">
        <v>79</v>
      </c>
      <c r="F7" s="68" t="s">
        <v>50</v>
      </c>
      <c r="G7" s="68" t="s">
        <v>61</v>
      </c>
      <c r="H7" s="68" t="s">
        <v>4</v>
      </c>
      <c r="I7" s="68" t="s">
        <v>80</v>
      </c>
      <c r="J7" s="177"/>
    </row>
    <row r="8" spans="2:10" x14ac:dyDescent="0.25">
      <c r="B8" s="178" t="s">
        <v>83</v>
      </c>
      <c r="C8" s="179" t="s">
        <v>84</v>
      </c>
      <c r="D8" s="180"/>
      <c r="E8" s="181"/>
      <c r="F8" s="182"/>
      <c r="G8" s="182"/>
      <c r="H8" s="182"/>
      <c r="I8" s="182"/>
      <c r="J8" s="183"/>
    </row>
    <row r="9" spans="2:10" x14ac:dyDescent="0.25">
      <c r="B9" s="180" t="s">
        <v>85</v>
      </c>
      <c r="C9" s="49" t="s">
        <v>479</v>
      </c>
      <c r="D9" s="184" t="s">
        <v>87</v>
      </c>
      <c r="E9" s="185">
        <v>65</v>
      </c>
      <c r="F9" s="186">
        <v>50</v>
      </c>
      <c r="G9" s="182">
        <f t="shared" ref="G9:G55" si="0">E9*F9</f>
        <v>3250</v>
      </c>
      <c r="H9" s="182"/>
      <c r="I9" s="182">
        <f>G9</f>
        <v>3250</v>
      </c>
      <c r="J9" s="183"/>
    </row>
    <row r="10" spans="2:10" x14ac:dyDescent="0.25">
      <c r="B10" s="180" t="s">
        <v>88</v>
      </c>
      <c r="C10" s="49" t="s">
        <v>480</v>
      </c>
      <c r="D10" s="184" t="s">
        <v>87</v>
      </c>
      <c r="E10" s="185">
        <v>48</v>
      </c>
      <c r="F10" s="186">
        <v>50</v>
      </c>
      <c r="G10" s="182">
        <f t="shared" si="0"/>
        <v>2400</v>
      </c>
      <c r="H10" s="182"/>
      <c r="I10" s="182">
        <f>G10</f>
        <v>2400</v>
      </c>
      <c r="J10" s="183"/>
    </row>
    <row r="11" spans="2:10" x14ac:dyDescent="0.25">
      <c r="B11" s="180" t="s">
        <v>90</v>
      </c>
      <c r="C11" s="49" t="s">
        <v>481</v>
      </c>
      <c r="D11" s="184" t="s">
        <v>102</v>
      </c>
      <c r="E11" s="185">
        <v>61</v>
      </c>
      <c r="F11" s="182">
        <v>11.33</v>
      </c>
      <c r="G11" s="182">
        <f t="shared" si="0"/>
        <v>691.13</v>
      </c>
      <c r="H11" s="182">
        <f t="shared" ref="H11:H22" si="1">G11</f>
        <v>691.13</v>
      </c>
      <c r="I11" s="182"/>
      <c r="J11" s="183"/>
    </row>
    <row r="12" spans="2:10" x14ac:dyDescent="0.25">
      <c r="B12" s="180" t="s">
        <v>90</v>
      </c>
      <c r="C12" s="49" t="s">
        <v>98</v>
      </c>
      <c r="D12" s="184" t="s">
        <v>102</v>
      </c>
      <c r="E12" s="185">
        <v>26</v>
      </c>
      <c r="F12" s="182">
        <v>11.33</v>
      </c>
      <c r="G12" s="182">
        <f t="shared" si="0"/>
        <v>294.58</v>
      </c>
      <c r="H12" s="182">
        <f t="shared" si="1"/>
        <v>294.58</v>
      </c>
      <c r="I12" s="182"/>
      <c r="J12" s="183"/>
    </row>
    <row r="13" spans="2:10" x14ac:dyDescent="0.25">
      <c r="B13" s="180" t="s">
        <v>92</v>
      </c>
      <c r="C13" s="49" t="s">
        <v>482</v>
      </c>
      <c r="D13" s="184" t="s">
        <v>102</v>
      </c>
      <c r="E13" s="185">
        <v>11</v>
      </c>
      <c r="F13" s="182">
        <v>11.33</v>
      </c>
      <c r="G13" s="182">
        <f t="shared" si="0"/>
        <v>124.63</v>
      </c>
      <c r="H13" s="182">
        <f t="shared" si="1"/>
        <v>124.63</v>
      </c>
      <c r="I13" s="182"/>
      <c r="J13" s="187"/>
    </row>
    <row r="14" spans="2:10" x14ac:dyDescent="0.25">
      <c r="B14" s="180" t="s">
        <v>94</v>
      </c>
      <c r="C14" s="49" t="s">
        <v>104</v>
      </c>
      <c r="D14" s="184" t="s">
        <v>102</v>
      </c>
      <c r="E14" s="185">
        <v>7</v>
      </c>
      <c r="F14" s="182">
        <v>11.33</v>
      </c>
      <c r="G14" s="182">
        <f t="shared" si="0"/>
        <v>79.31</v>
      </c>
      <c r="H14" s="182">
        <f t="shared" si="1"/>
        <v>79.31</v>
      </c>
      <c r="I14" s="182"/>
      <c r="J14" s="187"/>
    </row>
    <row r="15" spans="2:10" x14ac:dyDescent="0.25">
      <c r="B15" s="180" t="s">
        <v>97</v>
      </c>
      <c r="C15" s="49" t="s">
        <v>483</v>
      </c>
      <c r="D15" s="184" t="s">
        <v>102</v>
      </c>
      <c r="E15" s="185">
        <v>5</v>
      </c>
      <c r="F15" s="182">
        <v>11.33</v>
      </c>
      <c r="G15" s="182">
        <f t="shared" si="0"/>
        <v>56.65</v>
      </c>
      <c r="H15" s="182">
        <f t="shared" si="1"/>
        <v>56.65</v>
      </c>
      <c r="I15" s="182"/>
      <c r="J15" s="187"/>
    </row>
    <row r="16" spans="2:10" x14ac:dyDescent="0.25">
      <c r="B16" s="180" t="s">
        <v>100</v>
      </c>
      <c r="C16" s="49" t="s">
        <v>484</v>
      </c>
      <c r="D16" s="184" t="s">
        <v>374</v>
      </c>
      <c r="E16" s="185">
        <v>80</v>
      </c>
      <c r="F16" s="186">
        <v>21.2</v>
      </c>
      <c r="G16" s="182">
        <f t="shared" si="0"/>
        <v>1696</v>
      </c>
      <c r="H16" s="182">
        <f t="shared" si="1"/>
        <v>1696</v>
      </c>
      <c r="I16" s="182"/>
      <c r="J16" s="187"/>
    </row>
    <row r="17" spans="2:10" x14ac:dyDescent="0.25">
      <c r="B17" s="180" t="s">
        <v>103</v>
      </c>
      <c r="C17" s="49" t="s">
        <v>485</v>
      </c>
      <c r="D17" s="184" t="s">
        <v>374</v>
      </c>
      <c r="E17" s="185">
        <v>112</v>
      </c>
      <c r="F17" s="186">
        <v>21.2</v>
      </c>
      <c r="G17" s="182">
        <f t="shared" si="0"/>
        <v>2374.4</v>
      </c>
      <c r="H17" s="182">
        <f t="shared" si="1"/>
        <v>2374.4</v>
      </c>
      <c r="I17" s="182"/>
      <c r="J17" s="187"/>
    </row>
    <row r="18" spans="2:10" x14ac:dyDescent="0.25">
      <c r="B18" s="180" t="s">
        <v>105</v>
      </c>
      <c r="C18" s="188" t="s">
        <v>486</v>
      </c>
      <c r="D18" s="184" t="s">
        <v>78</v>
      </c>
      <c r="E18" s="185">
        <v>8</v>
      </c>
      <c r="F18" s="182">
        <v>35</v>
      </c>
      <c r="G18" s="182">
        <f t="shared" si="0"/>
        <v>280</v>
      </c>
      <c r="H18" s="182">
        <f t="shared" si="1"/>
        <v>280</v>
      </c>
      <c r="I18" s="182"/>
      <c r="J18" s="187"/>
    </row>
    <row r="19" spans="2:10" x14ac:dyDescent="0.25">
      <c r="B19" s="180" t="s">
        <v>107</v>
      </c>
      <c r="C19" s="49" t="s">
        <v>375</v>
      </c>
      <c r="D19" s="184" t="s">
        <v>96</v>
      </c>
      <c r="E19" s="185">
        <v>1</v>
      </c>
      <c r="F19" s="186">
        <v>59.47</v>
      </c>
      <c r="G19" s="182">
        <f t="shared" si="0"/>
        <v>59.47</v>
      </c>
      <c r="H19" s="182">
        <f t="shared" si="1"/>
        <v>59.47</v>
      </c>
      <c r="I19" s="182"/>
      <c r="J19" s="183"/>
    </row>
    <row r="20" spans="2:10" x14ac:dyDescent="0.25">
      <c r="B20" s="180" t="s">
        <v>110</v>
      </c>
      <c r="C20" s="188" t="s">
        <v>487</v>
      </c>
      <c r="D20" s="184" t="s">
        <v>116</v>
      </c>
      <c r="E20" s="185">
        <v>12</v>
      </c>
      <c r="F20" s="186">
        <v>75</v>
      </c>
      <c r="G20" s="182">
        <f t="shared" si="0"/>
        <v>900</v>
      </c>
      <c r="H20" s="182">
        <f t="shared" si="1"/>
        <v>900</v>
      </c>
      <c r="I20" s="186"/>
      <c r="J20" s="183"/>
    </row>
    <row r="21" spans="2:10" x14ac:dyDescent="0.25">
      <c r="B21" s="180" t="s">
        <v>112</v>
      </c>
      <c r="C21" s="188" t="s">
        <v>488</v>
      </c>
      <c r="D21" s="184" t="s">
        <v>116</v>
      </c>
      <c r="E21" s="185">
        <v>3</v>
      </c>
      <c r="F21" s="186">
        <v>85</v>
      </c>
      <c r="G21" s="182">
        <f t="shared" si="0"/>
        <v>255</v>
      </c>
      <c r="H21" s="182">
        <f t="shared" si="1"/>
        <v>255</v>
      </c>
      <c r="I21" s="186"/>
      <c r="J21" s="183"/>
    </row>
    <row r="22" spans="2:10" x14ac:dyDescent="0.25">
      <c r="B22" s="189" t="s">
        <v>119</v>
      </c>
      <c r="C22" s="179" t="s">
        <v>120</v>
      </c>
      <c r="D22" s="180"/>
      <c r="E22" s="190"/>
      <c r="F22" s="182"/>
      <c r="G22" s="182">
        <f t="shared" si="0"/>
        <v>0</v>
      </c>
      <c r="H22" s="182">
        <f t="shared" si="1"/>
        <v>0</v>
      </c>
      <c r="I22" s="182"/>
      <c r="J22" s="183"/>
    </row>
    <row r="23" spans="2:10" x14ac:dyDescent="0.25">
      <c r="B23" s="180" t="s">
        <v>121</v>
      </c>
      <c r="C23" s="49" t="s">
        <v>489</v>
      </c>
      <c r="D23" s="184" t="s">
        <v>123</v>
      </c>
      <c r="E23" s="185">
        <v>75</v>
      </c>
      <c r="F23" s="182">
        <v>10</v>
      </c>
      <c r="G23" s="182">
        <f t="shared" si="0"/>
        <v>750</v>
      </c>
      <c r="H23" s="182"/>
      <c r="I23" s="182">
        <f>G23</f>
        <v>750</v>
      </c>
      <c r="J23" s="183"/>
    </row>
    <row r="24" spans="2:10" x14ac:dyDescent="0.25">
      <c r="B24" s="180" t="s">
        <v>124</v>
      </c>
      <c r="C24" s="49" t="s">
        <v>490</v>
      </c>
      <c r="D24" s="184" t="s">
        <v>123</v>
      </c>
      <c r="E24" s="185">
        <v>99</v>
      </c>
      <c r="F24" s="182">
        <v>10</v>
      </c>
      <c r="G24" s="182">
        <f t="shared" si="0"/>
        <v>990</v>
      </c>
      <c r="H24" s="182"/>
      <c r="I24" s="182">
        <f t="shared" ref="I24:I25" si="2">G24</f>
        <v>990</v>
      </c>
      <c r="J24" s="183"/>
    </row>
    <row r="25" spans="2:10" x14ac:dyDescent="0.25">
      <c r="B25" s="180" t="s">
        <v>442</v>
      </c>
      <c r="C25" s="49" t="s">
        <v>491</v>
      </c>
      <c r="D25" s="184" t="s">
        <v>123</v>
      </c>
      <c r="E25" s="185">
        <v>108</v>
      </c>
      <c r="F25" s="182">
        <v>10</v>
      </c>
      <c r="G25" s="182">
        <f t="shared" si="0"/>
        <v>1080</v>
      </c>
      <c r="H25" s="182"/>
      <c r="I25" s="182">
        <f t="shared" si="2"/>
        <v>1080</v>
      </c>
      <c r="J25" s="183"/>
    </row>
    <row r="26" spans="2:10" x14ac:dyDescent="0.25">
      <c r="B26" s="189" t="s">
        <v>126</v>
      </c>
      <c r="C26" s="179" t="s">
        <v>127</v>
      </c>
      <c r="D26" s="184"/>
      <c r="E26" s="190"/>
      <c r="F26" s="182"/>
      <c r="G26" s="182">
        <f t="shared" si="0"/>
        <v>0</v>
      </c>
      <c r="H26" s="182">
        <f t="shared" ref="H26:H89" si="3">G26</f>
        <v>0</v>
      </c>
      <c r="I26" s="182"/>
      <c r="J26" s="183"/>
    </row>
    <row r="27" spans="2:10" x14ac:dyDescent="0.25">
      <c r="B27" s="180" t="s">
        <v>128</v>
      </c>
      <c r="C27" s="188" t="s">
        <v>492</v>
      </c>
      <c r="D27" s="184" t="s">
        <v>78</v>
      </c>
      <c r="E27" s="185">
        <v>9</v>
      </c>
      <c r="F27" s="186">
        <v>65</v>
      </c>
      <c r="G27" s="182">
        <f t="shared" si="0"/>
        <v>585</v>
      </c>
      <c r="H27" s="182">
        <f t="shared" si="3"/>
        <v>585</v>
      </c>
      <c r="I27" s="186"/>
      <c r="J27" s="183"/>
    </row>
    <row r="28" spans="2:10" x14ac:dyDescent="0.25">
      <c r="B28" s="180" t="s">
        <v>131</v>
      </c>
      <c r="C28" s="188" t="s">
        <v>493</v>
      </c>
      <c r="D28" s="184" t="s">
        <v>170</v>
      </c>
      <c r="E28" s="185">
        <v>18</v>
      </c>
      <c r="F28" s="186">
        <v>35</v>
      </c>
      <c r="G28" s="182">
        <f t="shared" si="0"/>
        <v>630</v>
      </c>
      <c r="H28" s="182">
        <f t="shared" si="3"/>
        <v>630</v>
      </c>
      <c r="I28" s="186"/>
      <c r="J28" s="183"/>
    </row>
    <row r="29" spans="2:10" ht="16.5" x14ac:dyDescent="0.25">
      <c r="B29" s="180" t="s">
        <v>390</v>
      </c>
      <c r="C29" s="77" t="s">
        <v>129</v>
      </c>
      <c r="D29" s="74" t="s">
        <v>130</v>
      </c>
      <c r="E29" s="75">
        <v>76</v>
      </c>
      <c r="F29" s="191">
        <f>34.07*1.18</f>
        <v>40.202599999999997</v>
      </c>
      <c r="G29" s="182">
        <f t="shared" si="0"/>
        <v>3055.3975999999998</v>
      </c>
      <c r="H29" s="182">
        <f t="shared" si="3"/>
        <v>3055.3975999999998</v>
      </c>
      <c r="I29" s="182"/>
      <c r="J29" s="183"/>
    </row>
    <row r="30" spans="2:10" ht="16.5" x14ac:dyDescent="0.25">
      <c r="B30" s="180"/>
      <c r="C30" s="77" t="s">
        <v>494</v>
      </c>
      <c r="D30" s="74" t="s">
        <v>109</v>
      </c>
      <c r="E30" s="75">
        <v>12</v>
      </c>
      <c r="F30" s="191">
        <f>8.52*1.18</f>
        <v>10.053599999999999</v>
      </c>
      <c r="G30" s="182">
        <f t="shared" si="0"/>
        <v>120.64319999999999</v>
      </c>
      <c r="H30" s="182">
        <f t="shared" si="3"/>
        <v>120.64319999999999</v>
      </c>
      <c r="I30" s="182"/>
      <c r="J30" s="183"/>
    </row>
    <row r="31" spans="2:10" x14ac:dyDescent="0.25">
      <c r="B31" s="180"/>
      <c r="C31" s="188" t="s">
        <v>495</v>
      </c>
      <c r="D31" s="184"/>
      <c r="E31" s="185"/>
      <c r="F31" s="182"/>
      <c r="G31" s="182">
        <f t="shared" si="0"/>
        <v>0</v>
      </c>
      <c r="H31" s="182">
        <f t="shared" si="3"/>
        <v>0</v>
      </c>
      <c r="I31" s="182"/>
      <c r="J31" s="183"/>
    </row>
    <row r="32" spans="2:10" x14ac:dyDescent="0.25">
      <c r="B32" s="189" t="s">
        <v>133</v>
      </c>
      <c r="C32" s="179" t="s">
        <v>134</v>
      </c>
      <c r="D32" s="180"/>
      <c r="E32" s="190"/>
      <c r="F32" s="182"/>
      <c r="G32" s="182">
        <f t="shared" si="0"/>
        <v>0</v>
      </c>
      <c r="H32" s="182">
        <f t="shared" si="3"/>
        <v>0</v>
      </c>
      <c r="I32" s="182"/>
      <c r="J32" s="183"/>
    </row>
    <row r="33" spans="2:10" x14ac:dyDescent="0.25">
      <c r="B33" s="180" t="s">
        <v>135</v>
      </c>
      <c r="C33" s="188" t="s">
        <v>496</v>
      </c>
      <c r="D33" s="184" t="s">
        <v>123</v>
      </c>
      <c r="E33" s="185">
        <v>76</v>
      </c>
      <c r="F33" s="182">
        <v>12.5</v>
      </c>
      <c r="G33" s="182">
        <f t="shared" si="0"/>
        <v>950</v>
      </c>
      <c r="H33" s="182">
        <f t="shared" si="3"/>
        <v>950</v>
      </c>
      <c r="I33" s="182"/>
    </row>
    <row r="34" spans="2:10" x14ac:dyDescent="0.25">
      <c r="B34" s="180" t="s">
        <v>137</v>
      </c>
      <c r="C34" s="188" t="s">
        <v>138</v>
      </c>
      <c r="D34" s="184" t="s">
        <v>497</v>
      </c>
      <c r="E34" s="185">
        <v>14</v>
      </c>
      <c r="F34" s="182">
        <v>20</v>
      </c>
      <c r="G34" s="182">
        <f t="shared" si="0"/>
        <v>280</v>
      </c>
      <c r="H34" s="182">
        <f t="shared" si="3"/>
        <v>280</v>
      </c>
      <c r="I34" s="182"/>
    </row>
    <row r="35" spans="2:10" x14ac:dyDescent="0.25">
      <c r="B35" s="189" t="s">
        <v>143</v>
      </c>
      <c r="C35" s="179" t="s">
        <v>144</v>
      </c>
      <c r="D35" s="180"/>
      <c r="E35" s="190"/>
      <c r="F35" s="182"/>
      <c r="G35" s="182">
        <f t="shared" si="0"/>
        <v>0</v>
      </c>
      <c r="H35" s="182">
        <f t="shared" si="3"/>
        <v>0</v>
      </c>
      <c r="I35" s="182"/>
      <c r="J35" s="183"/>
    </row>
    <row r="36" spans="2:10" x14ac:dyDescent="0.25">
      <c r="B36" s="180" t="s">
        <v>145</v>
      </c>
      <c r="C36" s="192" t="s">
        <v>498</v>
      </c>
      <c r="D36" s="184" t="s">
        <v>123</v>
      </c>
      <c r="E36" s="185">
        <v>20</v>
      </c>
      <c r="F36" s="182">
        <v>45</v>
      </c>
      <c r="G36" s="182">
        <f t="shared" si="0"/>
        <v>900</v>
      </c>
      <c r="H36" s="182">
        <f t="shared" si="3"/>
        <v>900</v>
      </c>
      <c r="I36" s="182"/>
      <c r="J36" s="183"/>
    </row>
    <row r="37" spans="2:10" x14ac:dyDescent="0.25">
      <c r="B37" s="180" t="s">
        <v>399</v>
      </c>
      <c r="C37" s="192" t="s">
        <v>499</v>
      </c>
      <c r="D37" s="184" t="s">
        <v>123</v>
      </c>
      <c r="E37" s="185">
        <v>2</v>
      </c>
      <c r="F37" s="182">
        <f>185*3.15</f>
        <v>582.75</v>
      </c>
      <c r="G37" s="182">
        <f t="shared" si="0"/>
        <v>1165.5</v>
      </c>
      <c r="H37" s="182">
        <f t="shared" si="3"/>
        <v>1165.5</v>
      </c>
      <c r="I37" s="182"/>
      <c r="J37" s="183"/>
    </row>
    <row r="38" spans="2:10" x14ac:dyDescent="0.25">
      <c r="B38" s="180" t="s">
        <v>500</v>
      </c>
      <c r="C38" s="192" t="s">
        <v>501</v>
      </c>
      <c r="D38" s="184" t="s">
        <v>123</v>
      </c>
      <c r="E38" s="185">
        <v>3</v>
      </c>
      <c r="F38" s="182">
        <f>185*3.15</f>
        <v>582.75</v>
      </c>
      <c r="G38" s="182">
        <f t="shared" si="0"/>
        <v>1748.25</v>
      </c>
      <c r="H38" s="182">
        <f t="shared" si="3"/>
        <v>1748.25</v>
      </c>
      <c r="I38" s="182"/>
      <c r="J38" s="193"/>
    </row>
    <row r="39" spans="2:10" x14ac:dyDescent="0.25">
      <c r="B39" s="189" t="s">
        <v>148</v>
      </c>
      <c r="C39" s="194" t="s">
        <v>149</v>
      </c>
      <c r="D39" s="180"/>
      <c r="E39" s="190"/>
      <c r="F39" s="182"/>
      <c r="G39" s="182">
        <f t="shared" si="0"/>
        <v>0</v>
      </c>
      <c r="H39" s="182">
        <f t="shared" si="3"/>
        <v>0</v>
      </c>
      <c r="I39" s="182"/>
      <c r="J39" s="183"/>
    </row>
    <row r="40" spans="2:10" x14ac:dyDescent="0.25">
      <c r="B40" s="180" t="s">
        <v>150</v>
      </c>
      <c r="C40" s="195" t="s">
        <v>151</v>
      </c>
      <c r="D40" s="180" t="s">
        <v>78</v>
      </c>
      <c r="E40" s="190">
        <v>1</v>
      </c>
      <c r="F40" s="182">
        <v>450</v>
      </c>
      <c r="G40" s="182">
        <f t="shared" si="0"/>
        <v>450</v>
      </c>
      <c r="H40" s="182">
        <f t="shared" si="3"/>
        <v>450</v>
      </c>
      <c r="I40" s="182"/>
      <c r="J40" s="183"/>
    </row>
    <row r="41" spans="2:10" x14ac:dyDescent="0.25">
      <c r="B41" s="180" t="s">
        <v>150</v>
      </c>
      <c r="C41" s="192" t="s">
        <v>502</v>
      </c>
      <c r="D41" s="184" t="s">
        <v>78</v>
      </c>
      <c r="E41" s="185">
        <v>3</v>
      </c>
      <c r="F41" s="182">
        <v>75</v>
      </c>
      <c r="G41" s="182">
        <f t="shared" si="0"/>
        <v>225</v>
      </c>
      <c r="H41" s="182">
        <f t="shared" si="3"/>
        <v>225</v>
      </c>
      <c r="I41" s="182"/>
      <c r="J41" s="183"/>
    </row>
    <row r="42" spans="2:10" x14ac:dyDescent="0.25">
      <c r="B42" s="180" t="s">
        <v>152</v>
      </c>
      <c r="C42" s="192" t="s">
        <v>503</v>
      </c>
      <c r="D42" s="184" t="s">
        <v>78</v>
      </c>
      <c r="E42" s="185">
        <v>1</v>
      </c>
      <c r="F42" s="182">
        <v>135</v>
      </c>
      <c r="G42" s="182">
        <f t="shared" si="0"/>
        <v>135</v>
      </c>
      <c r="H42" s="182">
        <f t="shared" si="3"/>
        <v>135</v>
      </c>
      <c r="I42" s="182"/>
      <c r="J42" s="183"/>
    </row>
    <row r="43" spans="2:10" x14ac:dyDescent="0.25">
      <c r="B43" s="180" t="s">
        <v>156</v>
      </c>
      <c r="C43" s="192" t="s">
        <v>157</v>
      </c>
      <c r="D43" s="180" t="s">
        <v>78</v>
      </c>
      <c r="E43" s="185">
        <v>3</v>
      </c>
      <c r="F43" s="182">
        <v>45</v>
      </c>
      <c r="G43" s="182">
        <f t="shared" si="0"/>
        <v>135</v>
      </c>
      <c r="H43" s="182">
        <f t="shared" si="3"/>
        <v>135</v>
      </c>
      <c r="I43" s="182"/>
      <c r="J43" s="183"/>
    </row>
    <row r="44" spans="2:10" x14ac:dyDescent="0.25">
      <c r="B44" s="180" t="s">
        <v>158</v>
      </c>
      <c r="C44" s="192" t="s">
        <v>504</v>
      </c>
      <c r="D44" s="180" t="s">
        <v>78</v>
      </c>
      <c r="E44" s="185">
        <v>4</v>
      </c>
      <c r="F44" s="182">
        <v>75</v>
      </c>
      <c r="G44" s="182">
        <f t="shared" si="0"/>
        <v>300</v>
      </c>
      <c r="H44" s="182">
        <f t="shared" si="3"/>
        <v>300</v>
      </c>
      <c r="I44" s="182"/>
      <c r="J44" s="183"/>
    </row>
    <row r="45" spans="2:10" x14ac:dyDescent="0.25">
      <c r="B45" s="180" t="s">
        <v>160</v>
      </c>
      <c r="C45" s="192" t="s">
        <v>161</v>
      </c>
      <c r="D45" s="180" t="s">
        <v>123</v>
      </c>
      <c r="E45" s="185">
        <v>1</v>
      </c>
      <c r="F45" s="186">
        <v>85</v>
      </c>
      <c r="G45" s="182">
        <f t="shared" si="0"/>
        <v>85</v>
      </c>
      <c r="H45" s="182">
        <f t="shared" si="3"/>
        <v>85</v>
      </c>
      <c r="I45" s="186"/>
      <c r="J45" s="183"/>
    </row>
    <row r="46" spans="2:10" x14ac:dyDescent="0.25">
      <c r="B46" s="189" t="s">
        <v>182</v>
      </c>
      <c r="C46" s="194" t="s">
        <v>183</v>
      </c>
      <c r="D46" s="196"/>
      <c r="E46" s="197"/>
      <c r="F46" s="198"/>
      <c r="G46" s="182">
        <f t="shared" si="0"/>
        <v>0</v>
      </c>
      <c r="H46" s="182">
        <f t="shared" si="3"/>
        <v>0</v>
      </c>
      <c r="I46" s="198"/>
      <c r="J46" s="183"/>
    </row>
    <row r="47" spans="2:10" x14ac:dyDescent="0.25">
      <c r="B47" s="180" t="s">
        <v>184</v>
      </c>
      <c r="C47" s="192" t="s">
        <v>185</v>
      </c>
      <c r="D47" s="184" t="s">
        <v>170</v>
      </c>
      <c r="E47" s="185">
        <v>15</v>
      </c>
      <c r="F47" s="182">
        <v>12</v>
      </c>
      <c r="G47" s="182">
        <f t="shared" si="0"/>
        <v>180</v>
      </c>
      <c r="H47" s="182">
        <f t="shared" si="3"/>
        <v>180</v>
      </c>
      <c r="I47" s="182"/>
      <c r="J47" s="183"/>
    </row>
    <row r="48" spans="2:10" x14ac:dyDescent="0.25">
      <c r="B48" s="180" t="s">
        <v>186</v>
      </c>
      <c r="C48" s="192" t="s">
        <v>187</v>
      </c>
      <c r="D48" s="184" t="s">
        <v>170</v>
      </c>
      <c r="E48" s="185">
        <v>5</v>
      </c>
      <c r="F48" s="182">
        <v>25</v>
      </c>
      <c r="G48" s="182">
        <f t="shared" si="0"/>
        <v>125</v>
      </c>
      <c r="H48" s="182">
        <f t="shared" si="3"/>
        <v>125</v>
      </c>
      <c r="I48" s="182"/>
      <c r="J48" s="183"/>
    </row>
    <row r="49" spans="2:10" x14ac:dyDescent="0.25">
      <c r="B49" s="180" t="s">
        <v>188</v>
      </c>
      <c r="C49" s="194" t="s">
        <v>505</v>
      </c>
      <c r="D49" s="196"/>
      <c r="E49" s="197"/>
      <c r="F49" s="198"/>
      <c r="G49" s="182">
        <f t="shared" si="0"/>
        <v>0</v>
      </c>
      <c r="H49" s="182">
        <f t="shared" si="3"/>
        <v>0</v>
      </c>
      <c r="I49" s="198"/>
      <c r="J49" s="183"/>
    </row>
    <row r="50" spans="2:10" x14ac:dyDescent="0.25">
      <c r="B50" s="180" t="s">
        <v>190</v>
      </c>
      <c r="C50" s="195" t="s">
        <v>506</v>
      </c>
      <c r="D50" s="184" t="s">
        <v>78</v>
      </c>
      <c r="E50" s="185">
        <v>10</v>
      </c>
      <c r="F50" s="182">
        <v>25</v>
      </c>
      <c r="G50" s="182">
        <f t="shared" si="0"/>
        <v>250</v>
      </c>
      <c r="H50" s="182">
        <f t="shared" si="3"/>
        <v>250</v>
      </c>
      <c r="I50" s="182"/>
      <c r="J50" s="183"/>
    </row>
    <row r="51" spans="2:10" x14ac:dyDescent="0.25">
      <c r="B51" s="180" t="s">
        <v>507</v>
      </c>
      <c r="C51" s="195" t="s">
        <v>508</v>
      </c>
      <c r="D51" s="184" t="s">
        <v>78</v>
      </c>
      <c r="E51" s="185">
        <v>5</v>
      </c>
      <c r="F51" s="182">
        <v>280</v>
      </c>
      <c r="G51" s="182">
        <f t="shared" si="0"/>
        <v>1400</v>
      </c>
      <c r="H51" s="182">
        <f t="shared" si="3"/>
        <v>1400</v>
      </c>
      <c r="I51" s="182"/>
      <c r="J51" s="193"/>
    </row>
    <row r="52" spans="2:10" x14ac:dyDescent="0.25">
      <c r="B52" s="189" t="s">
        <v>192</v>
      </c>
      <c r="C52" s="194" t="s">
        <v>193</v>
      </c>
      <c r="D52" s="196"/>
      <c r="E52" s="197"/>
      <c r="F52" s="198"/>
      <c r="G52" s="182">
        <f t="shared" si="0"/>
        <v>0</v>
      </c>
      <c r="H52" s="182">
        <f t="shared" si="3"/>
        <v>0</v>
      </c>
      <c r="I52" s="198"/>
    </row>
    <row r="53" spans="2:10" x14ac:dyDescent="0.25">
      <c r="B53" s="180" t="s">
        <v>194</v>
      </c>
      <c r="C53" s="199" t="s">
        <v>509</v>
      </c>
      <c r="D53" s="184" t="s">
        <v>123</v>
      </c>
      <c r="E53" s="185">
        <v>1</v>
      </c>
      <c r="F53" s="182">
        <v>32</v>
      </c>
      <c r="G53" s="182">
        <f t="shared" si="0"/>
        <v>32</v>
      </c>
      <c r="H53" s="182">
        <f t="shared" si="3"/>
        <v>32</v>
      </c>
      <c r="I53" s="182"/>
    </row>
    <row r="54" spans="2:10" x14ac:dyDescent="0.25">
      <c r="B54" s="180" t="s">
        <v>197</v>
      </c>
      <c r="C54" s="199" t="s">
        <v>510</v>
      </c>
      <c r="D54" s="180" t="s">
        <v>123</v>
      </c>
      <c r="E54" s="185">
        <v>1</v>
      </c>
      <c r="F54" s="182">
        <v>32</v>
      </c>
      <c r="G54" s="182">
        <f t="shared" si="0"/>
        <v>32</v>
      </c>
      <c r="H54" s="182">
        <f t="shared" si="3"/>
        <v>32</v>
      </c>
      <c r="I54" s="182"/>
    </row>
    <row r="55" spans="2:10" ht="16.5" x14ac:dyDescent="0.25">
      <c r="B55" s="184" t="s">
        <v>199</v>
      </c>
      <c r="C55" s="200" t="s">
        <v>200</v>
      </c>
      <c r="D55" s="74"/>
      <c r="E55" s="75"/>
      <c r="F55" s="191"/>
      <c r="G55" s="182">
        <f t="shared" si="0"/>
        <v>0</v>
      </c>
      <c r="H55" s="182">
        <f t="shared" si="3"/>
        <v>0</v>
      </c>
      <c r="I55" s="198"/>
    </row>
    <row r="56" spans="2:10" ht="16.5" x14ac:dyDescent="0.25">
      <c r="B56" s="184" t="s">
        <v>201</v>
      </c>
      <c r="C56" s="201" t="s">
        <v>202</v>
      </c>
      <c r="D56" s="74" t="s">
        <v>203</v>
      </c>
      <c r="E56" s="75">
        <v>1</v>
      </c>
      <c r="F56" s="191">
        <f>1769.4*3.15</f>
        <v>5573.6100000000006</v>
      </c>
      <c r="G56" s="191">
        <f>F56*E56</f>
        <v>5573.6100000000006</v>
      </c>
      <c r="H56" s="182">
        <f t="shared" si="3"/>
        <v>5573.6100000000006</v>
      </c>
      <c r="I56" s="186"/>
    </row>
    <row r="57" spans="2:10" ht="16.5" x14ac:dyDescent="0.25">
      <c r="B57" s="184" t="s">
        <v>208</v>
      </c>
      <c r="C57" s="202" t="s">
        <v>511</v>
      </c>
      <c r="D57" s="71" t="s">
        <v>78</v>
      </c>
      <c r="E57" s="75">
        <v>1</v>
      </c>
      <c r="F57" s="191">
        <v>1250</v>
      </c>
      <c r="G57" s="191">
        <f t="shared" ref="G57:G120" si="4">E57*F57</f>
        <v>1250</v>
      </c>
      <c r="H57" s="182">
        <f t="shared" si="3"/>
        <v>1250</v>
      </c>
      <c r="I57" s="186"/>
    </row>
    <row r="58" spans="2:10" x14ac:dyDescent="0.25">
      <c r="B58" s="203" t="s">
        <v>512</v>
      </c>
      <c r="C58" s="204" t="s">
        <v>513</v>
      </c>
      <c r="D58" s="49"/>
      <c r="E58" s="205"/>
      <c r="F58" s="186"/>
      <c r="G58" s="182">
        <f t="shared" si="4"/>
        <v>0</v>
      </c>
      <c r="H58" s="182">
        <f t="shared" si="3"/>
        <v>0</v>
      </c>
      <c r="I58" s="186"/>
    </row>
    <row r="59" spans="2:10" x14ac:dyDescent="0.25">
      <c r="B59" s="184" t="s">
        <v>514</v>
      </c>
      <c r="C59" s="188" t="s">
        <v>213</v>
      </c>
      <c r="D59" s="184" t="s">
        <v>78</v>
      </c>
      <c r="E59" s="185">
        <v>1</v>
      </c>
      <c r="F59" s="182">
        <v>75</v>
      </c>
      <c r="G59" s="182">
        <f t="shared" si="4"/>
        <v>75</v>
      </c>
      <c r="H59" s="182">
        <f t="shared" si="3"/>
        <v>75</v>
      </c>
      <c r="I59" s="182"/>
    </row>
    <row r="60" spans="2:10" x14ac:dyDescent="0.25">
      <c r="B60" s="184" t="s">
        <v>515</v>
      </c>
      <c r="C60" s="206" t="s">
        <v>516</v>
      </c>
      <c r="D60" s="184" t="s">
        <v>78</v>
      </c>
      <c r="E60" s="185">
        <v>1</v>
      </c>
      <c r="F60" s="182">
        <v>145</v>
      </c>
      <c r="G60" s="182">
        <f t="shared" si="4"/>
        <v>145</v>
      </c>
      <c r="H60" s="182">
        <f t="shared" si="3"/>
        <v>145</v>
      </c>
      <c r="I60" s="182"/>
    </row>
    <row r="61" spans="2:10" x14ac:dyDescent="0.25">
      <c r="B61" s="184" t="s">
        <v>517</v>
      </c>
      <c r="C61" s="206" t="s">
        <v>217</v>
      </c>
      <c r="D61" s="184" t="s">
        <v>78</v>
      </c>
      <c r="E61" s="185">
        <v>1</v>
      </c>
      <c r="F61" s="182">
        <v>129</v>
      </c>
      <c r="G61" s="182">
        <f t="shared" si="4"/>
        <v>129</v>
      </c>
      <c r="H61" s="182">
        <f t="shared" si="3"/>
        <v>129</v>
      </c>
      <c r="I61" s="182"/>
    </row>
    <row r="62" spans="2:10" x14ac:dyDescent="0.25">
      <c r="B62" s="184" t="s">
        <v>518</v>
      </c>
      <c r="C62" s="206" t="s">
        <v>519</v>
      </c>
      <c r="D62" s="184" t="s">
        <v>123</v>
      </c>
      <c r="E62" s="185">
        <v>1</v>
      </c>
      <c r="F62" s="182">
        <v>50</v>
      </c>
      <c r="G62" s="182">
        <f t="shared" si="4"/>
        <v>50</v>
      </c>
      <c r="H62" s="182">
        <f t="shared" si="3"/>
        <v>50</v>
      </c>
      <c r="I62" s="182"/>
    </row>
    <row r="63" spans="2:10" x14ac:dyDescent="0.25">
      <c r="B63" s="184" t="s">
        <v>520</v>
      </c>
      <c r="C63" s="206" t="s">
        <v>521</v>
      </c>
      <c r="D63" s="184" t="s">
        <v>242</v>
      </c>
      <c r="E63" s="185">
        <v>1</v>
      </c>
      <c r="F63" s="186">
        <v>150</v>
      </c>
      <c r="G63" s="182">
        <f t="shared" si="4"/>
        <v>150</v>
      </c>
      <c r="H63" s="182">
        <f t="shared" si="3"/>
        <v>150</v>
      </c>
      <c r="I63" s="186"/>
      <c r="J63" s="183"/>
    </row>
    <row r="64" spans="2:10" x14ac:dyDescent="0.25">
      <c r="B64" s="184" t="s">
        <v>522</v>
      </c>
      <c r="C64" s="206" t="s">
        <v>523</v>
      </c>
      <c r="D64" s="184" t="s">
        <v>242</v>
      </c>
      <c r="E64" s="205">
        <v>9</v>
      </c>
      <c r="F64" s="186">
        <v>15</v>
      </c>
      <c r="G64" s="182">
        <f t="shared" si="4"/>
        <v>135</v>
      </c>
      <c r="H64" s="182">
        <f t="shared" si="3"/>
        <v>135</v>
      </c>
      <c r="I64" s="186"/>
      <c r="J64" s="183"/>
    </row>
    <row r="65" spans="2:10" x14ac:dyDescent="0.25">
      <c r="B65" s="178" t="s">
        <v>226</v>
      </c>
      <c r="C65" s="179" t="s">
        <v>227</v>
      </c>
      <c r="D65" s="180"/>
      <c r="E65" s="185"/>
      <c r="F65" s="182"/>
      <c r="G65" s="182">
        <f t="shared" si="4"/>
        <v>0</v>
      </c>
      <c r="H65" s="182">
        <f t="shared" si="3"/>
        <v>0</v>
      </c>
      <c r="I65" s="182"/>
      <c r="J65" s="183"/>
    </row>
    <row r="66" spans="2:10" x14ac:dyDescent="0.25">
      <c r="B66" s="178" t="s">
        <v>228</v>
      </c>
      <c r="C66" s="179" t="s">
        <v>229</v>
      </c>
      <c r="D66" s="180"/>
      <c r="E66" s="185"/>
      <c r="F66" s="182"/>
      <c r="G66" s="182">
        <f t="shared" si="4"/>
        <v>0</v>
      </c>
      <c r="H66" s="182">
        <f t="shared" si="3"/>
        <v>0</v>
      </c>
      <c r="I66" s="182"/>
      <c r="J66" s="183"/>
    </row>
    <row r="67" spans="2:10" x14ac:dyDescent="0.25">
      <c r="B67" s="178" t="s">
        <v>230</v>
      </c>
      <c r="C67" s="49" t="s">
        <v>231</v>
      </c>
      <c r="D67" s="184" t="s">
        <v>170</v>
      </c>
      <c r="E67" s="185">
        <v>1</v>
      </c>
      <c r="F67" s="182">
        <v>12.5</v>
      </c>
      <c r="G67" s="182">
        <f t="shared" si="4"/>
        <v>12.5</v>
      </c>
      <c r="H67" s="182">
        <f t="shared" si="3"/>
        <v>12.5</v>
      </c>
      <c r="I67" s="182"/>
      <c r="J67" s="183"/>
    </row>
    <row r="68" spans="2:10" x14ac:dyDescent="0.25">
      <c r="B68" s="178" t="s">
        <v>232</v>
      </c>
      <c r="C68" s="49" t="s">
        <v>524</v>
      </c>
      <c r="D68" s="184" t="s">
        <v>170</v>
      </c>
      <c r="E68" s="185">
        <v>2</v>
      </c>
      <c r="F68" s="182">
        <v>12</v>
      </c>
      <c r="G68" s="182">
        <f t="shared" si="4"/>
        <v>24</v>
      </c>
      <c r="H68" s="182">
        <f t="shared" si="3"/>
        <v>24</v>
      </c>
      <c r="I68" s="182"/>
      <c r="J68" s="183"/>
    </row>
    <row r="69" spans="2:10" x14ac:dyDescent="0.25">
      <c r="B69" s="178" t="s">
        <v>234</v>
      </c>
      <c r="C69" s="49" t="s">
        <v>235</v>
      </c>
      <c r="D69" s="184" t="s">
        <v>170</v>
      </c>
      <c r="E69" s="185">
        <v>1</v>
      </c>
      <c r="F69" s="182">
        <v>16</v>
      </c>
      <c r="G69" s="182">
        <f t="shared" si="4"/>
        <v>16</v>
      </c>
      <c r="H69" s="182">
        <f t="shared" si="3"/>
        <v>16</v>
      </c>
      <c r="I69" s="182"/>
      <c r="J69" s="183"/>
    </row>
    <row r="70" spans="2:10" x14ac:dyDescent="0.25">
      <c r="B70" s="178" t="s">
        <v>236</v>
      </c>
      <c r="C70" s="49" t="s">
        <v>237</v>
      </c>
      <c r="D70" s="184" t="s">
        <v>170</v>
      </c>
      <c r="E70" s="185">
        <v>1</v>
      </c>
      <c r="F70" s="182">
        <v>15</v>
      </c>
      <c r="G70" s="182">
        <f t="shared" si="4"/>
        <v>15</v>
      </c>
      <c r="H70" s="182">
        <f t="shared" si="3"/>
        <v>15</v>
      </c>
      <c r="I70" s="182"/>
      <c r="J70" s="183"/>
    </row>
    <row r="71" spans="2:10" x14ac:dyDescent="0.25">
      <c r="B71" s="178" t="s">
        <v>238</v>
      </c>
      <c r="C71" s="179" t="s">
        <v>239</v>
      </c>
      <c r="D71" s="196"/>
      <c r="E71" s="197"/>
      <c r="F71" s="198"/>
      <c r="G71" s="182">
        <f t="shared" si="4"/>
        <v>0</v>
      </c>
      <c r="H71" s="182">
        <f t="shared" si="3"/>
        <v>0</v>
      </c>
      <c r="I71" s="198"/>
      <c r="J71" s="183"/>
    </row>
    <row r="72" spans="2:10" x14ac:dyDescent="0.25">
      <c r="B72" s="189" t="s">
        <v>240</v>
      </c>
      <c r="C72" s="49" t="s">
        <v>525</v>
      </c>
      <c r="D72" s="184" t="s">
        <v>287</v>
      </c>
      <c r="E72" s="185">
        <v>5</v>
      </c>
      <c r="F72" s="182">
        <v>12</v>
      </c>
      <c r="G72" s="182">
        <f t="shared" si="4"/>
        <v>60</v>
      </c>
      <c r="H72" s="182">
        <f t="shared" si="3"/>
        <v>60</v>
      </c>
      <c r="I72" s="182"/>
      <c r="J72" s="183"/>
    </row>
    <row r="73" spans="2:10" x14ac:dyDescent="0.25">
      <c r="B73" s="189" t="s">
        <v>526</v>
      </c>
      <c r="C73" s="49" t="s">
        <v>241</v>
      </c>
      <c r="D73" s="184" t="s">
        <v>287</v>
      </c>
      <c r="E73" s="185">
        <v>2</v>
      </c>
      <c r="F73" s="182">
        <v>20</v>
      </c>
      <c r="G73" s="182">
        <f t="shared" si="4"/>
        <v>40</v>
      </c>
      <c r="H73" s="182">
        <f t="shared" si="3"/>
        <v>40</v>
      </c>
      <c r="I73" s="182"/>
      <c r="J73" s="183"/>
    </row>
    <row r="74" spans="2:10" x14ac:dyDescent="0.25">
      <c r="B74" s="178" t="s">
        <v>243</v>
      </c>
      <c r="C74" s="179" t="s">
        <v>244</v>
      </c>
      <c r="D74" s="196"/>
      <c r="E74" s="197"/>
      <c r="F74" s="198"/>
      <c r="G74" s="182">
        <f t="shared" si="4"/>
        <v>0</v>
      </c>
      <c r="H74" s="182">
        <f t="shared" si="3"/>
        <v>0</v>
      </c>
      <c r="I74" s="198"/>
      <c r="J74" s="183"/>
    </row>
    <row r="75" spans="2:10" x14ac:dyDescent="0.25">
      <c r="B75" s="189" t="s">
        <v>245</v>
      </c>
      <c r="C75" s="188" t="s">
        <v>527</v>
      </c>
      <c r="D75" s="184" t="s">
        <v>78</v>
      </c>
      <c r="E75" s="185">
        <v>4</v>
      </c>
      <c r="F75" s="186">
        <v>1.8</v>
      </c>
      <c r="G75" s="182">
        <f t="shared" si="4"/>
        <v>7.2</v>
      </c>
      <c r="H75" s="182">
        <f t="shared" si="3"/>
        <v>7.2</v>
      </c>
      <c r="I75" s="186"/>
      <c r="J75" s="183"/>
    </row>
    <row r="76" spans="2:10" x14ac:dyDescent="0.25">
      <c r="B76" s="189" t="s">
        <v>247</v>
      </c>
      <c r="C76" s="188" t="s">
        <v>246</v>
      </c>
      <c r="D76" s="184" t="s">
        <v>78</v>
      </c>
      <c r="E76" s="185">
        <v>2</v>
      </c>
      <c r="F76" s="186">
        <v>2.5</v>
      </c>
      <c r="G76" s="182">
        <f t="shared" si="4"/>
        <v>5</v>
      </c>
      <c r="H76" s="182">
        <f t="shared" si="3"/>
        <v>5</v>
      </c>
      <c r="I76" s="186"/>
      <c r="J76" s="183"/>
    </row>
    <row r="77" spans="2:10" x14ac:dyDescent="0.25">
      <c r="B77" s="189" t="s">
        <v>528</v>
      </c>
      <c r="C77" s="188" t="s">
        <v>529</v>
      </c>
      <c r="D77" s="184" t="s">
        <v>78</v>
      </c>
      <c r="E77" s="185">
        <v>3</v>
      </c>
      <c r="F77" s="186">
        <v>2.2000000000000002</v>
      </c>
      <c r="G77" s="182">
        <f t="shared" si="4"/>
        <v>6.6000000000000005</v>
      </c>
      <c r="H77" s="182">
        <f t="shared" si="3"/>
        <v>6.6000000000000005</v>
      </c>
      <c r="I77" s="186"/>
      <c r="J77" s="183"/>
    </row>
    <row r="78" spans="2:10" x14ac:dyDescent="0.25">
      <c r="B78" s="189" t="s">
        <v>530</v>
      </c>
      <c r="C78" s="188" t="s">
        <v>248</v>
      </c>
      <c r="D78" s="184" t="s">
        <v>116</v>
      </c>
      <c r="E78" s="185">
        <v>3</v>
      </c>
      <c r="F78" s="186">
        <v>3.5</v>
      </c>
      <c r="G78" s="182">
        <f t="shared" si="4"/>
        <v>10.5</v>
      </c>
      <c r="H78" s="182">
        <f t="shared" si="3"/>
        <v>10.5</v>
      </c>
      <c r="I78" s="186"/>
      <c r="J78" s="183"/>
    </row>
    <row r="79" spans="2:10" x14ac:dyDescent="0.25">
      <c r="B79" s="189" t="s">
        <v>531</v>
      </c>
      <c r="C79" s="49" t="s">
        <v>532</v>
      </c>
      <c r="D79" s="184" t="s">
        <v>78</v>
      </c>
      <c r="E79" s="185">
        <v>1</v>
      </c>
      <c r="F79" s="186">
        <v>2.2999999999999998</v>
      </c>
      <c r="G79" s="182">
        <f t="shared" si="4"/>
        <v>2.2999999999999998</v>
      </c>
      <c r="H79" s="182">
        <f t="shared" si="3"/>
        <v>2.2999999999999998</v>
      </c>
      <c r="I79" s="186"/>
      <c r="J79" s="183"/>
    </row>
    <row r="80" spans="2:10" x14ac:dyDescent="0.25">
      <c r="B80" s="178" t="s">
        <v>249</v>
      </c>
      <c r="C80" s="179" t="s">
        <v>250</v>
      </c>
      <c r="D80" s="180"/>
      <c r="E80" s="190"/>
      <c r="F80" s="182"/>
      <c r="G80" s="182">
        <f t="shared" si="4"/>
        <v>0</v>
      </c>
      <c r="H80" s="182">
        <f t="shared" si="3"/>
        <v>0</v>
      </c>
      <c r="I80" s="182"/>
      <c r="J80" s="183"/>
    </row>
    <row r="81" spans="2:10" x14ac:dyDescent="0.25">
      <c r="B81" s="189" t="s">
        <v>251</v>
      </c>
      <c r="C81" s="49" t="s">
        <v>252</v>
      </c>
      <c r="D81" s="184" t="s">
        <v>170</v>
      </c>
      <c r="E81" s="185">
        <v>2</v>
      </c>
      <c r="F81" s="182">
        <v>8.5</v>
      </c>
      <c r="G81" s="182">
        <f t="shared" si="4"/>
        <v>17</v>
      </c>
      <c r="H81" s="182">
        <f t="shared" si="3"/>
        <v>17</v>
      </c>
      <c r="I81" s="182"/>
      <c r="J81" s="183"/>
    </row>
    <row r="82" spans="2:10" x14ac:dyDescent="0.25">
      <c r="B82" s="189" t="s">
        <v>253</v>
      </c>
      <c r="C82" s="49" t="s">
        <v>254</v>
      </c>
      <c r="D82" s="184" t="s">
        <v>170</v>
      </c>
      <c r="E82" s="185">
        <v>1</v>
      </c>
      <c r="F82" s="182">
        <v>9.5</v>
      </c>
      <c r="G82" s="182">
        <f t="shared" si="4"/>
        <v>9.5</v>
      </c>
      <c r="H82" s="182">
        <f t="shared" si="3"/>
        <v>9.5</v>
      </c>
      <c r="I82" s="182"/>
      <c r="J82" s="183"/>
    </row>
    <row r="83" spans="2:10" x14ac:dyDescent="0.25">
      <c r="B83" s="178" t="s">
        <v>255</v>
      </c>
      <c r="C83" s="179" t="s">
        <v>256</v>
      </c>
      <c r="D83" s="184"/>
      <c r="E83" s="190"/>
      <c r="F83" s="182"/>
      <c r="G83" s="182">
        <f t="shared" si="4"/>
        <v>0</v>
      </c>
      <c r="H83" s="182">
        <f t="shared" si="3"/>
        <v>0</v>
      </c>
      <c r="I83" s="182"/>
      <c r="J83" s="183"/>
    </row>
    <row r="84" spans="2:10" x14ac:dyDescent="0.25">
      <c r="B84" s="189" t="s">
        <v>257</v>
      </c>
      <c r="C84" s="188" t="s">
        <v>258</v>
      </c>
      <c r="D84" s="184" t="s">
        <v>170</v>
      </c>
      <c r="E84" s="185">
        <v>1</v>
      </c>
      <c r="F84" s="182">
        <v>95</v>
      </c>
      <c r="G84" s="182">
        <f t="shared" si="4"/>
        <v>95</v>
      </c>
      <c r="H84" s="182">
        <f t="shared" si="3"/>
        <v>95</v>
      </c>
      <c r="I84" s="182"/>
      <c r="J84" s="183"/>
    </row>
    <row r="85" spans="2:10" x14ac:dyDescent="0.25">
      <c r="B85" s="178" t="s">
        <v>261</v>
      </c>
      <c r="C85" s="179" t="s">
        <v>262</v>
      </c>
      <c r="D85" s="184"/>
      <c r="E85" s="185"/>
      <c r="F85" s="182"/>
      <c r="G85" s="182">
        <f t="shared" si="4"/>
        <v>0</v>
      </c>
      <c r="H85" s="182">
        <f t="shared" si="3"/>
        <v>0</v>
      </c>
      <c r="I85" s="182"/>
      <c r="J85" s="183"/>
    </row>
    <row r="86" spans="2:10" x14ac:dyDescent="0.25">
      <c r="B86" s="178" t="s">
        <v>263</v>
      </c>
      <c r="C86" s="179" t="s">
        <v>264</v>
      </c>
      <c r="D86" s="180"/>
      <c r="E86" s="190"/>
      <c r="F86" s="182"/>
      <c r="G86" s="182">
        <f t="shared" si="4"/>
        <v>0</v>
      </c>
      <c r="H86" s="182">
        <f t="shared" si="3"/>
        <v>0</v>
      </c>
      <c r="I86" s="182"/>
      <c r="J86" s="183"/>
    </row>
    <row r="87" spans="2:10" x14ac:dyDescent="0.25">
      <c r="B87" s="189" t="s">
        <v>265</v>
      </c>
      <c r="C87" s="188" t="s">
        <v>266</v>
      </c>
      <c r="D87" s="184" t="s">
        <v>170</v>
      </c>
      <c r="E87" s="185">
        <v>1</v>
      </c>
      <c r="F87" s="182">
        <v>5</v>
      </c>
      <c r="G87" s="182">
        <f t="shared" si="4"/>
        <v>5</v>
      </c>
      <c r="H87" s="182">
        <f t="shared" si="3"/>
        <v>5</v>
      </c>
      <c r="I87" s="182"/>
      <c r="J87" s="183"/>
    </row>
    <row r="88" spans="2:10" x14ac:dyDescent="0.25">
      <c r="B88" s="189" t="s">
        <v>267</v>
      </c>
      <c r="C88" s="206" t="s">
        <v>268</v>
      </c>
      <c r="D88" s="180" t="s">
        <v>170</v>
      </c>
      <c r="E88" s="190">
        <v>1</v>
      </c>
      <c r="F88" s="182">
        <v>3.5</v>
      </c>
      <c r="G88" s="182">
        <f t="shared" si="4"/>
        <v>3.5</v>
      </c>
      <c r="H88" s="182">
        <f t="shared" si="3"/>
        <v>3.5</v>
      </c>
      <c r="I88" s="182"/>
      <c r="J88" s="183"/>
    </row>
    <row r="89" spans="2:10" x14ac:dyDescent="0.25">
      <c r="B89" s="189" t="s">
        <v>269</v>
      </c>
      <c r="C89" s="188" t="s">
        <v>270</v>
      </c>
      <c r="D89" s="184" t="s">
        <v>170</v>
      </c>
      <c r="E89" s="185">
        <v>2</v>
      </c>
      <c r="F89" s="182">
        <v>3.5</v>
      </c>
      <c r="G89" s="182">
        <f t="shared" si="4"/>
        <v>7</v>
      </c>
      <c r="H89" s="182">
        <f t="shared" si="3"/>
        <v>7</v>
      </c>
      <c r="I89" s="182"/>
      <c r="J89" s="183"/>
    </row>
    <row r="90" spans="2:10" x14ac:dyDescent="0.25">
      <c r="B90" s="189" t="s">
        <v>273</v>
      </c>
      <c r="C90" s="188" t="s">
        <v>274</v>
      </c>
      <c r="D90" s="180" t="s">
        <v>170</v>
      </c>
      <c r="E90" s="185">
        <v>2</v>
      </c>
      <c r="F90" s="182">
        <v>2.2000000000000002</v>
      </c>
      <c r="G90" s="182">
        <f t="shared" si="4"/>
        <v>4.4000000000000004</v>
      </c>
      <c r="H90" s="182">
        <f t="shared" ref="H90:H127" si="5">G90</f>
        <v>4.4000000000000004</v>
      </c>
      <c r="I90" s="182"/>
      <c r="J90" s="183"/>
    </row>
    <row r="91" spans="2:10" x14ac:dyDescent="0.25">
      <c r="B91" s="189" t="s">
        <v>275</v>
      </c>
      <c r="C91" s="188" t="s">
        <v>276</v>
      </c>
      <c r="D91" s="180" t="s">
        <v>170</v>
      </c>
      <c r="E91" s="185">
        <v>1</v>
      </c>
      <c r="F91" s="182">
        <v>5</v>
      </c>
      <c r="G91" s="182">
        <f t="shared" si="4"/>
        <v>5</v>
      </c>
      <c r="H91" s="182">
        <f t="shared" si="5"/>
        <v>5</v>
      </c>
      <c r="I91" s="182"/>
      <c r="J91" s="183"/>
    </row>
    <row r="92" spans="2:10" x14ac:dyDescent="0.25">
      <c r="B92" s="189" t="s">
        <v>277</v>
      </c>
      <c r="C92" s="188" t="s">
        <v>533</v>
      </c>
      <c r="D92" s="180" t="s">
        <v>170</v>
      </c>
      <c r="E92" s="185">
        <v>6</v>
      </c>
      <c r="F92" s="186">
        <v>2.5</v>
      </c>
      <c r="G92" s="182">
        <f t="shared" si="4"/>
        <v>15</v>
      </c>
      <c r="H92" s="182">
        <f t="shared" si="5"/>
        <v>15</v>
      </c>
      <c r="I92" s="186"/>
      <c r="J92" s="183"/>
    </row>
    <row r="93" spans="2:10" x14ac:dyDescent="0.25">
      <c r="B93" s="189" t="s">
        <v>279</v>
      </c>
      <c r="C93" s="188" t="s">
        <v>534</v>
      </c>
      <c r="D93" s="180" t="s">
        <v>170</v>
      </c>
      <c r="E93" s="185">
        <v>1</v>
      </c>
      <c r="F93" s="186">
        <v>2.5</v>
      </c>
      <c r="G93" s="182">
        <f t="shared" si="4"/>
        <v>2.5</v>
      </c>
      <c r="H93" s="182">
        <f t="shared" si="5"/>
        <v>2.5</v>
      </c>
      <c r="I93" s="186"/>
      <c r="J93" s="183"/>
    </row>
    <row r="94" spans="2:10" x14ac:dyDescent="0.25">
      <c r="B94" s="189" t="s">
        <v>281</v>
      </c>
      <c r="C94" s="188" t="s">
        <v>282</v>
      </c>
      <c r="D94" s="180" t="s">
        <v>170</v>
      </c>
      <c r="E94" s="185">
        <v>2</v>
      </c>
      <c r="F94" s="186">
        <v>1.5</v>
      </c>
      <c r="G94" s="182">
        <f t="shared" si="4"/>
        <v>3</v>
      </c>
      <c r="H94" s="182">
        <f t="shared" si="5"/>
        <v>3</v>
      </c>
      <c r="I94" s="186"/>
      <c r="J94" s="183"/>
    </row>
    <row r="95" spans="2:10" x14ac:dyDescent="0.25">
      <c r="B95" s="189" t="s">
        <v>535</v>
      </c>
      <c r="C95" s="188" t="s">
        <v>536</v>
      </c>
      <c r="D95" s="180" t="s">
        <v>170</v>
      </c>
      <c r="E95" s="185">
        <v>1</v>
      </c>
      <c r="F95" s="182">
        <v>4.5</v>
      </c>
      <c r="G95" s="182">
        <f t="shared" si="4"/>
        <v>4.5</v>
      </c>
      <c r="H95" s="182">
        <f t="shared" si="5"/>
        <v>4.5</v>
      </c>
      <c r="I95" s="182"/>
      <c r="J95" s="183"/>
    </row>
    <row r="96" spans="2:10" x14ac:dyDescent="0.25">
      <c r="B96" s="178" t="s">
        <v>283</v>
      </c>
      <c r="C96" s="179" t="s">
        <v>284</v>
      </c>
      <c r="D96" s="196"/>
      <c r="E96" s="197"/>
      <c r="F96" s="198"/>
      <c r="G96" s="182">
        <f t="shared" si="4"/>
        <v>0</v>
      </c>
      <c r="H96" s="182">
        <f t="shared" si="5"/>
        <v>0</v>
      </c>
      <c r="I96" s="198"/>
      <c r="J96" s="183"/>
    </row>
    <row r="97" spans="2:10" x14ac:dyDescent="0.25">
      <c r="B97" s="189" t="s">
        <v>285</v>
      </c>
      <c r="C97" s="188" t="s">
        <v>537</v>
      </c>
      <c r="D97" s="184" t="s">
        <v>287</v>
      </c>
      <c r="E97" s="185">
        <v>3</v>
      </c>
      <c r="F97" s="182">
        <v>22</v>
      </c>
      <c r="G97" s="182">
        <f t="shared" si="4"/>
        <v>66</v>
      </c>
      <c r="H97" s="182">
        <f t="shared" si="5"/>
        <v>66</v>
      </c>
      <c r="I97" s="182"/>
      <c r="J97" s="183"/>
    </row>
    <row r="98" spans="2:10" x14ac:dyDescent="0.25">
      <c r="B98" s="189" t="s">
        <v>288</v>
      </c>
      <c r="C98" s="188" t="s">
        <v>538</v>
      </c>
      <c r="D98" s="180" t="s">
        <v>287</v>
      </c>
      <c r="E98" s="185">
        <v>2</v>
      </c>
      <c r="F98" s="182">
        <v>35</v>
      </c>
      <c r="G98" s="182">
        <f t="shared" si="4"/>
        <v>70</v>
      </c>
      <c r="H98" s="182">
        <f t="shared" si="5"/>
        <v>70</v>
      </c>
      <c r="I98" s="182"/>
      <c r="J98" s="183"/>
    </row>
    <row r="99" spans="2:10" x14ac:dyDescent="0.25">
      <c r="B99" s="178" t="s">
        <v>290</v>
      </c>
      <c r="C99" s="179" t="s">
        <v>291</v>
      </c>
      <c r="D99" s="196"/>
      <c r="E99" s="197"/>
      <c r="F99" s="198"/>
      <c r="G99" s="182">
        <f t="shared" si="4"/>
        <v>0</v>
      </c>
      <c r="H99" s="182">
        <f t="shared" si="5"/>
        <v>0</v>
      </c>
      <c r="I99" s="198"/>
      <c r="J99" s="183"/>
    </row>
    <row r="100" spans="2:10" x14ac:dyDescent="0.25">
      <c r="B100" s="189" t="s">
        <v>292</v>
      </c>
      <c r="C100" s="188" t="s">
        <v>293</v>
      </c>
      <c r="D100" s="180" t="s">
        <v>78</v>
      </c>
      <c r="E100" s="185">
        <v>1</v>
      </c>
      <c r="F100" s="182">
        <v>70</v>
      </c>
      <c r="G100" s="182">
        <f t="shared" si="4"/>
        <v>70</v>
      </c>
      <c r="H100" s="182">
        <f t="shared" si="5"/>
        <v>70</v>
      </c>
      <c r="I100" s="182"/>
      <c r="J100" s="183"/>
    </row>
    <row r="101" spans="2:10" x14ac:dyDescent="0.25">
      <c r="B101" s="189" t="s">
        <v>294</v>
      </c>
      <c r="C101" s="188" t="s">
        <v>209</v>
      </c>
      <c r="D101" s="180" t="s">
        <v>78</v>
      </c>
      <c r="E101" s="185">
        <v>1</v>
      </c>
      <c r="F101" s="182">
        <v>980</v>
      </c>
      <c r="G101" s="182">
        <f t="shared" si="4"/>
        <v>980</v>
      </c>
      <c r="H101" s="182">
        <f t="shared" si="5"/>
        <v>980</v>
      </c>
      <c r="I101" s="182"/>
      <c r="J101" s="183"/>
    </row>
    <row r="102" spans="2:10" x14ac:dyDescent="0.25">
      <c r="B102" s="178" t="s">
        <v>296</v>
      </c>
      <c r="C102" s="179" t="s">
        <v>297</v>
      </c>
      <c r="D102" s="180"/>
      <c r="E102" s="185"/>
      <c r="F102" s="182"/>
      <c r="G102" s="182">
        <f t="shared" si="4"/>
        <v>0</v>
      </c>
      <c r="H102" s="182">
        <f t="shared" si="5"/>
        <v>0</v>
      </c>
      <c r="I102" s="182"/>
      <c r="J102" s="183"/>
    </row>
    <row r="103" spans="2:10" x14ac:dyDescent="0.25">
      <c r="B103" s="178" t="s">
        <v>298</v>
      </c>
      <c r="C103" s="179" t="s">
        <v>299</v>
      </c>
      <c r="D103" s="180"/>
      <c r="E103" s="185"/>
      <c r="F103" s="182"/>
      <c r="G103" s="182">
        <f t="shared" si="4"/>
        <v>0</v>
      </c>
      <c r="H103" s="182">
        <f t="shared" si="5"/>
        <v>0</v>
      </c>
      <c r="I103" s="182"/>
      <c r="J103" s="183"/>
    </row>
    <row r="104" spans="2:10" x14ac:dyDescent="0.25">
      <c r="B104" s="189" t="s">
        <v>300</v>
      </c>
      <c r="C104" s="207" t="s">
        <v>301</v>
      </c>
      <c r="D104" s="184" t="s">
        <v>170</v>
      </c>
      <c r="E104" s="185">
        <v>4</v>
      </c>
      <c r="F104" s="182">
        <v>4.5</v>
      </c>
      <c r="G104" s="182">
        <f t="shared" si="4"/>
        <v>18</v>
      </c>
      <c r="H104" s="182">
        <f t="shared" si="5"/>
        <v>18</v>
      </c>
      <c r="I104" s="182"/>
      <c r="J104" s="183"/>
    </row>
    <row r="105" spans="2:10" x14ac:dyDescent="0.25">
      <c r="B105" s="178" t="s">
        <v>302</v>
      </c>
      <c r="C105" s="179" t="s">
        <v>303</v>
      </c>
      <c r="D105" s="196"/>
      <c r="E105" s="197"/>
      <c r="F105" s="198"/>
      <c r="G105" s="182">
        <f t="shared" si="4"/>
        <v>0</v>
      </c>
      <c r="H105" s="182">
        <f t="shared" si="5"/>
        <v>0</v>
      </c>
      <c r="I105" s="198"/>
      <c r="J105" s="183"/>
    </row>
    <row r="106" spans="2:10" x14ac:dyDescent="0.25">
      <c r="B106" s="180" t="s">
        <v>304</v>
      </c>
      <c r="C106" s="49" t="s">
        <v>305</v>
      </c>
      <c r="D106" s="184" t="s">
        <v>170</v>
      </c>
      <c r="E106" s="185">
        <v>4</v>
      </c>
      <c r="F106" s="182">
        <v>8.5</v>
      </c>
      <c r="G106" s="182">
        <f t="shared" si="4"/>
        <v>34</v>
      </c>
      <c r="H106" s="182">
        <f t="shared" si="5"/>
        <v>34</v>
      </c>
      <c r="I106" s="182"/>
      <c r="J106" s="183"/>
    </row>
    <row r="107" spans="2:10" x14ac:dyDescent="0.25">
      <c r="B107" s="178" t="s">
        <v>306</v>
      </c>
      <c r="C107" s="179" t="s">
        <v>307</v>
      </c>
      <c r="D107" s="196"/>
      <c r="E107" s="197"/>
      <c r="F107" s="198"/>
      <c r="G107" s="182">
        <f t="shared" si="4"/>
        <v>0</v>
      </c>
      <c r="H107" s="182">
        <f t="shared" si="5"/>
        <v>0</v>
      </c>
      <c r="I107" s="198"/>
      <c r="J107" s="183"/>
    </row>
    <row r="108" spans="2:10" x14ac:dyDescent="0.25">
      <c r="B108" s="180" t="s">
        <v>308</v>
      </c>
      <c r="C108" s="188" t="s">
        <v>539</v>
      </c>
      <c r="D108" s="184" t="s">
        <v>287</v>
      </c>
      <c r="E108" s="185">
        <v>15</v>
      </c>
      <c r="F108" s="182">
        <v>3.5</v>
      </c>
      <c r="G108" s="182">
        <f t="shared" si="4"/>
        <v>52.5</v>
      </c>
      <c r="H108" s="182">
        <f t="shared" si="5"/>
        <v>52.5</v>
      </c>
      <c r="I108" s="182"/>
      <c r="J108" s="183"/>
    </row>
    <row r="109" spans="2:10" x14ac:dyDescent="0.25">
      <c r="B109" s="178" t="s">
        <v>310</v>
      </c>
      <c r="C109" s="179" t="s">
        <v>311</v>
      </c>
      <c r="D109" s="196"/>
      <c r="E109" s="197"/>
      <c r="F109" s="198"/>
      <c r="G109" s="182">
        <f t="shared" si="4"/>
        <v>0</v>
      </c>
      <c r="H109" s="182">
        <f t="shared" si="5"/>
        <v>0</v>
      </c>
      <c r="I109" s="198"/>
      <c r="J109" s="183"/>
    </row>
    <row r="110" spans="2:10" x14ac:dyDescent="0.25">
      <c r="B110" s="180" t="s">
        <v>312</v>
      </c>
      <c r="C110" s="207" t="s">
        <v>313</v>
      </c>
      <c r="D110" s="208" t="s">
        <v>175</v>
      </c>
      <c r="E110" s="185">
        <v>25</v>
      </c>
      <c r="F110" s="209">
        <v>0.5</v>
      </c>
      <c r="G110" s="182">
        <f t="shared" si="4"/>
        <v>12.5</v>
      </c>
      <c r="H110" s="182">
        <f t="shared" si="5"/>
        <v>12.5</v>
      </c>
      <c r="I110" s="198"/>
      <c r="J110" s="183"/>
    </row>
    <row r="111" spans="2:10" x14ac:dyDescent="0.25">
      <c r="B111" s="180" t="s">
        <v>314</v>
      </c>
      <c r="C111" s="207" t="s">
        <v>315</v>
      </c>
      <c r="D111" s="208" t="s">
        <v>175</v>
      </c>
      <c r="E111" s="185">
        <v>30</v>
      </c>
      <c r="F111" s="186">
        <v>0.5</v>
      </c>
      <c r="G111" s="182">
        <f t="shared" si="4"/>
        <v>15</v>
      </c>
      <c r="H111" s="182">
        <f t="shared" si="5"/>
        <v>15</v>
      </c>
      <c r="I111" s="186"/>
      <c r="J111" s="183"/>
    </row>
    <row r="112" spans="2:10" x14ac:dyDescent="0.25">
      <c r="B112" s="178" t="s">
        <v>316</v>
      </c>
      <c r="C112" s="179" t="s">
        <v>317</v>
      </c>
      <c r="D112" s="210"/>
      <c r="E112" s="197"/>
      <c r="F112" s="198"/>
      <c r="G112" s="182">
        <f t="shared" si="4"/>
        <v>0</v>
      </c>
      <c r="H112" s="182">
        <f t="shared" si="5"/>
        <v>0</v>
      </c>
      <c r="I112" s="198"/>
      <c r="J112" s="183"/>
    </row>
    <row r="113" spans="2:10" x14ac:dyDescent="0.25">
      <c r="B113" s="180" t="s">
        <v>318</v>
      </c>
      <c r="C113" s="207" t="s">
        <v>319</v>
      </c>
      <c r="D113" s="208" t="s">
        <v>170</v>
      </c>
      <c r="E113" s="211">
        <v>1</v>
      </c>
      <c r="F113" s="212">
        <v>7.5</v>
      </c>
      <c r="G113" s="182">
        <f t="shared" si="4"/>
        <v>7.5</v>
      </c>
      <c r="H113" s="182">
        <f t="shared" si="5"/>
        <v>7.5</v>
      </c>
      <c r="I113" s="212"/>
      <c r="J113" s="183"/>
    </row>
    <row r="114" spans="2:10" x14ac:dyDescent="0.25">
      <c r="B114" s="178" t="s">
        <v>320</v>
      </c>
      <c r="C114" s="179" t="s">
        <v>540</v>
      </c>
      <c r="D114" s="210"/>
      <c r="E114" s="197"/>
      <c r="F114" s="198"/>
      <c r="G114" s="182">
        <f t="shared" si="4"/>
        <v>0</v>
      </c>
      <c r="H114" s="182">
        <f t="shared" si="5"/>
        <v>0</v>
      </c>
      <c r="I114" s="198"/>
      <c r="J114" s="183"/>
    </row>
    <row r="115" spans="2:10" x14ac:dyDescent="0.25">
      <c r="B115" s="180" t="s">
        <v>322</v>
      </c>
      <c r="C115" s="207" t="s">
        <v>541</v>
      </c>
      <c r="D115" s="208" t="s">
        <v>170</v>
      </c>
      <c r="E115" s="211">
        <v>1</v>
      </c>
      <c r="F115" s="212">
        <v>75</v>
      </c>
      <c r="G115" s="182">
        <f t="shared" si="4"/>
        <v>75</v>
      </c>
      <c r="H115" s="182">
        <f t="shared" si="5"/>
        <v>75</v>
      </c>
      <c r="I115" s="182"/>
      <c r="J115" s="183"/>
    </row>
    <row r="116" spans="2:10" x14ac:dyDescent="0.25">
      <c r="B116" s="178" t="s">
        <v>326</v>
      </c>
      <c r="C116" s="179" t="s">
        <v>321</v>
      </c>
      <c r="D116" s="210"/>
      <c r="E116" s="197"/>
      <c r="F116" s="198"/>
      <c r="G116" s="182">
        <f t="shared" si="4"/>
        <v>0</v>
      </c>
      <c r="H116" s="182">
        <f t="shared" si="5"/>
        <v>0</v>
      </c>
      <c r="I116" s="198"/>
      <c r="J116" s="183"/>
    </row>
    <row r="117" spans="2:10" x14ac:dyDescent="0.25">
      <c r="B117" s="189" t="s">
        <v>328</v>
      </c>
      <c r="C117" s="207" t="s">
        <v>323</v>
      </c>
      <c r="D117" s="208" t="s">
        <v>170</v>
      </c>
      <c r="E117" s="211">
        <v>1</v>
      </c>
      <c r="F117" s="212">
        <v>33</v>
      </c>
      <c r="G117" s="182">
        <f t="shared" si="4"/>
        <v>33</v>
      </c>
      <c r="H117" s="182">
        <f t="shared" si="5"/>
        <v>33</v>
      </c>
      <c r="I117" s="186"/>
      <c r="J117" s="183"/>
    </row>
    <row r="118" spans="2:10" x14ac:dyDescent="0.25">
      <c r="B118" s="189" t="s">
        <v>542</v>
      </c>
      <c r="C118" s="49" t="s">
        <v>325</v>
      </c>
      <c r="D118" s="213" t="s">
        <v>170</v>
      </c>
      <c r="E118" s="214">
        <v>4</v>
      </c>
      <c r="F118" s="215">
        <v>45</v>
      </c>
      <c r="G118" s="182">
        <f t="shared" si="4"/>
        <v>180</v>
      </c>
      <c r="H118" s="182">
        <f t="shared" si="5"/>
        <v>180</v>
      </c>
      <c r="I118" s="215"/>
      <c r="J118" s="183"/>
    </row>
    <row r="119" spans="2:10" x14ac:dyDescent="0.25">
      <c r="B119" s="178" t="s">
        <v>543</v>
      </c>
      <c r="C119" s="179" t="s">
        <v>327</v>
      </c>
      <c r="D119" s="210"/>
      <c r="E119" s="197"/>
      <c r="F119" s="198"/>
      <c r="G119" s="182">
        <f t="shared" si="4"/>
        <v>0</v>
      </c>
      <c r="H119" s="182">
        <f t="shared" si="5"/>
        <v>0</v>
      </c>
      <c r="I119" s="198"/>
      <c r="J119" s="183"/>
    </row>
    <row r="120" spans="2:10" x14ac:dyDescent="0.25">
      <c r="B120" s="189" t="s">
        <v>544</v>
      </c>
      <c r="C120" s="207" t="s">
        <v>329</v>
      </c>
      <c r="D120" s="184" t="s">
        <v>170</v>
      </c>
      <c r="E120" s="205">
        <v>1</v>
      </c>
      <c r="F120" s="186">
        <v>245</v>
      </c>
      <c r="G120" s="182">
        <f t="shared" si="4"/>
        <v>245</v>
      </c>
      <c r="H120" s="182">
        <f t="shared" si="5"/>
        <v>245</v>
      </c>
      <c r="I120" s="186"/>
      <c r="J120" s="183"/>
    </row>
    <row r="121" spans="2:10" ht="16.5" x14ac:dyDescent="0.25">
      <c r="B121" s="69" t="s">
        <v>330</v>
      </c>
      <c r="C121" s="216" t="s">
        <v>545</v>
      </c>
      <c r="D121" s="184"/>
      <c r="E121" s="205"/>
      <c r="F121" s="186"/>
      <c r="G121" s="182">
        <f t="shared" ref="G121:G126" si="6">E121*F121</f>
        <v>0</v>
      </c>
      <c r="H121" s="182">
        <f t="shared" si="5"/>
        <v>0</v>
      </c>
      <c r="I121" s="186"/>
      <c r="J121" s="183"/>
    </row>
    <row r="122" spans="2:10" ht="16.5" x14ac:dyDescent="0.25">
      <c r="B122" s="71" t="s">
        <v>332</v>
      </c>
      <c r="C122" s="217" t="s">
        <v>546</v>
      </c>
      <c r="D122" s="218" t="s">
        <v>460</v>
      </c>
      <c r="E122" s="219">
        <v>2</v>
      </c>
      <c r="F122" s="220">
        <v>2048.5</v>
      </c>
      <c r="G122" s="221">
        <f t="shared" si="6"/>
        <v>4097</v>
      </c>
      <c r="H122" s="182">
        <f t="shared" si="5"/>
        <v>4097</v>
      </c>
      <c r="I122" s="186"/>
      <c r="J122" s="183"/>
    </row>
    <row r="123" spans="2:10" ht="16.5" x14ac:dyDescent="0.25">
      <c r="B123" s="71" t="s">
        <v>547</v>
      </c>
      <c r="C123" s="217" t="s">
        <v>548</v>
      </c>
      <c r="D123" s="218" t="s">
        <v>460</v>
      </c>
      <c r="E123" s="219">
        <v>2</v>
      </c>
      <c r="F123" s="220">
        <v>650</v>
      </c>
      <c r="G123" s="221">
        <f t="shared" si="6"/>
        <v>1300</v>
      </c>
      <c r="H123" s="182">
        <f t="shared" si="5"/>
        <v>1300</v>
      </c>
      <c r="I123" s="186"/>
      <c r="J123" s="183"/>
    </row>
    <row r="124" spans="2:10" ht="16.5" x14ac:dyDescent="0.25">
      <c r="B124" s="71" t="s">
        <v>549</v>
      </c>
      <c r="C124" s="217" t="s">
        <v>550</v>
      </c>
      <c r="D124" s="218" t="s">
        <v>460</v>
      </c>
      <c r="E124" s="219">
        <v>500</v>
      </c>
      <c r="F124" s="220">
        <v>9.6999999999999993</v>
      </c>
      <c r="G124" s="221">
        <f t="shared" si="6"/>
        <v>4850</v>
      </c>
      <c r="H124" s="182">
        <f t="shared" si="5"/>
        <v>4850</v>
      </c>
      <c r="I124" s="186"/>
      <c r="J124" s="183"/>
    </row>
    <row r="125" spans="2:10" ht="24" x14ac:dyDescent="0.25">
      <c r="B125" s="71" t="s">
        <v>551</v>
      </c>
      <c r="C125" s="217" t="s">
        <v>552</v>
      </c>
      <c r="D125" s="218" t="s">
        <v>460</v>
      </c>
      <c r="E125" s="219">
        <v>50</v>
      </c>
      <c r="F125" s="220">
        <v>139.26</v>
      </c>
      <c r="G125" s="221">
        <f t="shared" si="6"/>
        <v>6963</v>
      </c>
      <c r="H125" s="182">
        <f t="shared" si="5"/>
        <v>6963</v>
      </c>
      <c r="I125" s="186"/>
      <c r="J125" s="183"/>
    </row>
    <row r="126" spans="2:10" ht="24" x14ac:dyDescent="0.25">
      <c r="B126" s="71" t="s">
        <v>553</v>
      </c>
      <c r="C126" s="217" t="s">
        <v>554</v>
      </c>
      <c r="D126" s="218" t="s">
        <v>460</v>
      </c>
      <c r="E126" s="219">
        <v>2</v>
      </c>
      <c r="F126" s="220">
        <v>1238.45</v>
      </c>
      <c r="G126" s="221">
        <f t="shared" si="6"/>
        <v>2476.9</v>
      </c>
      <c r="H126" s="182">
        <f t="shared" si="5"/>
        <v>2476.9</v>
      </c>
      <c r="I126" s="186"/>
      <c r="J126" s="183"/>
    </row>
    <row r="127" spans="2:10" ht="16.5" x14ac:dyDescent="0.25">
      <c r="B127" s="222" t="s">
        <v>555</v>
      </c>
      <c r="C127" s="73" t="s">
        <v>331</v>
      </c>
      <c r="D127" s="71"/>
      <c r="E127" s="89"/>
      <c r="F127" s="223"/>
      <c r="G127" s="191"/>
      <c r="H127" s="182">
        <f t="shared" si="5"/>
        <v>0</v>
      </c>
      <c r="I127" s="223"/>
      <c r="J127" s="183"/>
    </row>
    <row r="128" spans="2:10" ht="16.5" x14ac:dyDescent="0.25">
      <c r="B128" s="224" t="s">
        <v>556</v>
      </c>
      <c r="C128" s="80" t="s">
        <v>333</v>
      </c>
      <c r="D128" s="71" t="s">
        <v>334</v>
      </c>
      <c r="E128" s="89">
        <v>240</v>
      </c>
      <c r="F128" s="223">
        <v>35</v>
      </c>
      <c r="G128" s="191">
        <f>E128*F128</f>
        <v>8400</v>
      </c>
      <c r="H128" s="182"/>
      <c r="I128" s="223"/>
      <c r="J128" s="183"/>
    </row>
    <row r="129" spans="2:10" ht="16.5" x14ac:dyDescent="0.25">
      <c r="B129" s="189"/>
      <c r="C129" s="269" t="s">
        <v>61</v>
      </c>
      <c r="D129" s="269"/>
      <c r="E129" s="269"/>
      <c r="F129" s="269"/>
      <c r="G129" s="91">
        <f>SUM(G7:G128)</f>
        <v>65888.47080000001</v>
      </c>
      <c r="H129" s="91">
        <f>SUM(H7:H128)</f>
        <v>49018.470800000003</v>
      </c>
      <c r="I129" s="91"/>
      <c r="J129" s="183"/>
    </row>
    <row r="130" spans="2:10" ht="16.5" x14ac:dyDescent="0.25">
      <c r="B130" s="41"/>
      <c r="C130" s="269" t="s">
        <v>335</v>
      </c>
      <c r="D130" s="269"/>
      <c r="E130" s="269"/>
      <c r="F130" s="269"/>
      <c r="G130" s="91">
        <f>G129/3.15</f>
        <v>20916.974857142861</v>
      </c>
      <c r="H130" s="91">
        <f>H129/3.15</f>
        <v>15561.419301587302</v>
      </c>
      <c r="I130" s="91"/>
      <c r="J130" s="183"/>
    </row>
    <row r="131" spans="2:10" x14ac:dyDescent="0.25">
      <c r="B131" s="135"/>
      <c r="C131" s="135" t="s">
        <v>336</v>
      </c>
      <c r="D131" s="135"/>
      <c r="E131" s="135"/>
      <c r="F131" s="135"/>
      <c r="G131" s="92"/>
      <c r="H131" s="92"/>
      <c r="I131" s="92"/>
      <c r="J131" s="183"/>
    </row>
    <row r="132" spans="2:10" x14ac:dyDescent="0.25">
      <c r="B132" s="135"/>
      <c r="C132" s="135"/>
      <c r="D132" s="135"/>
      <c r="E132" s="135" t="s">
        <v>123</v>
      </c>
      <c r="F132" s="135" t="s">
        <v>337</v>
      </c>
      <c r="G132" s="92">
        <f t="shared" ref="G132:H133" si="7">G129/60</f>
        <v>1098.1411800000001</v>
      </c>
      <c r="H132" s="92">
        <f t="shared" si="7"/>
        <v>816.97451333333333</v>
      </c>
      <c r="I132" s="92"/>
      <c r="J132" s="183"/>
    </row>
    <row r="133" spans="2:10" x14ac:dyDescent="0.25">
      <c r="B133" s="135"/>
      <c r="C133" s="135"/>
      <c r="D133" s="135"/>
      <c r="E133" s="135" t="s">
        <v>123</v>
      </c>
      <c r="F133" s="135" t="s">
        <v>338</v>
      </c>
      <c r="G133" s="92">
        <f t="shared" si="7"/>
        <v>348.61624761904767</v>
      </c>
      <c r="H133" s="92">
        <f t="shared" si="7"/>
        <v>259.35698835978837</v>
      </c>
      <c r="I133" s="92"/>
      <c r="J133" s="183"/>
    </row>
    <row r="134" spans="2:10" x14ac:dyDescent="0.25">
      <c r="J134" s="183"/>
    </row>
    <row r="135" spans="2:10" x14ac:dyDescent="0.25">
      <c r="C135" s="93" t="s">
        <v>557</v>
      </c>
      <c r="D135" s="36"/>
      <c r="E135" s="36"/>
      <c r="J135" s="183"/>
    </row>
    <row r="136" spans="2:10" x14ac:dyDescent="0.25">
      <c r="C136" s="100"/>
      <c r="D136" s="100"/>
      <c r="E136" s="136" t="s">
        <v>338</v>
      </c>
      <c r="J136" s="183"/>
    </row>
    <row r="137" spans="2:10" ht="16.5" x14ac:dyDescent="0.25">
      <c r="C137" s="97" t="s">
        <v>558</v>
      </c>
      <c r="D137" s="90"/>
      <c r="E137" s="137">
        <v>348.62</v>
      </c>
      <c r="J137" s="183"/>
    </row>
    <row r="138" spans="2:10" ht="16.5" x14ac:dyDescent="0.25">
      <c r="C138" s="97" t="s">
        <v>341</v>
      </c>
      <c r="D138" s="90"/>
      <c r="E138" s="137">
        <f>E137*0.05</f>
        <v>17.431000000000001</v>
      </c>
      <c r="J138" s="183"/>
    </row>
    <row r="139" spans="2:10" x14ac:dyDescent="0.25">
      <c r="C139" s="100" t="s">
        <v>342</v>
      </c>
      <c r="D139" s="100"/>
      <c r="E139" s="138">
        <v>0</v>
      </c>
      <c r="J139" s="183"/>
    </row>
    <row r="140" spans="2:10" x14ac:dyDescent="0.25">
      <c r="C140" s="139" t="s">
        <v>343</v>
      </c>
      <c r="D140" s="100"/>
      <c r="E140" s="100">
        <f>SUM(E137:E139)</f>
        <v>366.05099999999999</v>
      </c>
      <c r="J140" s="183"/>
    </row>
    <row r="141" spans="2:10" x14ac:dyDescent="0.25">
      <c r="C141" s="140" t="s">
        <v>344</v>
      </c>
      <c r="D141" s="100"/>
      <c r="E141" s="100">
        <f>366.05*0.1</f>
        <v>36.605000000000004</v>
      </c>
      <c r="J141" s="183"/>
    </row>
    <row r="142" spans="2:10" x14ac:dyDescent="0.25">
      <c r="C142" s="141" t="s">
        <v>345</v>
      </c>
      <c r="D142" s="225"/>
      <c r="E142" s="225">
        <f>E140+E141</f>
        <v>402.65600000000001</v>
      </c>
      <c r="J142" s="183"/>
    </row>
    <row r="143" spans="2:10" x14ac:dyDescent="0.25">
      <c r="J143" s="183"/>
    </row>
    <row r="144" spans="2:10" x14ac:dyDescent="0.25">
      <c r="C144" s="141" t="s">
        <v>559</v>
      </c>
      <c r="D144" s="93"/>
      <c r="E144" s="93">
        <f>76*E142</f>
        <v>30601.856</v>
      </c>
      <c r="J144" s="183"/>
    </row>
    <row r="145" spans="10:10" x14ac:dyDescent="0.25">
      <c r="J145" s="183"/>
    </row>
    <row r="146" spans="10:10" x14ac:dyDescent="0.25">
      <c r="J146" s="183"/>
    </row>
    <row r="147" spans="10:10" x14ac:dyDescent="0.25">
      <c r="J147" s="183"/>
    </row>
    <row r="148" spans="10:10" x14ac:dyDescent="0.25">
      <c r="J148" s="183"/>
    </row>
    <row r="149" spans="10:10" x14ac:dyDescent="0.25">
      <c r="J149" s="183"/>
    </row>
    <row r="150" spans="10:10" x14ac:dyDescent="0.25">
      <c r="J150" s="183"/>
    </row>
    <row r="151" spans="10:10" x14ac:dyDescent="0.25">
      <c r="J151" s="183"/>
    </row>
    <row r="152" spans="10:10" x14ac:dyDescent="0.25">
      <c r="J152" s="183"/>
    </row>
    <row r="153" spans="10:10" x14ac:dyDescent="0.25">
      <c r="J153" s="183"/>
    </row>
    <row r="154" spans="10:10" x14ac:dyDescent="0.25">
      <c r="J154" s="183"/>
    </row>
    <row r="155" spans="10:10" x14ac:dyDescent="0.25">
      <c r="J155" s="183"/>
    </row>
    <row r="156" spans="10:10" x14ac:dyDescent="0.25">
      <c r="J156" s="183"/>
    </row>
    <row r="157" spans="10:10" x14ac:dyDescent="0.25">
      <c r="J157" s="183"/>
    </row>
    <row r="158" spans="10:10" x14ac:dyDescent="0.25">
      <c r="J158" s="183"/>
    </row>
    <row r="159" spans="10:10" x14ac:dyDescent="0.25">
      <c r="J159" s="183"/>
    </row>
    <row r="160" spans="10:10" x14ac:dyDescent="0.25">
      <c r="J160" s="183"/>
    </row>
    <row r="161" spans="10:10" x14ac:dyDescent="0.25">
      <c r="J161" s="183"/>
    </row>
    <row r="162" spans="10:10" x14ac:dyDescent="0.25">
      <c r="J162" s="183"/>
    </row>
    <row r="163" spans="10:10" x14ac:dyDescent="0.25">
      <c r="J163" s="183"/>
    </row>
    <row r="164" spans="10:10" x14ac:dyDescent="0.25">
      <c r="J164" s="183"/>
    </row>
    <row r="165" spans="10:10" x14ac:dyDescent="0.25">
      <c r="J165" s="183"/>
    </row>
    <row r="166" spans="10:10" x14ac:dyDescent="0.25">
      <c r="J166" s="183"/>
    </row>
    <row r="167" spans="10:10" x14ac:dyDescent="0.25">
      <c r="J167" s="183"/>
    </row>
    <row r="168" spans="10:10" x14ac:dyDescent="0.25">
      <c r="J168" s="183"/>
    </row>
    <row r="169" spans="10:10" x14ac:dyDescent="0.25">
      <c r="J169" s="183"/>
    </row>
  </sheetData>
  <mergeCells count="2">
    <mergeCell ref="C129:F129"/>
    <mergeCell ref="C130:F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CRONOGRAMA</vt:lpstr>
      <vt:lpstr>PRESUPUESTO</vt:lpstr>
      <vt:lpstr>COSTO DOMO</vt:lpstr>
      <vt:lpstr>COSTOS EVITABLES DOMO</vt:lpstr>
      <vt:lpstr>COSTOS COBERTIZO</vt:lpstr>
      <vt:lpstr>UTILIDAD COBERTIZO</vt:lpstr>
      <vt:lpstr>COSTO INVERNADERO</vt:lpstr>
      <vt:lpstr>UTLIDAD INVERNADERO</vt:lpstr>
      <vt:lpstr>COSTOS ALMACEN</vt:lpstr>
      <vt:lpstr>UTILIDAD ALMACEN </vt:lpstr>
      <vt:lpstr>COFINANCIAMIENTO </vt:lpstr>
      <vt:lpstr>COSTOS ACT.</vt:lpstr>
      <vt:lpstr>CRONOGRAMA!Área_de_impresión</vt:lpstr>
      <vt:lpstr>PRESUPUESTO!Área_de_impresión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Barbara-Tecnides</dc:creator>
  <cp:lastModifiedBy>Barbara-Tecnides</cp:lastModifiedBy>
  <cp:lastPrinted>2015-05-15T15:19:38Z</cp:lastPrinted>
  <dcterms:created xsi:type="dcterms:W3CDTF">2015-04-27T22:44:46Z</dcterms:created>
  <dcterms:modified xsi:type="dcterms:W3CDTF">2015-05-15T21:32:54Z</dcterms:modified>
</cp:coreProperties>
</file>