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2120" windowHeight="7515" activeTab="4"/>
  </bookViews>
  <sheets>
    <sheet name="POBLACION 2015" sheetId="1" r:id="rId1"/>
    <sheet name="VENTAS 2014" sheetId="4" r:id="rId2"/>
    <sheet name="HOGARES ESTIMADOS" sheetId="8" r:id="rId3"/>
    <sheet name="SEGMENTACION" sheetId="2" r:id="rId4"/>
    <sheet name="SUPUESTOS Y CORRIDOS" sheetId="3" r:id="rId5"/>
    <sheet name="PRESUPUESTO ANUAL BASE" sheetId="7" r:id="rId6"/>
    <sheet name="PRESUPUESTO AEA" sheetId="12" r:id="rId7"/>
    <sheet name="INVERSION YACHAYWASIS" sheetId="9" r:id="rId8"/>
    <sheet name="CRONOGRAMA ACTIVIDADES" sheetId="10" r:id="rId9"/>
  </sheets>
  <definedNames>
    <definedName name="_xlnm.Print_Titles" localSheetId="0">'POBLACION 2015'!$1:$6</definedName>
  </definedNames>
  <calcPr calcId="125725"/>
</workbook>
</file>

<file path=xl/calcChain.xml><?xml version="1.0" encoding="utf-8"?>
<calcChain xmlns="http://schemas.openxmlformats.org/spreadsheetml/2006/main">
  <c r="B15" i="9"/>
  <c r="C15"/>
  <c r="G15"/>
  <c r="D6"/>
  <c r="D7"/>
  <c r="G7" s="1"/>
  <c r="D8"/>
  <c r="D9"/>
  <c r="G9" s="1"/>
  <c r="D10"/>
  <c r="D11"/>
  <c r="G11" s="1"/>
  <c r="D12"/>
  <c r="D13"/>
  <c r="G13" s="1"/>
  <c r="D14"/>
  <c r="D5"/>
  <c r="G5" s="1"/>
  <c r="G14"/>
  <c r="G8"/>
  <c r="G10"/>
  <c r="G12"/>
  <c r="D15" l="1"/>
  <c r="E108" i="3" l="1"/>
  <c r="E109"/>
  <c r="E107"/>
  <c r="E230" l="1"/>
  <c r="E227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E226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E222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F233"/>
  <c r="F232"/>
  <c r="F234" s="1"/>
  <c r="E225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E224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E223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E22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E220"/>
  <c r="C204" i="7"/>
  <c r="C201"/>
  <c r="C24" i="12"/>
  <c r="E228" i="3" l="1"/>
  <c r="F220"/>
  <c r="C21" i="12"/>
  <c r="B21"/>
  <c r="C20"/>
  <c r="B20"/>
  <c r="B19"/>
  <c r="C18"/>
  <c r="B18"/>
  <c r="B17"/>
  <c r="G17" s="1"/>
  <c r="C33"/>
  <c r="G33" s="1"/>
  <c r="C31"/>
  <c r="G31" s="1"/>
  <c r="C30"/>
  <c r="G30" s="1"/>
  <c r="C29"/>
  <c r="G29" s="1"/>
  <c r="C28"/>
  <c r="G28" s="1"/>
  <c r="C27"/>
  <c r="G27" s="1"/>
  <c r="C26"/>
  <c r="G26" s="1"/>
  <c r="C25"/>
  <c r="G25" s="1"/>
  <c r="C32"/>
  <c r="G32" s="1"/>
  <c r="C23"/>
  <c r="G23" s="1"/>
  <c r="C22"/>
  <c r="G22" s="1"/>
  <c r="A19"/>
  <c r="A20"/>
  <c r="A21"/>
  <c r="A18"/>
  <c r="A17"/>
  <c r="A16"/>
  <c r="B16"/>
  <c r="B15"/>
  <c r="A15"/>
  <c r="B14"/>
  <c r="A14"/>
  <c r="F34"/>
  <c r="E34"/>
  <c r="D34"/>
  <c r="G24"/>
  <c r="G16"/>
  <c r="G220" i="3" l="1"/>
  <c r="F228"/>
  <c r="G15" i="12"/>
  <c r="G21"/>
  <c r="G20"/>
  <c r="G19"/>
  <c r="C34"/>
  <c r="G18"/>
  <c r="B34"/>
  <c r="G14"/>
  <c r="G228" i="3" l="1"/>
  <c r="H220"/>
  <c r="G34" i="12"/>
  <c r="E116" i="3"/>
  <c r="E115"/>
  <c r="E114"/>
  <c r="E113"/>
  <c r="E106"/>
  <c r="E105"/>
  <c r="E104"/>
  <c r="D95"/>
  <c r="E95" s="1"/>
  <c r="F95" s="1"/>
  <c r="D94"/>
  <c r="E94" s="1"/>
  <c r="E84"/>
  <c r="E85"/>
  <c r="E86"/>
  <c r="E83"/>
  <c r="E75"/>
  <c r="E76"/>
  <c r="E77"/>
  <c r="E78"/>
  <c r="E79"/>
  <c r="E74"/>
  <c r="F125" l="1"/>
  <c r="H228"/>
  <c r="I220"/>
  <c r="A7" i="12"/>
  <c r="D7" s="1"/>
  <c r="L94" i="3"/>
  <c r="AB94"/>
  <c r="AN94"/>
  <c r="AN124" s="1"/>
  <c r="G94"/>
  <c r="K94"/>
  <c r="O94"/>
  <c r="S94"/>
  <c r="W94"/>
  <c r="AA94"/>
  <c r="AE94"/>
  <c r="AI94"/>
  <c r="AI124" s="1"/>
  <c r="AM94"/>
  <c r="AM124" s="1"/>
  <c r="AQ94"/>
  <c r="AQ124" s="1"/>
  <c r="F94"/>
  <c r="J94"/>
  <c r="R94"/>
  <c r="V94"/>
  <c r="Z94"/>
  <c r="AH94"/>
  <c r="AH124" s="1"/>
  <c r="AL94"/>
  <c r="AL124" s="1"/>
  <c r="N94"/>
  <c r="AD94"/>
  <c r="AP94"/>
  <c r="AP124" s="1"/>
  <c r="I94"/>
  <c r="M94"/>
  <c r="Q94"/>
  <c r="U94"/>
  <c r="Y94"/>
  <c r="AC94"/>
  <c r="AG94"/>
  <c r="AG124" s="1"/>
  <c r="AK94"/>
  <c r="AK124" s="1"/>
  <c r="AO94"/>
  <c r="AO124" s="1"/>
  <c r="AS94"/>
  <c r="AS124" s="1"/>
  <c r="H94"/>
  <c r="P94"/>
  <c r="T94"/>
  <c r="X94"/>
  <c r="AF94"/>
  <c r="AF124" s="1"/>
  <c r="AJ94"/>
  <c r="AJ124" s="1"/>
  <c r="AR94"/>
  <c r="AR124" s="1"/>
  <c r="B7" i="12"/>
  <c r="C7"/>
  <c r="T124" i="3" l="1"/>
  <c r="Y124"/>
  <c r="I124"/>
  <c r="R124"/>
  <c r="W124"/>
  <c r="X124"/>
  <c r="AC124"/>
  <c r="M124"/>
  <c r="N124"/>
  <c r="V124"/>
  <c r="AA124"/>
  <c r="K124"/>
  <c r="L124"/>
  <c r="H124"/>
  <c r="Q124"/>
  <c r="AE124"/>
  <c r="AD124"/>
  <c r="Z124"/>
  <c r="F124"/>
  <c r="O124"/>
  <c r="AB124"/>
  <c r="P124"/>
  <c r="U124"/>
  <c r="J124"/>
  <c r="S124"/>
  <c r="G124"/>
  <c r="J220"/>
  <c r="I228"/>
  <c r="F7" i="12"/>
  <c r="G7" s="1"/>
  <c r="J228" i="3" l="1"/>
  <c r="K220"/>
  <c r="G7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G5"/>
  <c r="H5" s="1"/>
  <c r="I5" s="1"/>
  <c r="G13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K228" l="1"/>
  <c r="L220"/>
  <c r="Y7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Q220" i="7"/>
  <c r="R220"/>
  <c r="Q219"/>
  <c r="R219"/>
  <c r="R218"/>
  <c r="S218"/>
  <c r="T218" s="1"/>
  <c r="U218" s="1"/>
  <c r="V218" s="1"/>
  <c r="Q218"/>
  <c r="P218"/>
  <c r="S217"/>
  <c r="T217"/>
  <c r="U217" s="1"/>
  <c r="V217" s="1"/>
  <c r="R217"/>
  <c r="Q217"/>
  <c r="P217"/>
  <c r="Q216"/>
  <c r="R216"/>
  <c r="Q215"/>
  <c r="R215"/>
  <c r="Q214"/>
  <c r="R214"/>
  <c r="Q213"/>
  <c r="R213"/>
  <c r="AE208"/>
  <c r="AF208"/>
  <c r="X208"/>
  <c r="Y208"/>
  <c r="Q208"/>
  <c r="R208"/>
  <c r="AE207"/>
  <c r="AF207"/>
  <c r="X207"/>
  <c r="Y207"/>
  <c r="Q207"/>
  <c r="R207"/>
  <c r="AE206"/>
  <c r="AF206"/>
  <c r="X206"/>
  <c r="Y206"/>
  <c r="R206"/>
  <c r="Q206"/>
  <c r="AE205"/>
  <c r="AF205"/>
  <c r="X205"/>
  <c r="Y205"/>
  <c r="Q205"/>
  <c r="R205"/>
  <c r="AE179"/>
  <c r="AE184" s="1"/>
  <c r="AF179"/>
  <c r="AF184" s="1"/>
  <c r="X179"/>
  <c r="X184" s="1"/>
  <c r="Y179"/>
  <c r="Y184" s="1"/>
  <c r="Q179"/>
  <c r="Q184" s="1"/>
  <c r="R179"/>
  <c r="R184" s="1"/>
  <c r="AE162"/>
  <c r="AE165" s="1"/>
  <c r="AF162"/>
  <c r="AF165" s="1"/>
  <c r="X162"/>
  <c r="X165" s="1"/>
  <c r="Y162"/>
  <c r="Y165" s="1"/>
  <c r="Q162"/>
  <c r="Q165" s="1"/>
  <c r="R162"/>
  <c r="R165" s="1"/>
  <c r="AE134"/>
  <c r="AF134"/>
  <c r="AE142"/>
  <c r="AF142"/>
  <c r="X134"/>
  <c r="X142" s="1"/>
  <c r="Y134"/>
  <c r="Y142" s="1"/>
  <c r="Q134"/>
  <c r="Q142" s="1"/>
  <c r="R134"/>
  <c r="R142" s="1"/>
  <c r="AE105"/>
  <c r="AE110" s="1"/>
  <c r="AF105"/>
  <c r="AF110" s="1"/>
  <c r="X105"/>
  <c r="X110" s="1"/>
  <c r="Y105"/>
  <c r="Y110" s="1"/>
  <c r="Q110"/>
  <c r="Q105"/>
  <c r="R105"/>
  <c r="R110" s="1"/>
  <c r="AF88"/>
  <c r="AF91"/>
  <c r="AE88"/>
  <c r="AE91" s="1"/>
  <c r="X88"/>
  <c r="X91" s="1"/>
  <c r="Y88"/>
  <c r="Y91" s="1"/>
  <c r="Q88"/>
  <c r="Q91" s="1"/>
  <c r="R88"/>
  <c r="R91" s="1"/>
  <c r="AE58"/>
  <c r="AE67" s="1"/>
  <c r="AF58"/>
  <c r="AF67" s="1"/>
  <c r="X58"/>
  <c r="X67" s="1"/>
  <c r="Y58"/>
  <c r="Y67" s="1"/>
  <c r="Q58"/>
  <c r="Q67" s="1"/>
  <c r="R58"/>
  <c r="R67" s="1"/>
  <c r="AE11"/>
  <c r="AF11"/>
  <c r="AE5"/>
  <c r="AF5"/>
  <c r="C8" i="2"/>
  <c r="C4"/>
  <c r="F32" i="8"/>
  <c r="E32"/>
  <c r="D32"/>
  <c r="K31"/>
  <c r="H31"/>
  <c r="G31"/>
  <c r="I31" s="1"/>
  <c r="K30"/>
  <c r="H30"/>
  <c r="G30"/>
  <c r="I30" s="1"/>
  <c r="K29"/>
  <c r="G29"/>
  <c r="I29" s="1"/>
  <c r="K28"/>
  <c r="G28"/>
  <c r="I28" s="1"/>
  <c r="K27"/>
  <c r="G27"/>
  <c r="I27" s="1"/>
  <c r="K26"/>
  <c r="G26"/>
  <c r="I26" s="1"/>
  <c r="K25"/>
  <c r="G25"/>
  <c r="I25" s="1"/>
  <c r="K24"/>
  <c r="G24"/>
  <c r="I24" s="1"/>
  <c r="K23"/>
  <c r="G23"/>
  <c r="I23" s="1"/>
  <c r="K22"/>
  <c r="G22"/>
  <c r="I22" s="1"/>
  <c r="K21"/>
  <c r="G21"/>
  <c r="I21" s="1"/>
  <c r="K20"/>
  <c r="G20"/>
  <c r="I20" s="1"/>
  <c r="K19"/>
  <c r="G19"/>
  <c r="I19" s="1"/>
  <c r="K18"/>
  <c r="G18"/>
  <c r="I18" s="1"/>
  <c r="K17"/>
  <c r="G17"/>
  <c r="I17" s="1"/>
  <c r="K16"/>
  <c r="G16"/>
  <c r="I16" s="1"/>
  <c r="K15"/>
  <c r="G15"/>
  <c r="I15" s="1"/>
  <c r="K14"/>
  <c r="G14"/>
  <c r="I14" s="1"/>
  <c r="K13"/>
  <c r="G13"/>
  <c r="I13" s="1"/>
  <c r="K12"/>
  <c r="G12"/>
  <c r="I12" s="1"/>
  <c r="K11"/>
  <c r="G11"/>
  <c r="I11" s="1"/>
  <c r="K10"/>
  <c r="G10"/>
  <c r="I10" s="1"/>
  <c r="K9"/>
  <c r="G9"/>
  <c r="I9" s="1"/>
  <c r="K8"/>
  <c r="G8"/>
  <c r="I8" s="1"/>
  <c r="K7"/>
  <c r="G7"/>
  <c r="I7" s="1"/>
  <c r="K6"/>
  <c r="G6"/>
  <c r="I6" s="1"/>
  <c r="K5"/>
  <c r="G5"/>
  <c r="I5" s="1"/>
  <c r="K4"/>
  <c r="G4"/>
  <c r="I4" s="1"/>
  <c r="K3"/>
  <c r="G3"/>
  <c r="I3" s="1"/>
  <c r="K2"/>
  <c r="G2"/>
  <c r="I2" s="1"/>
  <c r="L228" i="3" l="1"/>
  <c r="M220"/>
  <c r="J5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H2" i="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G32"/>
  <c r="I32" s="1"/>
  <c r="M228" i="3" l="1"/>
  <c r="N220"/>
  <c r="H32" i="8"/>
  <c r="O220" i="3" l="1"/>
  <c r="N228"/>
  <c r="E208"/>
  <c r="C27" i="7"/>
  <c r="D148"/>
  <c r="F148"/>
  <c r="G148"/>
  <c r="H148"/>
  <c r="I148"/>
  <c r="J148"/>
  <c r="K148"/>
  <c r="L148"/>
  <c r="M148"/>
  <c r="N148"/>
  <c r="O148"/>
  <c r="D156"/>
  <c r="E156"/>
  <c r="F156"/>
  <c r="G156"/>
  <c r="H156"/>
  <c r="I156"/>
  <c r="J156"/>
  <c r="K156"/>
  <c r="L156"/>
  <c r="M156"/>
  <c r="N156"/>
  <c r="O156"/>
  <c r="D73"/>
  <c r="F73"/>
  <c r="G73"/>
  <c r="H73"/>
  <c r="I73"/>
  <c r="J73"/>
  <c r="K73"/>
  <c r="L73"/>
  <c r="M73"/>
  <c r="N73"/>
  <c r="O73"/>
  <c r="D82"/>
  <c r="E82"/>
  <c r="F82"/>
  <c r="G82"/>
  <c r="H82"/>
  <c r="I82"/>
  <c r="J82"/>
  <c r="K82"/>
  <c r="L82"/>
  <c r="M82"/>
  <c r="N82"/>
  <c r="O82"/>
  <c r="C84"/>
  <c r="F16" i="4"/>
  <c r="F33"/>
  <c r="F48"/>
  <c r="E17"/>
  <c r="E34"/>
  <c r="D49"/>
  <c r="S205" i="7"/>
  <c r="T205"/>
  <c r="U205"/>
  <c r="V205"/>
  <c r="W205"/>
  <c r="W206" s="1"/>
  <c r="Z205"/>
  <c r="Z206" s="1"/>
  <c r="AA205"/>
  <c r="AA206" s="1"/>
  <c r="AB205"/>
  <c r="AB206" s="1"/>
  <c r="AC205"/>
  <c r="AC206" s="1"/>
  <c r="AD205"/>
  <c r="AD206" s="1"/>
  <c r="AG205"/>
  <c r="AG206" s="1"/>
  <c r="AH205"/>
  <c r="AH206" s="1"/>
  <c r="AI205"/>
  <c r="AI206" s="1"/>
  <c r="AJ205"/>
  <c r="AJ206" s="1"/>
  <c r="P205"/>
  <c r="D190"/>
  <c r="E190"/>
  <c r="F190"/>
  <c r="G190"/>
  <c r="H190"/>
  <c r="I190"/>
  <c r="J190"/>
  <c r="K190"/>
  <c r="L190"/>
  <c r="M190"/>
  <c r="N190"/>
  <c r="O190"/>
  <c r="D171"/>
  <c r="E171"/>
  <c r="F171"/>
  <c r="G171"/>
  <c r="H171"/>
  <c r="I171"/>
  <c r="J171"/>
  <c r="K171"/>
  <c r="L171"/>
  <c r="M171"/>
  <c r="N171"/>
  <c r="O171"/>
  <c r="D162"/>
  <c r="E162"/>
  <c r="F162"/>
  <c r="G162"/>
  <c r="H162"/>
  <c r="I162"/>
  <c r="J162"/>
  <c r="K162"/>
  <c r="L162"/>
  <c r="M162"/>
  <c r="N162"/>
  <c r="O162"/>
  <c r="D116"/>
  <c r="E116"/>
  <c r="F116"/>
  <c r="G116"/>
  <c r="H116"/>
  <c r="I116"/>
  <c r="J116"/>
  <c r="K116"/>
  <c r="L116"/>
  <c r="M116"/>
  <c r="N116"/>
  <c r="O116"/>
  <c r="D97"/>
  <c r="E97"/>
  <c r="F97"/>
  <c r="G97"/>
  <c r="H97"/>
  <c r="I97"/>
  <c r="J97"/>
  <c r="K97"/>
  <c r="L97"/>
  <c r="M97"/>
  <c r="N97"/>
  <c r="O97"/>
  <c r="D88"/>
  <c r="E88"/>
  <c r="F88"/>
  <c r="G88"/>
  <c r="H88"/>
  <c r="I88"/>
  <c r="J88"/>
  <c r="K88"/>
  <c r="L88"/>
  <c r="M88"/>
  <c r="N88"/>
  <c r="O88"/>
  <c r="D5"/>
  <c r="E5"/>
  <c r="F5"/>
  <c r="G5"/>
  <c r="H5"/>
  <c r="I5"/>
  <c r="J5"/>
  <c r="K5"/>
  <c r="L5"/>
  <c r="M5"/>
  <c r="N5"/>
  <c r="O5"/>
  <c r="C131"/>
  <c r="C99"/>
  <c r="P220" i="3" l="1"/>
  <c r="O228"/>
  <c r="D39" i="4"/>
  <c r="D43"/>
  <c r="D41"/>
  <c r="I208" i="3"/>
  <c r="M208"/>
  <c r="Q208"/>
  <c r="U208"/>
  <c r="Y208"/>
  <c r="AC208"/>
  <c r="AG208"/>
  <c r="AK208"/>
  <c r="AO208"/>
  <c r="AS208"/>
  <c r="G208"/>
  <c r="K208"/>
  <c r="O208"/>
  <c r="S208"/>
  <c r="W208"/>
  <c r="AA208"/>
  <c r="AE208"/>
  <c r="AI208"/>
  <c r="AM208"/>
  <c r="AQ208"/>
  <c r="N208"/>
  <c r="V208"/>
  <c r="AD208"/>
  <c r="AL208"/>
  <c r="H208"/>
  <c r="P208"/>
  <c r="X208"/>
  <c r="AF208"/>
  <c r="AN208"/>
  <c r="J208"/>
  <c r="R208"/>
  <c r="Z208"/>
  <c r="AH208"/>
  <c r="AP208"/>
  <c r="T208"/>
  <c r="D45" i="4"/>
  <c r="D40"/>
  <c r="AR208" i="3"/>
  <c r="L208"/>
  <c r="D46" i="4"/>
  <c r="D37"/>
  <c r="E17" i="3" s="1"/>
  <c r="D90" s="1"/>
  <c r="E90" s="1"/>
  <c r="D44" i="4"/>
  <c r="D38"/>
  <c r="AJ208" i="3"/>
  <c r="D47" i="4"/>
  <c r="D42"/>
  <c r="F208" i="3"/>
  <c r="AB208"/>
  <c r="U213" i="7"/>
  <c r="P213"/>
  <c r="P216" s="1"/>
  <c r="U206"/>
  <c r="S213"/>
  <c r="S216" s="1"/>
  <c r="S215"/>
  <c r="V206"/>
  <c r="P206"/>
  <c r="S206"/>
  <c r="S214" s="1"/>
  <c r="T213"/>
  <c r="T216" s="1"/>
  <c r="T206"/>
  <c r="V213"/>
  <c r="V215" s="1"/>
  <c r="P228" i="3" l="1"/>
  <c r="Q220"/>
  <c r="F90"/>
  <c r="F120" s="1"/>
  <c r="E18"/>
  <c r="D91" s="1"/>
  <c r="E91" s="1"/>
  <c r="E19"/>
  <c r="D92" s="1"/>
  <c r="E92" s="1"/>
  <c r="P215" i="7"/>
  <c r="V214"/>
  <c r="T214"/>
  <c r="U214"/>
  <c r="P214"/>
  <c r="U215"/>
  <c r="U216"/>
  <c r="T215"/>
  <c r="V216"/>
  <c r="R220" i="3" l="1"/>
  <c r="Q228"/>
  <c r="F91"/>
  <c r="F121" s="1"/>
  <c r="F92"/>
  <c r="F122" s="1"/>
  <c r="C100" i="7"/>
  <c r="C174"/>
  <c r="C176"/>
  <c r="C175"/>
  <c r="C102"/>
  <c r="C101"/>
  <c r="C9"/>
  <c r="C163"/>
  <c r="C164"/>
  <c r="AK183"/>
  <c r="AK182"/>
  <c r="AK181"/>
  <c r="AK180"/>
  <c r="AK164"/>
  <c r="AK163"/>
  <c r="AK141"/>
  <c r="AK140"/>
  <c r="AK139"/>
  <c r="AK138"/>
  <c r="AK137"/>
  <c r="AK136"/>
  <c r="AK135"/>
  <c r="AK109"/>
  <c r="AK108"/>
  <c r="AK107"/>
  <c r="AK106"/>
  <c r="AK90"/>
  <c r="AK89"/>
  <c r="AK66"/>
  <c r="AK65"/>
  <c r="AK64"/>
  <c r="AK63"/>
  <c r="AK62"/>
  <c r="AK61"/>
  <c r="AK60"/>
  <c r="AK59"/>
  <c r="AK7"/>
  <c r="AK8"/>
  <c r="AK9"/>
  <c r="AK10"/>
  <c r="AK6"/>
  <c r="S220" i="3" l="1"/>
  <c r="R228"/>
  <c r="E149"/>
  <c r="F149" s="1"/>
  <c r="E150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E148"/>
  <c r="F148" s="1"/>
  <c r="V162" i="7"/>
  <c r="AB162"/>
  <c r="AH162"/>
  <c r="U162"/>
  <c r="AA162"/>
  <c r="AG162"/>
  <c r="P162"/>
  <c r="T162"/>
  <c r="Z162"/>
  <c r="AD162"/>
  <c r="AJ162"/>
  <c r="S162"/>
  <c r="W162"/>
  <c r="AC162"/>
  <c r="AI162"/>
  <c r="C162"/>
  <c r="E149"/>
  <c r="E148" s="1"/>
  <c r="E74"/>
  <c r="E73" s="1"/>
  <c r="O66"/>
  <c r="O58" s="1"/>
  <c r="N66"/>
  <c r="N69" s="1"/>
  <c r="M66"/>
  <c r="M58" s="1"/>
  <c r="L66"/>
  <c r="K66"/>
  <c r="K58" s="1"/>
  <c r="J66"/>
  <c r="I66"/>
  <c r="I58" s="1"/>
  <c r="H66"/>
  <c r="G66"/>
  <c r="G58" s="1"/>
  <c r="F66"/>
  <c r="E66"/>
  <c r="E58" s="1"/>
  <c r="D66"/>
  <c r="C65"/>
  <c r="F141"/>
  <c r="G141"/>
  <c r="H141"/>
  <c r="I141"/>
  <c r="I134" s="1"/>
  <c r="J141"/>
  <c r="K141"/>
  <c r="L141"/>
  <c r="M141"/>
  <c r="M134" s="1"/>
  <c r="N141"/>
  <c r="O141"/>
  <c r="E141"/>
  <c r="D141"/>
  <c r="D134" s="1"/>
  <c r="C181"/>
  <c r="C191"/>
  <c r="C147"/>
  <c r="C16"/>
  <c r="C117"/>
  <c r="C72"/>
  <c r="C107"/>
  <c r="C197"/>
  <c r="E199" i="3" s="1"/>
  <c r="C196" i="7"/>
  <c r="E191" i="3" s="1"/>
  <c r="C195" i="7"/>
  <c r="E198" i="3" s="1"/>
  <c r="C194" i="7"/>
  <c r="E196" i="3" s="1"/>
  <c r="C193" i="7"/>
  <c r="E187" i="3" s="1"/>
  <c r="C192" i="7"/>
  <c r="C189"/>
  <c r="C188"/>
  <c r="C183"/>
  <c r="O182"/>
  <c r="N182"/>
  <c r="N179" s="1"/>
  <c r="M182"/>
  <c r="L182"/>
  <c r="L179" s="1"/>
  <c r="K182"/>
  <c r="J182"/>
  <c r="I182"/>
  <c r="H182"/>
  <c r="G182"/>
  <c r="F182"/>
  <c r="F179" s="1"/>
  <c r="E182"/>
  <c r="D182"/>
  <c r="D179" s="1"/>
  <c r="C180"/>
  <c r="C173"/>
  <c r="E147" i="3" s="1"/>
  <c r="F147" s="1"/>
  <c r="C172" i="7"/>
  <c r="C170"/>
  <c r="C169"/>
  <c r="N168"/>
  <c r="H168"/>
  <c r="O167"/>
  <c r="N167"/>
  <c r="M167"/>
  <c r="M165" s="1"/>
  <c r="L167"/>
  <c r="L165" s="1"/>
  <c r="K167"/>
  <c r="K165" s="1"/>
  <c r="J167"/>
  <c r="I167"/>
  <c r="I165" s="1"/>
  <c r="H167"/>
  <c r="H165" s="1"/>
  <c r="G167"/>
  <c r="G165" s="1"/>
  <c r="F167"/>
  <c r="F165" s="1"/>
  <c r="E167"/>
  <c r="E165" s="1"/>
  <c r="D167"/>
  <c r="D165" s="1"/>
  <c r="O166"/>
  <c r="O165" s="1"/>
  <c r="J166"/>
  <c r="J165" s="1"/>
  <c r="C154"/>
  <c r="C153"/>
  <c r="C159"/>
  <c r="C157"/>
  <c r="C155"/>
  <c r="C152"/>
  <c r="C151"/>
  <c r="C150"/>
  <c r="C158"/>
  <c r="C146"/>
  <c r="O143"/>
  <c r="J143"/>
  <c r="C140"/>
  <c r="C139"/>
  <c r="C138"/>
  <c r="C137"/>
  <c r="C136"/>
  <c r="C135"/>
  <c r="O132"/>
  <c r="N132"/>
  <c r="M132"/>
  <c r="L132"/>
  <c r="K132"/>
  <c r="J132"/>
  <c r="I132"/>
  <c r="H132"/>
  <c r="G132"/>
  <c r="F132"/>
  <c r="D132"/>
  <c r="C130"/>
  <c r="C123"/>
  <c r="E184" i="3" s="1"/>
  <c r="C122" i="7"/>
  <c r="E176" i="3" s="1"/>
  <c r="C121" i="7"/>
  <c r="E183" i="3" s="1"/>
  <c r="C120" i="7"/>
  <c r="E181" i="3" s="1"/>
  <c r="C119" i="7"/>
  <c r="E172" i="3" s="1"/>
  <c r="C118" i="7"/>
  <c r="C115"/>
  <c r="C114"/>
  <c r="C109"/>
  <c r="O108"/>
  <c r="N108"/>
  <c r="N105" s="1"/>
  <c r="M108"/>
  <c r="L108"/>
  <c r="L105" s="1"/>
  <c r="K108"/>
  <c r="J108"/>
  <c r="I108"/>
  <c r="H108"/>
  <c r="G108"/>
  <c r="F108"/>
  <c r="F105" s="1"/>
  <c r="E108"/>
  <c r="D108"/>
  <c r="D105" s="1"/>
  <c r="C106"/>
  <c r="C98"/>
  <c r="C96"/>
  <c r="C95"/>
  <c r="N94"/>
  <c r="H94"/>
  <c r="O93"/>
  <c r="N93"/>
  <c r="M93"/>
  <c r="M91" s="1"/>
  <c r="M103" s="1"/>
  <c r="L93"/>
  <c r="L91" s="1"/>
  <c r="L103" s="1"/>
  <c r="K93"/>
  <c r="K91" s="1"/>
  <c r="K103" s="1"/>
  <c r="J93"/>
  <c r="I93"/>
  <c r="I91" s="1"/>
  <c r="I103" s="1"/>
  <c r="H93"/>
  <c r="H91" s="1"/>
  <c r="H103" s="1"/>
  <c r="G93"/>
  <c r="G91" s="1"/>
  <c r="G103" s="1"/>
  <c r="F93"/>
  <c r="F91" s="1"/>
  <c r="F103" s="1"/>
  <c r="E93"/>
  <c r="E91" s="1"/>
  <c r="E103" s="1"/>
  <c r="D93"/>
  <c r="D91" s="1"/>
  <c r="D103" s="1"/>
  <c r="O92"/>
  <c r="O91" s="1"/>
  <c r="O103" s="1"/>
  <c r="J92"/>
  <c r="J91" s="1"/>
  <c r="J103" s="1"/>
  <c r="C90"/>
  <c r="C89"/>
  <c r="C78"/>
  <c r="C77"/>
  <c r="C85"/>
  <c r="C83"/>
  <c r="C81"/>
  <c r="C80"/>
  <c r="C79"/>
  <c r="C76"/>
  <c r="C75"/>
  <c r="C71"/>
  <c r="O69"/>
  <c r="K69"/>
  <c r="K67" s="1"/>
  <c r="G69"/>
  <c r="G67" s="1"/>
  <c r="O68"/>
  <c r="C64"/>
  <c r="C63"/>
  <c r="C62"/>
  <c r="C61"/>
  <c r="C60"/>
  <c r="C59"/>
  <c r="O56"/>
  <c r="N56"/>
  <c r="M56"/>
  <c r="L56"/>
  <c r="K56"/>
  <c r="J56"/>
  <c r="I56"/>
  <c r="H56"/>
  <c r="G56"/>
  <c r="F56"/>
  <c r="D56"/>
  <c r="E56"/>
  <c r="C54"/>
  <c r="O46"/>
  <c r="N46"/>
  <c r="M46"/>
  <c r="L46"/>
  <c r="K46"/>
  <c r="J46"/>
  <c r="I46"/>
  <c r="H46"/>
  <c r="G46"/>
  <c r="F46"/>
  <c r="E46"/>
  <c r="D46"/>
  <c r="C45"/>
  <c r="C44"/>
  <c r="C43"/>
  <c r="C42"/>
  <c r="O40"/>
  <c r="N40"/>
  <c r="M40"/>
  <c r="L40"/>
  <c r="K40"/>
  <c r="J40"/>
  <c r="I40"/>
  <c r="H40"/>
  <c r="G40"/>
  <c r="F40"/>
  <c r="E40"/>
  <c r="D40"/>
  <c r="C39"/>
  <c r="E169" i="3" s="1"/>
  <c r="E215" s="1"/>
  <c r="C38" i="7"/>
  <c r="E161" i="3" s="1"/>
  <c r="C37" i="7"/>
  <c r="E160" i="3" s="1"/>
  <c r="E206" s="1"/>
  <c r="C36" i="7"/>
  <c r="E156" i="3" s="1"/>
  <c r="E202" s="1"/>
  <c r="C35" i="7"/>
  <c r="C34"/>
  <c r="E159" i="3" s="1"/>
  <c r="E205" s="1"/>
  <c r="C33" i="7"/>
  <c r="C32"/>
  <c r="E167" i="3" s="1"/>
  <c r="E213" s="1"/>
  <c r="C31" i="7"/>
  <c r="E168" i="3" s="1"/>
  <c r="C30" i="7"/>
  <c r="E166" i="3" s="1"/>
  <c r="C29" i="7"/>
  <c r="E157" i="3" s="1"/>
  <c r="C28" i="7"/>
  <c r="O25"/>
  <c r="N25"/>
  <c r="M25"/>
  <c r="L25"/>
  <c r="K25"/>
  <c r="J25"/>
  <c r="I25"/>
  <c r="H25"/>
  <c r="G25"/>
  <c r="F25"/>
  <c r="E25"/>
  <c r="D25"/>
  <c r="C24"/>
  <c r="C23"/>
  <c r="O21"/>
  <c r="N21"/>
  <c r="M21"/>
  <c r="L21"/>
  <c r="K21"/>
  <c r="J21"/>
  <c r="I21"/>
  <c r="H21"/>
  <c r="G21"/>
  <c r="F21"/>
  <c r="E21"/>
  <c r="D21"/>
  <c r="C20"/>
  <c r="C19"/>
  <c r="C15"/>
  <c r="C14"/>
  <c r="O13"/>
  <c r="N13"/>
  <c r="N11" s="1"/>
  <c r="N17" s="1"/>
  <c r="M13"/>
  <c r="M11" s="1"/>
  <c r="M17" s="1"/>
  <c r="L13"/>
  <c r="L11" s="1"/>
  <c r="L17" s="1"/>
  <c r="K13"/>
  <c r="K11" s="1"/>
  <c r="K17" s="1"/>
  <c r="J13"/>
  <c r="I13"/>
  <c r="I11" s="1"/>
  <c r="I17" s="1"/>
  <c r="H13"/>
  <c r="H11" s="1"/>
  <c r="H17" s="1"/>
  <c r="G13"/>
  <c r="G11" s="1"/>
  <c r="G17" s="1"/>
  <c r="F13"/>
  <c r="F11" s="1"/>
  <c r="F17" s="1"/>
  <c r="E13"/>
  <c r="E11" s="1"/>
  <c r="E17" s="1"/>
  <c r="D13"/>
  <c r="D11" s="1"/>
  <c r="D17" s="1"/>
  <c r="O12"/>
  <c r="O11" s="1"/>
  <c r="O17" s="1"/>
  <c r="J12"/>
  <c r="J11" s="1"/>
  <c r="J17" s="1"/>
  <c r="C10"/>
  <c r="C7"/>
  <c r="C8"/>
  <c r="C6"/>
  <c r="E214" i="3" l="1"/>
  <c r="S214" s="1"/>
  <c r="E203"/>
  <c r="T220"/>
  <c r="S228"/>
  <c r="G149"/>
  <c r="E212"/>
  <c r="Q212" s="1"/>
  <c r="H215"/>
  <c r="L215"/>
  <c r="P215"/>
  <c r="T215"/>
  <c r="X215"/>
  <c r="AB215"/>
  <c r="I215"/>
  <c r="M215"/>
  <c r="Q215"/>
  <c r="U215"/>
  <c r="Y215"/>
  <c r="AC215"/>
  <c r="AG215"/>
  <c r="AK215"/>
  <c r="AO215"/>
  <c r="AS215"/>
  <c r="J215"/>
  <c r="N215"/>
  <c r="R215"/>
  <c r="V215"/>
  <c r="Z215"/>
  <c r="O215"/>
  <c r="AD215"/>
  <c r="AI215"/>
  <c r="AN215"/>
  <c r="S215"/>
  <c r="AE215"/>
  <c r="AJ215"/>
  <c r="AP215"/>
  <c r="F215"/>
  <c r="K215"/>
  <c r="AH215"/>
  <c r="G215"/>
  <c r="W215"/>
  <c r="AF215"/>
  <c r="AL215"/>
  <c r="AQ215"/>
  <c r="AA215"/>
  <c r="AM215"/>
  <c r="AR215"/>
  <c r="E158"/>
  <c r="C40" i="7"/>
  <c r="J213" i="3"/>
  <c r="N213"/>
  <c r="R213"/>
  <c r="V213"/>
  <c r="Z213"/>
  <c r="AD213"/>
  <c r="AH213"/>
  <c r="AL213"/>
  <c r="AP213"/>
  <c r="G213"/>
  <c r="K213"/>
  <c r="O213"/>
  <c r="S213"/>
  <c r="W213"/>
  <c r="AA213"/>
  <c r="AE213"/>
  <c r="AI213"/>
  <c r="AM213"/>
  <c r="AQ213"/>
  <c r="H213"/>
  <c r="L213"/>
  <c r="P213"/>
  <c r="T213"/>
  <c r="X213"/>
  <c r="AB213"/>
  <c r="AF213"/>
  <c r="AJ213"/>
  <c r="AN213"/>
  <c r="AR213"/>
  <c r="M213"/>
  <c r="AC213"/>
  <c r="AS213"/>
  <c r="F213"/>
  <c r="Q213"/>
  <c r="AG213"/>
  <c r="Y213"/>
  <c r="U213"/>
  <c r="AK213"/>
  <c r="I213"/>
  <c r="AO213"/>
  <c r="G202"/>
  <c r="K202"/>
  <c r="O202"/>
  <c r="S202"/>
  <c r="W202"/>
  <c r="AA202"/>
  <c r="AE202"/>
  <c r="AI202"/>
  <c r="AM202"/>
  <c r="AQ202"/>
  <c r="H202"/>
  <c r="L202"/>
  <c r="P202"/>
  <c r="T202"/>
  <c r="X202"/>
  <c r="AB202"/>
  <c r="AF202"/>
  <c r="AJ202"/>
  <c r="AN202"/>
  <c r="AR202"/>
  <c r="I202"/>
  <c r="M202"/>
  <c r="Q202"/>
  <c r="U202"/>
  <c r="Y202"/>
  <c r="AC202"/>
  <c r="AG202"/>
  <c r="AK202"/>
  <c r="AO202"/>
  <c r="AS202"/>
  <c r="N202"/>
  <c r="AD202"/>
  <c r="R202"/>
  <c r="AH202"/>
  <c r="V202"/>
  <c r="AL202"/>
  <c r="AP202"/>
  <c r="J202"/>
  <c r="F202"/>
  <c r="Z202"/>
  <c r="G214"/>
  <c r="W214"/>
  <c r="AM214"/>
  <c r="P214"/>
  <c r="AF214"/>
  <c r="F214"/>
  <c r="U214"/>
  <c r="AK214"/>
  <c r="AL214"/>
  <c r="R214"/>
  <c r="E173"/>
  <c r="E170" s="1"/>
  <c r="E165"/>
  <c r="E211" s="1"/>
  <c r="G206"/>
  <c r="K206"/>
  <c r="O206"/>
  <c r="S206"/>
  <c r="W206"/>
  <c r="AA206"/>
  <c r="AE206"/>
  <c r="AI206"/>
  <c r="AM206"/>
  <c r="AQ206"/>
  <c r="H206"/>
  <c r="L206"/>
  <c r="P206"/>
  <c r="T206"/>
  <c r="X206"/>
  <c r="AB206"/>
  <c r="AF206"/>
  <c r="AJ206"/>
  <c r="AN206"/>
  <c r="AR206"/>
  <c r="I206"/>
  <c r="M206"/>
  <c r="Q206"/>
  <c r="U206"/>
  <c r="Y206"/>
  <c r="AC206"/>
  <c r="AG206"/>
  <c r="AK206"/>
  <c r="AO206"/>
  <c r="AS206"/>
  <c r="R206"/>
  <c r="AH206"/>
  <c r="V206"/>
  <c r="AL206"/>
  <c r="F206"/>
  <c r="J206"/>
  <c r="Z206"/>
  <c r="AP206"/>
  <c r="N206"/>
  <c r="AD206"/>
  <c r="J205"/>
  <c r="N205"/>
  <c r="R205"/>
  <c r="V205"/>
  <c r="Z205"/>
  <c r="AD205"/>
  <c r="AH205"/>
  <c r="AL205"/>
  <c r="AP205"/>
  <c r="G205"/>
  <c r="K205"/>
  <c r="O205"/>
  <c r="S205"/>
  <c r="W205"/>
  <c r="AA205"/>
  <c r="AE205"/>
  <c r="AI205"/>
  <c r="AM205"/>
  <c r="AQ205"/>
  <c r="H205"/>
  <c r="L205"/>
  <c r="P205"/>
  <c r="T205"/>
  <c r="X205"/>
  <c r="AB205"/>
  <c r="AF205"/>
  <c r="AJ205"/>
  <c r="AN205"/>
  <c r="AR205"/>
  <c r="I205"/>
  <c r="Y205"/>
  <c r="AO205"/>
  <c r="M205"/>
  <c r="AC205"/>
  <c r="AS205"/>
  <c r="Q205"/>
  <c r="AG205"/>
  <c r="U205"/>
  <c r="F205"/>
  <c r="AK205"/>
  <c r="E207"/>
  <c r="E188"/>
  <c r="E185" s="1"/>
  <c r="G148"/>
  <c r="C97" i="7"/>
  <c r="E146" i="3"/>
  <c r="G147"/>
  <c r="H149"/>
  <c r="C156" i="7"/>
  <c r="E141" i="3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C82" i="7"/>
  <c r="E140" i="3" s="1"/>
  <c r="G86" i="7"/>
  <c r="K86"/>
  <c r="I144"/>
  <c r="I142" s="1"/>
  <c r="I160" s="1"/>
  <c r="D144"/>
  <c r="D142" s="1"/>
  <c r="D160" s="1"/>
  <c r="E69"/>
  <c r="E67" s="1"/>
  <c r="E86" s="1"/>
  <c r="M69"/>
  <c r="M67" s="1"/>
  <c r="M86" s="1"/>
  <c r="O67"/>
  <c r="O86" s="1"/>
  <c r="N91"/>
  <c r="N103" s="1"/>
  <c r="M144"/>
  <c r="M142" s="1"/>
  <c r="M160" s="1"/>
  <c r="I69"/>
  <c r="I67" s="1"/>
  <c r="I86" s="1"/>
  <c r="E112"/>
  <c r="E110" s="1"/>
  <c r="E105"/>
  <c r="I112"/>
  <c r="I110" s="1"/>
  <c r="I105"/>
  <c r="M112"/>
  <c r="M110" s="1"/>
  <c r="M105"/>
  <c r="E186"/>
  <c r="E184" s="1"/>
  <c r="E179"/>
  <c r="I186"/>
  <c r="I184" s="1"/>
  <c r="I179"/>
  <c r="M186"/>
  <c r="M184" s="1"/>
  <c r="M179"/>
  <c r="O144"/>
  <c r="O134"/>
  <c r="K144"/>
  <c r="K142" s="1"/>
  <c r="K134"/>
  <c r="G144"/>
  <c r="G142" s="1"/>
  <c r="G134"/>
  <c r="C149"/>
  <c r="C148" s="1"/>
  <c r="E137" i="3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H113" i="7"/>
  <c r="H105"/>
  <c r="H187"/>
  <c r="H179"/>
  <c r="E144"/>
  <c r="E142" s="1"/>
  <c r="E134"/>
  <c r="L144"/>
  <c r="L142" s="1"/>
  <c r="L134"/>
  <c r="H145"/>
  <c r="H134"/>
  <c r="D69"/>
  <c r="D67" s="1"/>
  <c r="D58"/>
  <c r="H70"/>
  <c r="H58"/>
  <c r="L69"/>
  <c r="L67" s="1"/>
  <c r="L58"/>
  <c r="C74"/>
  <c r="O142"/>
  <c r="G112"/>
  <c r="G110" s="1"/>
  <c r="G105"/>
  <c r="K112"/>
  <c r="K110" s="1"/>
  <c r="K105"/>
  <c r="O111"/>
  <c r="O105"/>
  <c r="G186"/>
  <c r="G184" s="1"/>
  <c r="G179"/>
  <c r="K186"/>
  <c r="K184" s="1"/>
  <c r="K179"/>
  <c r="O185"/>
  <c r="O179"/>
  <c r="N165"/>
  <c r="N177" s="1"/>
  <c r="S88"/>
  <c r="W88"/>
  <c r="AC88"/>
  <c r="AI88"/>
  <c r="V88"/>
  <c r="AB88"/>
  <c r="AH88"/>
  <c r="U88"/>
  <c r="AA88"/>
  <c r="AG88"/>
  <c r="P88"/>
  <c r="T88"/>
  <c r="Z88"/>
  <c r="AD88"/>
  <c r="AJ88"/>
  <c r="J111"/>
  <c r="J105"/>
  <c r="J185"/>
  <c r="J179"/>
  <c r="N145"/>
  <c r="N134"/>
  <c r="J144"/>
  <c r="J142" s="1"/>
  <c r="J134"/>
  <c r="F144"/>
  <c r="F142" s="1"/>
  <c r="F134"/>
  <c r="F69"/>
  <c r="F67" s="1"/>
  <c r="F58"/>
  <c r="J69"/>
  <c r="J58"/>
  <c r="N70"/>
  <c r="N67" s="1"/>
  <c r="N58"/>
  <c r="O177"/>
  <c r="G177"/>
  <c r="K177"/>
  <c r="J177"/>
  <c r="F177"/>
  <c r="E177"/>
  <c r="I177"/>
  <c r="M177"/>
  <c r="D177"/>
  <c r="H177"/>
  <c r="L177"/>
  <c r="C171"/>
  <c r="J68"/>
  <c r="J67" s="1"/>
  <c r="N144"/>
  <c r="C88"/>
  <c r="C116"/>
  <c r="H144"/>
  <c r="C190"/>
  <c r="C5"/>
  <c r="AK162"/>
  <c r="C66"/>
  <c r="AG58" s="1"/>
  <c r="U5"/>
  <c r="AA5"/>
  <c r="AG5"/>
  <c r="P5"/>
  <c r="T5"/>
  <c r="Z5"/>
  <c r="AD5"/>
  <c r="AJ5"/>
  <c r="S5"/>
  <c r="W5"/>
  <c r="AC5"/>
  <c r="AI5"/>
  <c r="V5"/>
  <c r="AB5"/>
  <c r="AH5"/>
  <c r="H69"/>
  <c r="C141"/>
  <c r="AB134" s="1"/>
  <c r="G47"/>
  <c r="K47"/>
  <c r="C166"/>
  <c r="D47"/>
  <c r="H47"/>
  <c r="L47"/>
  <c r="C21"/>
  <c r="E164" i="3" s="1"/>
  <c r="E210" s="1"/>
  <c r="C92" i="7"/>
  <c r="F47"/>
  <c r="N47"/>
  <c r="M47"/>
  <c r="J47"/>
  <c r="E47"/>
  <c r="I47"/>
  <c r="C25"/>
  <c r="E163" i="3" s="1"/>
  <c r="E209" s="1"/>
  <c r="C94" i="7"/>
  <c r="C168"/>
  <c r="O112"/>
  <c r="O186"/>
  <c r="C12"/>
  <c r="C46"/>
  <c r="C108"/>
  <c r="AG105" s="1"/>
  <c r="C182"/>
  <c r="U179" s="1"/>
  <c r="O47"/>
  <c r="C93"/>
  <c r="D112"/>
  <c r="D110" s="1"/>
  <c r="D124" s="1"/>
  <c r="H112"/>
  <c r="H110" s="1"/>
  <c r="L112"/>
  <c r="L110" s="1"/>
  <c r="L124" s="1"/>
  <c r="C167"/>
  <c r="D186"/>
  <c r="D184" s="1"/>
  <c r="D198" s="1"/>
  <c r="H186"/>
  <c r="H184" s="1"/>
  <c r="L186"/>
  <c r="L184" s="1"/>
  <c r="L198" s="1"/>
  <c r="C143"/>
  <c r="C13"/>
  <c r="C55"/>
  <c r="C56" s="1"/>
  <c r="F112"/>
  <c r="F110" s="1"/>
  <c r="F124" s="1"/>
  <c r="J112"/>
  <c r="N112"/>
  <c r="N113"/>
  <c r="C113" s="1"/>
  <c r="C132"/>
  <c r="E132"/>
  <c r="F186"/>
  <c r="J186"/>
  <c r="N186"/>
  <c r="N187"/>
  <c r="N214" i="3" l="1"/>
  <c r="J214"/>
  <c r="AO214"/>
  <c r="Y214"/>
  <c r="I214"/>
  <c r="AJ214"/>
  <c r="T214"/>
  <c r="AQ214"/>
  <c r="AA214"/>
  <c r="K214"/>
  <c r="AD214"/>
  <c r="Z214"/>
  <c r="AS214"/>
  <c r="AC214"/>
  <c r="M214"/>
  <c r="AN214"/>
  <c r="X214"/>
  <c r="H214"/>
  <c r="AE214"/>
  <c r="O214"/>
  <c r="AH214"/>
  <c r="AP214"/>
  <c r="V214"/>
  <c r="AG214"/>
  <c r="Q214"/>
  <c r="AR214"/>
  <c r="AB214"/>
  <c r="L214"/>
  <c r="AI214"/>
  <c r="AD212"/>
  <c r="H212"/>
  <c r="E204"/>
  <c r="F212"/>
  <c r="AK212"/>
  <c r="W212"/>
  <c r="L212"/>
  <c r="G212"/>
  <c r="U212"/>
  <c r="AM212"/>
  <c r="N212"/>
  <c r="U220"/>
  <c r="T228"/>
  <c r="H148"/>
  <c r="AB212"/>
  <c r="X212"/>
  <c r="AQ212"/>
  <c r="AA212"/>
  <c r="K212"/>
  <c r="AH212"/>
  <c r="R212"/>
  <c r="AO212"/>
  <c r="Y212"/>
  <c r="I212"/>
  <c r="AR212"/>
  <c r="AN212"/>
  <c r="T212"/>
  <c r="AE212"/>
  <c r="O212"/>
  <c r="AL212"/>
  <c r="V212"/>
  <c r="AS212"/>
  <c r="AC212"/>
  <c r="M212"/>
  <c r="P212"/>
  <c r="AF212"/>
  <c r="AJ212"/>
  <c r="AI212"/>
  <c r="S212"/>
  <c r="AP212"/>
  <c r="Z212"/>
  <c r="J212"/>
  <c r="AG212"/>
  <c r="C187" i="7"/>
  <c r="H211" i="3"/>
  <c r="L211"/>
  <c r="P211"/>
  <c r="T211"/>
  <c r="X211"/>
  <c r="AB211"/>
  <c r="AF211"/>
  <c r="AJ211"/>
  <c r="AN211"/>
  <c r="AR211"/>
  <c r="I211"/>
  <c r="M211"/>
  <c r="Q211"/>
  <c r="U211"/>
  <c r="Y211"/>
  <c r="AC211"/>
  <c r="AG211"/>
  <c r="AK211"/>
  <c r="AO211"/>
  <c r="AS211"/>
  <c r="J211"/>
  <c r="N211"/>
  <c r="R211"/>
  <c r="V211"/>
  <c r="Z211"/>
  <c r="AD211"/>
  <c r="AH211"/>
  <c r="AL211"/>
  <c r="AP211"/>
  <c r="K211"/>
  <c r="AA211"/>
  <c r="AQ211"/>
  <c r="O211"/>
  <c r="AE211"/>
  <c r="G211"/>
  <c r="AM211"/>
  <c r="S211"/>
  <c r="AI211"/>
  <c r="F211"/>
  <c r="W211"/>
  <c r="G210"/>
  <c r="K210"/>
  <c r="O210"/>
  <c r="S210"/>
  <c r="W210"/>
  <c r="AA210"/>
  <c r="AE210"/>
  <c r="AI210"/>
  <c r="AM210"/>
  <c r="AQ210"/>
  <c r="H210"/>
  <c r="L210"/>
  <c r="P210"/>
  <c r="T210"/>
  <c r="X210"/>
  <c r="AB210"/>
  <c r="AF210"/>
  <c r="AJ210"/>
  <c r="AN210"/>
  <c r="AR210"/>
  <c r="F210"/>
  <c r="I210"/>
  <c r="M210"/>
  <c r="Q210"/>
  <c r="U210"/>
  <c r="Y210"/>
  <c r="AC210"/>
  <c r="AG210"/>
  <c r="AK210"/>
  <c r="AO210"/>
  <c r="AS210"/>
  <c r="R210"/>
  <c r="AH210"/>
  <c r="V210"/>
  <c r="AL210"/>
  <c r="N210"/>
  <c r="J210"/>
  <c r="Z210"/>
  <c r="AP210"/>
  <c r="AD210"/>
  <c r="F160" i="7"/>
  <c r="L160"/>
  <c r="L199" s="1"/>
  <c r="H207" i="3"/>
  <c r="L207"/>
  <c r="P207"/>
  <c r="T207"/>
  <c r="X207"/>
  <c r="AB207"/>
  <c r="AF207"/>
  <c r="AJ207"/>
  <c r="AN207"/>
  <c r="AR207"/>
  <c r="I207"/>
  <c r="M207"/>
  <c r="Q207"/>
  <c r="U207"/>
  <c r="Y207"/>
  <c r="AC207"/>
  <c r="J207"/>
  <c r="N207"/>
  <c r="R207"/>
  <c r="V207"/>
  <c r="Z207"/>
  <c r="AD207"/>
  <c r="AH207"/>
  <c r="AL207"/>
  <c r="AP207"/>
  <c r="K207"/>
  <c r="AA207"/>
  <c r="AK207"/>
  <c r="AS207"/>
  <c r="O207"/>
  <c r="AE207"/>
  <c r="AM207"/>
  <c r="S207"/>
  <c r="AG207"/>
  <c r="AO207"/>
  <c r="AI207"/>
  <c r="AQ207"/>
  <c r="W207"/>
  <c r="F207"/>
  <c r="G207"/>
  <c r="E155"/>
  <c r="H147"/>
  <c r="F146"/>
  <c r="E151"/>
  <c r="F140"/>
  <c r="E142"/>
  <c r="I149"/>
  <c r="K160" i="7"/>
  <c r="J160"/>
  <c r="E160"/>
  <c r="G160"/>
  <c r="O160"/>
  <c r="K124"/>
  <c r="N86"/>
  <c r="F86"/>
  <c r="L86"/>
  <c r="D86"/>
  <c r="C73"/>
  <c r="E136" i="3" s="1"/>
  <c r="J86" i="7"/>
  <c r="N142"/>
  <c r="N160" s="1"/>
  <c r="C68"/>
  <c r="C111"/>
  <c r="AI58"/>
  <c r="AJ179"/>
  <c r="AJ134"/>
  <c r="AB58"/>
  <c r="O184"/>
  <c r="O198" s="1"/>
  <c r="G124"/>
  <c r="C70"/>
  <c r="C145"/>
  <c r="P58"/>
  <c r="AH179"/>
  <c r="AH134"/>
  <c r="AJ58"/>
  <c r="AI179"/>
  <c r="S134"/>
  <c r="N184"/>
  <c r="N198" s="1"/>
  <c r="H142"/>
  <c r="H160" s="1"/>
  <c r="J184"/>
  <c r="J198" s="1"/>
  <c r="V58"/>
  <c r="S58"/>
  <c r="T58"/>
  <c r="U58"/>
  <c r="G198"/>
  <c r="AD179"/>
  <c r="AC179"/>
  <c r="AB179"/>
  <c r="AG179"/>
  <c r="H124"/>
  <c r="M198"/>
  <c r="M199" s="1"/>
  <c r="E198"/>
  <c r="W134"/>
  <c r="T134"/>
  <c r="U134"/>
  <c r="M124"/>
  <c r="E124"/>
  <c r="C69"/>
  <c r="H67"/>
  <c r="H86" s="1"/>
  <c r="W58"/>
  <c r="Z58"/>
  <c r="AA58"/>
  <c r="Z179"/>
  <c r="W179"/>
  <c r="V179"/>
  <c r="AA179"/>
  <c r="AC134"/>
  <c r="Z134"/>
  <c r="AA134"/>
  <c r="V134"/>
  <c r="F184"/>
  <c r="F198" s="1"/>
  <c r="C185"/>
  <c r="N110"/>
  <c r="N124" s="1"/>
  <c r="J110"/>
  <c r="J124" s="1"/>
  <c r="AH58"/>
  <c r="AC58"/>
  <c r="AD58"/>
  <c r="K198"/>
  <c r="T179"/>
  <c r="S179"/>
  <c r="P179"/>
  <c r="O110"/>
  <c r="O124" s="1"/>
  <c r="H198"/>
  <c r="I198"/>
  <c r="I199" s="1"/>
  <c r="AI134"/>
  <c r="AD134"/>
  <c r="AG134"/>
  <c r="I124"/>
  <c r="D199"/>
  <c r="AK88"/>
  <c r="C144"/>
  <c r="C58"/>
  <c r="AB105"/>
  <c r="S105"/>
  <c r="Z105"/>
  <c r="P105"/>
  <c r="P134"/>
  <c r="W105"/>
  <c r="AD105"/>
  <c r="V105"/>
  <c r="U105"/>
  <c r="C179"/>
  <c r="C134"/>
  <c r="C165"/>
  <c r="AC105"/>
  <c r="AJ105"/>
  <c r="AH105"/>
  <c r="AA105"/>
  <c r="C91"/>
  <c r="AI105"/>
  <c r="C105"/>
  <c r="T105"/>
  <c r="C11"/>
  <c r="AK5"/>
  <c r="C186"/>
  <c r="C112"/>
  <c r="I148" i="3" l="1"/>
  <c r="V220"/>
  <c r="U228"/>
  <c r="O199" i="7"/>
  <c r="AG207"/>
  <c r="J209" i="3"/>
  <c r="N209"/>
  <c r="R209"/>
  <c r="V209"/>
  <c r="Z209"/>
  <c r="AD209"/>
  <c r="H209"/>
  <c r="L209"/>
  <c r="P209"/>
  <c r="T209"/>
  <c r="X209"/>
  <c r="G209"/>
  <c r="O209"/>
  <c r="W209"/>
  <c r="AC209"/>
  <c r="AH209"/>
  <c r="AL209"/>
  <c r="AP209"/>
  <c r="I209"/>
  <c r="Q209"/>
  <c r="Y209"/>
  <c r="AE209"/>
  <c r="AI209"/>
  <c r="AM209"/>
  <c r="AQ209"/>
  <c r="K209"/>
  <c r="S209"/>
  <c r="AA209"/>
  <c r="AF209"/>
  <c r="AJ209"/>
  <c r="AN209"/>
  <c r="AR209"/>
  <c r="U209"/>
  <c r="AO209"/>
  <c r="AB209"/>
  <c r="AS209"/>
  <c r="F209"/>
  <c r="M209"/>
  <c r="AG209"/>
  <c r="AK209"/>
  <c r="I204"/>
  <c r="M204"/>
  <c r="Q204"/>
  <c r="U204"/>
  <c r="Y204"/>
  <c r="AC204"/>
  <c r="AG204"/>
  <c r="AK204"/>
  <c r="AO204"/>
  <c r="AS204"/>
  <c r="J204"/>
  <c r="N204"/>
  <c r="R204"/>
  <c r="V204"/>
  <c r="Z204"/>
  <c r="AD204"/>
  <c r="AH204"/>
  <c r="AL204"/>
  <c r="AP204"/>
  <c r="G204"/>
  <c r="K204"/>
  <c r="O204"/>
  <c r="S204"/>
  <c r="W204"/>
  <c r="AA204"/>
  <c r="AE204"/>
  <c r="AI204"/>
  <c r="AM204"/>
  <c r="AQ204"/>
  <c r="P204"/>
  <c r="AF204"/>
  <c r="T204"/>
  <c r="AJ204"/>
  <c r="H204"/>
  <c r="X204"/>
  <c r="AN204"/>
  <c r="AB204"/>
  <c r="AR204"/>
  <c r="F204"/>
  <c r="L204"/>
  <c r="H203"/>
  <c r="L203"/>
  <c r="P203"/>
  <c r="T203"/>
  <c r="X203"/>
  <c r="AB203"/>
  <c r="AF203"/>
  <c r="AJ203"/>
  <c r="AN203"/>
  <c r="AR203"/>
  <c r="I203"/>
  <c r="M203"/>
  <c r="Q203"/>
  <c r="U203"/>
  <c r="Y203"/>
  <c r="AC203"/>
  <c r="AG203"/>
  <c r="AK203"/>
  <c r="AO203"/>
  <c r="AS203"/>
  <c r="J203"/>
  <c r="N203"/>
  <c r="R203"/>
  <c r="V203"/>
  <c r="Z203"/>
  <c r="AD203"/>
  <c r="AH203"/>
  <c r="AL203"/>
  <c r="AP203"/>
  <c r="G203"/>
  <c r="W203"/>
  <c r="AM203"/>
  <c r="AM216" s="1"/>
  <c r="K203"/>
  <c r="AA203"/>
  <c r="AQ203"/>
  <c r="O203"/>
  <c r="AE203"/>
  <c r="F203"/>
  <c r="S203"/>
  <c r="AI203"/>
  <c r="E216"/>
  <c r="G199" i="7"/>
  <c r="F142" i="3"/>
  <c r="G140"/>
  <c r="I147"/>
  <c r="F136"/>
  <c r="E138"/>
  <c r="J149"/>
  <c r="F151"/>
  <c r="G146"/>
  <c r="J199" i="7"/>
  <c r="P207"/>
  <c r="C202"/>
  <c r="AB207"/>
  <c r="AI207"/>
  <c r="AA207"/>
  <c r="U207"/>
  <c r="AH207"/>
  <c r="V207"/>
  <c r="AJ207"/>
  <c r="T207"/>
  <c r="AD207"/>
  <c r="Z207"/>
  <c r="AC207"/>
  <c r="W207"/>
  <c r="E199"/>
  <c r="S207"/>
  <c r="N199"/>
  <c r="F199"/>
  <c r="H199"/>
  <c r="C67"/>
  <c r="T67" s="1"/>
  <c r="V165"/>
  <c r="AB165"/>
  <c r="AH165"/>
  <c r="U165"/>
  <c r="AA165"/>
  <c r="AG165"/>
  <c r="P165"/>
  <c r="T165"/>
  <c r="Z165"/>
  <c r="AD165"/>
  <c r="AJ165"/>
  <c r="S165"/>
  <c r="W165"/>
  <c r="AC165"/>
  <c r="AI165"/>
  <c r="V91"/>
  <c r="AB91"/>
  <c r="AH91"/>
  <c r="U91"/>
  <c r="AA91"/>
  <c r="AG91"/>
  <c r="P91"/>
  <c r="T91"/>
  <c r="Z91"/>
  <c r="AD91"/>
  <c r="AJ91"/>
  <c r="S91"/>
  <c r="W91"/>
  <c r="AC91"/>
  <c r="AI91"/>
  <c r="K199"/>
  <c r="AI11"/>
  <c r="T11"/>
  <c r="Z11"/>
  <c r="AD11"/>
  <c r="AH11"/>
  <c r="S11"/>
  <c r="W11"/>
  <c r="AC11"/>
  <c r="AG11"/>
  <c r="P11"/>
  <c r="V11"/>
  <c r="AB11"/>
  <c r="AJ11"/>
  <c r="U11"/>
  <c r="AA11"/>
  <c r="AK58"/>
  <c r="C177"/>
  <c r="C103"/>
  <c r="C142"/>
  <c r="V142" s="1"/>
  <c r="C184"/>
  <c r="P184" s="1"/>
  <c r="AK179"/>
  <c r="C110"/>
  <c r="AK134"/>
  <c r="C17"/>
  <c r="C47" s="1"/>
  <c r="AK105"/>
  <c r="G10" i="3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G19"/>
  <c r="G92" s="1"/>
  <c r="G122" s="1"/>
  <c r="G17"/>
  <c r="G9"/>
  <c r="H9" s="1"/>
  <c r="I9" s="1"/>
  <c r="J9" s="1"/>
  <c r="G6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G12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O43"/>
  <c r="N43"/>
  <c r="M43"/>
  <c r="L43"/>
  <c r="K43"/>
  <c r="J43"/>
  <c r="I43"/>
  <c r="H43"/>
  <c r="G43"/>
  <c r="F43"/>
  <c r="J47"/>
  <c r="I47"/>
  <c r="H47"/>
  <c r="G47"/>
  <c r="F47"/>
  <c r="I8" i="1"/>
  <c r="I7" s="1"/>
  <c r="I11"/>
  <c r="I16"/>
  <c r="I20"/>
  <c r="I28"/>
  <c r="I40"/>
  <c r="I45"/>
  <c r="J148" i="3" l="1"/>
  <c r="H17"/>
  <c r="G90"/>
  <c r="G120" s="1"/>
  <c r="K9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W220"/>
  <c r="V228"/>
  <c r="S216"/>
  <c r="F216"/>
  <c r="AB216"/>
  <c r="K216"/>
  <c r="AI216"/>
  <c r="O216"/>
  <c r="AL216"/>
  <c r="V216"/>
  <c r="AS216"/>
  <c r="AC216"/>
  <c r="M216"/>
  <c r="AJ216"/>
  <c r="T216"/>
  <c r="AE216"/>
  <c r="AQ216"/>
  <c r="R216"/>
  <c r="AO216"/>
  <c r="Y216"/>
  <c r="I216"/>
  <c r="AF216"/>
  <c r="P216"/>
  <c r="W216"/>
  <c r="AH216"/>
  <c r="AA216"/>
  <c r="G216"/>
  <c r="AD216"/>
  <c r="N216"/>
  <c r="AK216"/>
  <c r="U216"/>
  <c r="AR216"/>
  <c r="L216"/>
  <c r="AP216"/>
  <c r="Z216"/>
  <c r="J216"/>
  <c r="AG216"/>
  <c r="Q216"/>
  <c r="AN216"/>
  <c r="X216"/>
  <c r="H216"/>
  <c r="C160" i="7"/>
  <c r="G151" i="3"/>
  <c r="H146"/>
  <c r="K149"/>
  <c r="G142"/>
  <c r="H140"/>
  <c r="G136"/>
  <c r="F138"/>
  <c r="K148"/>
  <c r="J147"/>
  <c r="C86" i="7"/>
  <c r="AB67"/>
  <c r="Z67"/>
  <c r="C203"/>
  <c r="AH67"/>
  <c r="AD67"/>
  <c r="P67"/>
  <c r="AC67"/>
  <c r="AG67"/>
  <c r="W67"/>
  <c r="F96" i="3"/>
  <c r="E96"/>
  <c r="U67" i="7"/>
  <c r="AI67"/>
  <c r="AJ67"/>
  <c r="AA67"/>
  <c r="V67"/>
  <c r="S67"/>
  <c r="AC184"/>
  <c r="S184"/>
  <c r="AG184"/>
  <c r="U184"/>
  <c r="AI184"/>
  <c r="W184"/>
  <c r="AA184"/>
  <c r="AH184"/>
  <c r="AJ184"/>
  <c r="Z184"/>
  <c r="AK91"/>
  <c r="AD184"/>
  <c r="S142"/>
  <c r="AD142"/>
  <c r="AJ142"/>
  <c r="W142"/>
  <c r="AI142"/>
  <c r="U142"/>
  <c r="AH142"/>
  <c r="T142"/>
  <c r="AG142"/>
  <c r="P142"/>
  <c r="AB142"/>
  <c r="AB184"/>
  <c r="T184"/>
  <c r="V110"/>
  <c r="AB110"/>
  <c r="AH110"/>
  <c r="U110"/>
  <c r="AA110"/>
  <c r="AG110"/>
  <c r="P110"/>
  <c r="T110"/>
  <c r="Z110"/>
  <c r="AD110"/>
  <c r="AJ110"/>
  <c r="S110"/>
  <c r="W110"/>
  <c r="AC110"/>
  <c r="AI110"/>
  <c r="AK165"/>
  <c r="AA142"/>
  <c r="AC142"/>
  <c r="Z142"/>
  <c r="V184"/>
  <c r="AK11"/>
  <c r="C198"/>
  <c r="C124"/>
  <c r="H19" i="3"/>
  <c r="H92" s="1"/>
  <c r="H122" s="1"/>
  <c r="I39" i="1"/>
  <c r="I15"/>
  <c r="I50" s="1"/>
  <c r="B8" i="2"/>
  <c r="B4"/>
  <c r="B47" i="4"/>
  <c r="B46"/>
  <c r="B45"/>
  <c r="B44"/>
  <c r="B43"/>
  <c r="B42"/>
  <c r="B41"/>
  <c r="B40"/>
  <c r="B39"/>
  <c r="B38"/>
  <c r="D48"/>
  <c r="B37"/>
  <c r="B48" s="1"/>
  <c r="C48" s="1"/>
  <c r="G21" i="3"/>
  <c r="G95" s="1"/>
  <c r="G18"/>
  <c r="G91" s="1"/>
  <c r="G121" s="1"/>
  <c r="G15"/>
  <c r="G14"/>
  <c r="H14" s="1"/>
  <c r="I14" s="1"/>
  <c r="G8"/>
  <c r="G125" l="1"/>
  <c r="G126" s="1"/>
  <c r="F230"/>
  <c r="I17"/>
  <c r="H90"/>
  <c r="H120" s="1"/>
  <c r="W228"/>
  <c r="X220"/>
  <c r="F126"/>
  <c r="C3" i="2"/>
  <c r="H136" i="3"/>
  <c r="G138"/>
  <c r="K147"/>
  <c r="L149"/>
  <c r="I146"/>
  <c r="H151"/>
  <c r="L148"/>
  <c r="H142"/>
  <c r="I140"/>
  <c r="P208" i="7"/>
  <c r="V208"/>
  <c r="AH208"/>
  <c r="AB208"/>
  <c r="S208"/>
  <c r="P219"/>
  <c r="T208"/>
  <c r="U208"/>
  <c r="AG208"/>
  <c r="AC208"/>
  <c r="W208"/>
  <c r="Z208"/>
  <c r="AA208"/>
  <c r="AJ208"/>
  <c r="AD208"/>
  <c r="AI208"/>
  <c r="G96" i="3"/>
  <c r="F123"/>
  <c r="F93"/>
  <c r="E48" i="4"/>
  <c r="E49"/>
  <c r="AK184" i="7"/>
  <c r="AK110"/>
  <c r="AK142"/>
  <c r="AK67"/>
  <c r="C199"/>
  <c r="E6" i="3"/>
  <c r="C27" s="1"/>
  <c r="E5"/>
  <c r="C26" s="1"/>
  <c r="E7"/>
  <c r="H28" s="1"/>
  <c r="E8"/>
  <c r="C2" i="2"/>
  <c r="I19" i="3"/>
  <c r="I92" s="1"/>
  <c r="I122" s="1"/>
  <c r="H18"/>
  <c r="H91" s="1"/>
  <c r="H121" s="1"/>
  <c r="H15"/>
  <c r="H8"/>
  <c r="I8" s="1"/>
  <c r="E39" i="4"/>
  <c r="E41"/>
  <c r="E43"/>
  <c r="E45"/>
  <c r="E47"/>
  <c r="C39"/>
  <c r="C41"/>
  <c r="C43"/>
  <c r="C45"/>
  <c r="C47"/>
  <c r="E38"/>
  <c r="E40"/>
  <c r="E42"/>
  <c r="E44"/>
  <c r="E46"/>
  <c r="C38"/>
  <c r="C40"/>
  <c r="C42"/>
  <c r="C44"/>
  <c r="C46"/>
  <c r="E37"/>
  <c r="C37"/>
  <c r="J14" i="3"/>
  <c r="K14" s="1"/>
  <c r="L14" s="1"/>
  <c r="H21"/>
  <c r="H95" s="1"/>
  <c r="H125" l="1"/>
  <c r="G230"/>
  <c r="D230"/>
  <c r="F236"/>
  <c r="J17"/>
  <c r="I90"/>
  <c r="I120" s="1"/>
  <c r="X228"/>
  <c r="Y220"/>
  <c r="I27"/>
  <c r="I60" s="1"/>
  <c r="F127"/>
  <c r="S219" i="7"/>
  <c r="E14" i="3"/>
  <c r="C36" s="1"/>
  <c r="M148"/>
  <c r="H138"/>
  <c r="I136"/>
  <c r="L147"/>
  <c r="I151"/>
  <c r="J146"/>
  <c r="J140"/>
  <c r="I142"/>
  <c r="M149"/>
  <c r="H26"/>
  <c r="F27"/>
  <c r="F60" s="1"/>
  <c r="H27"/>
  <c r="H60" s="1"/>
  <c r="G27"/>
  <c r="G60" s="1"/>
  <c r="T219" i="7"/>
  <c r="F97" i="3"/>
  <c r="Q26"/>
  <c r="Q28"/>
  <c r="H126"/>
  <c r="H96"/>
  <c r="E93"/>
  <c r="E97" s="1"/>
  <c r="G123"/>
  <c r="G127" s="1"/>
  <c r="G93"/>
  <c r="H123"/>
  <c r="H93"/>
  <c r="G26"/>
  <c r="G59" s="1"/>
  <c r="L26"/>
  <c r="F26"/>
  <c r="K26"/>
  <c r="P26"/>
  <c r="I26"/>
  <c r="N26"/>
  <c r="J26"/>
  <c r="O26"/>
  <c r="M26"/>
  <c r="I105"/>
  <c r="C29"/>
  <c r="F29"/>
  <c r="G29"/>
  <c r="C28"/>
  <c r="G28"/>
  <c r="F28"/>
  <c r="J19"/>
  <c r="J92" s="1"/>
  <c r="J122" s="1"/>
  <c r="I18"/>
  <c r="I91" s="1"/>
  <c r="I121" s="1"/>
  <c r="H29"/>
  <c r="H62" s="1"/>
  <c r="R28"/>
  <c r="I29"/>
  <c r="I62" s="1"/>
  <c r="J8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R26"/>
  <c r="J27"/>
  <c r="J60" s="1"/>
  <c r="I15"/>
  <c r="J15" s="1"/>
  <c r="I21"/>
  <c r="I95" s="1"/>
  <c r="M14"/>
  <c r="S43" l="1"/>
  <c r="I125"/>
  <c r="H105"/>
  <c r="G74"/>
  <c r="G104"/>
  <c r="I75"/>
  <c r="H230"/>
  <c r="K17"/>
  <c r="J90"/>
  <c r="J120" s="1"/>
  <c r="F36"/>
  <c r="F69" s="1"/>
  <c r="F115" s="1"/>
  <c r="L36"/>
  <c r="K36"/>
  <c r="H36"/>
  <c r="H69" s="1"/>
  <c r="H115" s="1"/>
  <c r="J36"/>
  <c r="J69" s="1"/>
  <c r="J115" s="1"/>
  <c r="I36"/>
  <c r="I69" s="1"/>
  <c r="I115" s="1"/>
  <c r="Y228"/>
  <c r="Z220"/>
  <c r="P43"/>
  <c r="F59"/>
  <c r="H42"/>
  <c r="J42" s="1"/>
  <c r="L42" s="1"/>
  <c r="L59" s="1"/>
  <c r="G36"/>
  <c r="G69" s="1"/>
  <c r="G115" s="1"/>
  <c r="N149"/>
  <c r="N148"/>
  <c r="J142"/>
  <c r="K140"/>
  <c r="M147"/>
  <c r="J151"/>
  <c r="K146"/>
  <c r="I138"/>
  <c r="J136"/>
  <c r="G75"/>
  <c r="H127"/>
  <c r="R43"/>
  <c r="F105"/>
  <c r="F75"/>
  <c r="I42"/>
  <c r="K42" s="1"/>
  <c r="K59" s="1"/>
  <c r="H75"/>
  <c r="Q43"/>
  <c r="G105"/>
  <c r="P220" i="7"/>
  <c r="U219"/>
  <c r="G97" i="3"/>
  <c r="I123"/>
  <c r="H97"/>
  <c r="I126"/>
  <c r="I96"/>
  <c r="I93"/>
  <c r="J105"/>
  <c r="H107"/>
  <c r="I107"/>
  <c r="F61"/>
  <c r="G44"/>
  <c r="F62"/>
  <c r="P45"/>
  <c r="G62"/>
  <c r="Q45"/>
  <c r="K19"/>
  <c r="K92" s="1"/>
  <c r="K122" s="1"/>
  <c r="T43"/>
  <c r="J75"/>
  <c r="R45"/>
  <c r="H77"/>
  <c r="S45"/>
  <c r="I77"/>
  <c r="J18"/>
  <c r="J91" s="1"/>
  <c r="J121" s="1"/>
  <c r="M27"/>
  <c r="M60" s="1"/>
  <c r="L27"/>
  <c r="L60" s="1"/>
  <c r="K27"/>
  <c r="K60" s="1"/>
  <c r="S28"/>
  <c r="S26"/>
  <c r="J29"/>
  <c r="J62" s="1"/>
  <c r="K15"/>
  <c r="I28"/>
  <c r="J28"/>
  <c r="N14"/>
  <c r="M36"/>
  <c r="J21"/>
  <c r="J95" s="1"/>
  <c r="L28"/>
  <c r="N27"/>
  <c r="N60" s="1"/>
  <c r="K29"/>
  <c r="K62" s="1"/>
  <c r="I230" l="1"/>
  <c r="J125"/>
  <c r="F104"/>
  <c r="F74"/>
  <c r="L17"/>
  <c r="K90"/>
  <c r="K120" s="1"/>
  <c r="N52"/>
  <c r="H85"/>
  <c r="O52"/>
  <c r="K52"/>
  <c r="K69" s="1"/>
  <c r="K115" s="1"/>
  <c r="M52"/>
  <c r="R52" s="1"/>
  <c r="F85"/>
  <c r="I85"/>
  <c r="Z228"/>
  <c r="AA220"/>
  <c r="J85"/>
  <c r="G85"/>
  <c r="L52"/>
  <c r="K136"/>
  <c r="J138"/>
  <c r="O149"/>
  <c r="K142"/>
  <c r="L140"/>
  <c r="L146"/>
  <c r="K151"/>
  <c r="N147"/>
  <c r="O148"/>
  <c r="H59"/>
  <c r="I59"/>
  <c r="S220" i="7"/>
  <c r="V219"/>
  <c r="C219" s="1"/>
  <c r="I127" i="3"/>
  <c r="J126"/>
  <c r="J96"/>
  <c r="I97"/>
  <c r="J123"/>
  <c r="J93"/>
  <c r="K107"/>
  <c r="K104"/>
  <c r="F76"/>
  <c r="F106"/>
  <c r="M105"/>
  <c r="L104"/>
  <c r="K105"/>
  <c r="F77"/>
  <c r="F107"/>
  <c r="G77"/>
  <c r="G107"/>
  <c r="N105"/>
  <c r="J107"/>
  <c r="L105"/>
  <c r="G61"/>
  <c r="H44"/>
  <c r="M42"/>
  <c r="M59" s="1"/>
  <c r="J59"/>
  <c r="L19"/>
  <c r="L92" s="1"/>
  <c r="L122" s="1"/>
  <c r="U43"/>
  <c r="K75"/>
  <c r="X43"/>
  <c r="N75"/>
  <c r="K74"/>
  <c r="W43"/>
  <c r="M75"/>
  <c r="K77"/>
  <c r="U45"/>
  <c r="T45"/>
  <c r="J77"/>
  <c r="V43"/>
  <c r="L75"/>
  <c r="K18"/>
  <c r="K91" s="1"/>
  <c r="K121" s="1"/>
  <c r="N42"/>
  <c r="N59" s="1"/>
  <c r="T28"/>
  <c r="T26"/>
  <c r="K28"/>
  <c r="L15"/>
  <c r="M28"/>
  <c r="O14"/>
  <c r="N36"/>
  <c r="N69" s="1"/>
  <c r="N115" s="1"/>
  <c r="L29"/>
  <c r="L62" s="1"/>
  <c r="K21"/>
  <c r="K95" s="1"/>
  <c r="O27"/>
  <c r="O60" s="1"/>
  <c r="K125" l="1"/>
  <c r="J230"/>
  <c r="H104"/>
  <c r="I104"/>
  <c r="M69"/>
  <c r="M115" s="1"/>
  <c r="K85"/>
  <c r="M17"/>
  <c r="L90"/>
  <c r="L120" s="1"/>
  <c r="P52"/>
  <c r="AA228"/>
  <c r="AB220"/>
  <c r="H74"/>
  <c r="Q52"/>
  <c r="L69"/>
  <c r="L136"/>
  <c r="K138"/>
  <c r="M140"/>
  <c r="L142"/>
  <c r="O147"/>
  <c r="P148"/>
  <c r="L151"/>
  <c r="M146"/>
  <c r="P149"/>
  <c r="I74"/>
  <c r="T220" i="7"/>
  <c r="J127" i="3"/>
  <c r="J97"/>
  <c r="K126"/>
  <c r="K96"/>
  <c r="O42"/>
  <c r="O59" s="1"/>
  <c r="K123"/>
  <c r="K93"/>
  <c r="N104"/>
  <c r="M104"/>
  <c r="L107"/>
  <c r="O105"/>
  <c r="M85"/>
  <c r="J104"/>
  <c r="G76"/>
  <c r="G106"/>
  <c r="I44"/>
  <c r="H61"/>
  <c r="J74"/>
  <c r="M19"/>
  <c r="M92" s="1"/>
  <c r="M122" s="1"/>
  <c r="S52"/>
  <c r="N85"/>
  <c r="L74"/>
  <c r="Y43"/>
  <c r="O75"/>
  <c r="V45"/>
  <c r="L77"/>
  <c r="L18"/>
  <c r="L91" s="1"/>
  <c r="L121" s="1"/>
  <c r="P42"/>
  <c r="P59" s="1"/>
  <c r="P27"/>
  <c r="P60" s="1"/>
  <c r="U28"/>
  <c r="U26"/>
  <c r="M15"/>
  <c r="P14"/>
  <c r="O36"/>
  <c r="O69" s="1"/>
  <c r="O115" s="1"/>
  <c r="L21"/>
  <c r="L95" s="1"/>
  <c r="M29"/>
  <c r="M62" s="1"/>
  <c r="N28"/>
  <c r="L125" l="1"/>
  <c r="K230"/>
  <c r="N17"/>
  <c r="M90"/>
  <c r="M120" s="1"/>
  <c r="AB228"/>
  <c r="AC220"/>
  <c r="L115"/>
  <c r="L85"/>
  <c r="Q149"/>
  <c r="P147"/>
  <c r="L138"/>
  <c r="M136"/>
  <c r="M151"/>
  <c r="N146"/>
  <c r="N140"/>
  <c r="M142"/>
  <c r="Q148"/>
  <c r="U220" i="7"/>
  <c r="Q42" i="3"/>
  <c r="Q59" s="1"/>
  <c r="O104"/>
  <c r="K127"/>
  <c r="K97"/>
  <c r="L126"/>
  <c r="L96"/>
  <c r="L123"/>
  <c r="L93"/>
  <c r="P104"/>
  <c r="P105"/>
  <c r="M107"/>
  <c r="H76"/>
  <c r="H106"/>
  <c r="J44"/>
  <c r="I61"/>
  <c r="N19"/>
  <c r="N92" s="1"/>
  <c r="N122" s="1"/>
  <c r="M74"/>
  <c r="M18"/>
  <c r="M91" s="1"/>
  <c r="M121" s="1"/>
  <c r="W45"/>
  <c r="M77"/>
  <c r="Z43"/>
  <c r="P75"/>
  <c r="O85"/>
  <c r="T52"/>
  <c r="R42"/>
  <c r="R59" s="1"/>
  <c r="P36"/>
  <c r="P69" s="1"/>
  <c r="P115" s="1"/>
  <c r="Q14"/>
  <c r="V28"/>
  <c r="Q27"/>
  <c r="Q60" s="1"/>
  <c r="V26"/>
  <c r="N15"/>
  <c r="M21"/>
  <c r="M95" s="1"/>
  <c r="N29"/>
  <c r="N62" s="1"/>
  <c r="O28"/>
  <c r="P28"/>
  <c r="M125" l="1"/>
  <c r="L230"/>
  <c r="O17"/>
  <c r="N90"/>
  <c r="N120" s="1"/>
  <c r="AC228"/>
  <c r="AD220"/>
  <c r="R148"/>
  <c r="N151"/>
  <c r="O146"/>
  <c r="O140"/>
  <c r="N142"/>
  <c r="M138"/>
  <c r="N136"/>
  <c r="R149"/>
  <c r="Q147"/>
  <c r="Q104"/>
  <c r="S42"/>
  <c r="S59" s="1"/>
  <c r="V220" i="7"/>
  <c r="C220" s="1"/>
  <c r="C221" s="1"/>
  <c r="L127" i="3"/>
  <c r="L97"/>
  <c r="M126"/>
  <c r="M96"/>
  <c r="M123"/>
  <c r="M93"/>
  <c r="R104"/>
  <c r="I76"/>
  <c r="I106"/>
  <c r="N107"/>
  <c r="Q105"/>
  <c r="K44"/>
  <c r="J61"/>
  <c r="O19"/>
  <c r="O92" s="1"/>
  <c r="O122" s="1"/>
  <c r="AA43"/>
  <c r="Q75"/>
  <c r="U52"/>
  <c r="P85"/>
  <c r="N18"/>
  <c r="N91" s="1"/>
  <c r="N121" s="1"/>
  <c r="X45"/>
  <c r="N77"/>
  <c r="N74"/>
  <c r="T42"/>
  <c r="T59" s="1"/>
  <c r="W28"/>
  <c r="R27"/>
  <c r="R60" s="1"/>
  <c r="R14"/>
  <c r="Q36"/>
  <c r="Q69" s="1"/>
  <c r="Q115" s="1"/>
  <c r="W26"/>
  <c r="O15"/>
  <c r="N21"/>
  <c r="N95" s="1"/>
  <c r="O29"/>
  <c r="O62" s="1"/>
  <c r="N125" l="1"/>
  <c r="M230"/>
  <c r="S104"/>
  <c r="P17"/>
  <c r="O90"/>
  <c r="O120" s="1"/>
  <c r="AD228"/>
  <c r="AE220"/>
  <c r="R147"/>
  <c r="N138"/>
  <c r="O136"/>
  <c r="O151"/>
  <c r="P146"/>
  <c r="O142"/>
  <c r="P140"/>
  <c r="S148"/>
  <c r="S149"/>
  <c r="U42"/>
  <c r="U59" s="1"/>
  <c r="M127"/>
  <c r="M97"/>
  <c r="N126"/>
  <c r="N96"/>
  <c r="N123"/>
  <c r="N93"/>
  <c r="J76"/>
  <c r="J106"/>
  <c r="T104"/>
  <c r="O107"/>
  <c r="R105"/>
  <c r="K61"/>
  <c r="L44"/>
  <c r="P19"/>
  <c r="P92" s="1"/>
  <c r="P122" s="1"/>
  <c r="O21"/>
  <c r="O95" s="1"/>
  <c r="O77"/>
  <c r="Y45"/>
  <c r="V52"/>
  <c r="Q85"/>
  <c r="O18"/>
  <c r="O91" s="1"/>
  <c r="O121" s="1"/>
  <c r="AB43"/>
  <c r="R75"/>
  <c r="O74"/>
  <c r="V42"/>
  <c r="V59" s="1"/>
  <c r="S14"/>
  <c r="R36"/>
  <c r="R69" s="1"/>
  <c r="R115" s="1"/>
  <c r="S27"/>
  <c r="S60" s="1"/>
  <c r="X28"/>
  <c r="X26"/>
  <c r="P29"/>
  <c r="P62" s="1"/>
  <c r="P15"/>
  <c r="N230" l="1"/>
  <c r="O125"/>
  <c r="Q17"/>
  <c r="P90"/>
  <c r="P120" s="1"/>
  <c r="AE228"/>
  <c r="AF220"/>
  <c r="W42"/>
  <c r="W59" s="1"/>
  <c r="O138"/>
  <c r="P136"/>
  <c r="T149"/>
  <c r="Q140"/>
  <c r="P142"/>
  <c r="S147"/>
  <c r="T148"/>
  <c r="P151"/>
  <c r="Q146"/>
  <c r="U104"/>
  <c r="N127"/>
  <c r="N97"/>
  <c r="O126"/>
  <c r="O96"/>
  <c r="O123"/>
  <c r="O93"/>
  <c r="P107"/>
  <c r="S105"/>
  <c r="V104"/>
  <c r="K76"/>
  <c r="K106"/>
  <c r="L61"/>
  <c r="M44"/>
  <c r="Q19"/>
  <c r="Q92" s="1"/>
  <c r="Q122" s="1"/>
  <c r="P21"/>
  <c r="P95" s="1"/>
  <c r="Z45"/>
  <c r="P77"/>
  <c r="P18"/>
  <c r="P91" s="1"/>
  <c r="P121" s="1"/>
  <c r="P74"/>
  <c r="AC43"/>
  <c r="S75"/>
  <c r="R85"/>
  <c r="W52"/>
  <c r="X42"/>
  <c r="X59" s="1"/>
  <c r="Y28"/>
  <c r="T27"/>
  <c r="T60" s="1"/>
  <c r="T14"/>
  <c r="S36"/>
  <c r="S69" s="1"/>
  <c r="S115" s="1"/>
  <c r="Q15"/>
  <c r="Y26"/>
  <c r="Q29"/>
  <c r="Q62" s="1"/>
  <c r="P125" l="1"/>
  <c r="O230"/>
  <c r="W104"/>
  <c r="R17"/>
  <c r="Q90"/>
  <c r="Q120" s="1"/>
  <c r="AF228"/>
  <c r="AG220"/>
  <c r="Y42"/>
  <c r="Y59" s="1"/>
  <c r="T147"/>
  <c r="U149"/>
  <c r="R146"/>
  <c r="Q151"/>
  <c r="U148"/>
  <c r="Q142"/>
  <c r="R140"/>
  <c r="P138"/>
  <c r="Q136"/>
  <c r="O127"/>
  <c r="O97"/>
  <c r="P126"/>
  <c r="P96"/>
  <c r="P123"/>
  <c r="P93"/>
  <c r="Q107"/>
  <c r="L76"/>
  <c r="L106"/>
  <c r="T105"/>
  <c r="X104"/>
  <c r="M61"/>
  <c r="N44"/>
  <c r="R19"/>
  <c r="R92" s="1"/>
  <c r="R122" s="1"/>
  <c r="Q21"/>
  <c r="Q95" s="1"/>
  <c r="Q74"/>
  <c r="Q18"/>
  <c r="Q91" s="1"/>
  <c r="Q121" s="1"/>
  <c r="AA45"/>
  <c r="Q77"/>
  <c r="S85"/>
  <c r="X52"/>
  <c r="AD43"/>
  <c r="T75"/>
  <c r="Z42"/>
  <c r="R15"/>
  <c r="U14"/>
  <c r="T36"/>
  <c r="T69" s="1"/>
  <c r="T115" s="1"/>
  <c r="U27"/>
  <c r="U60" s="1"/>
  <c r="Z28"/>
  <c r="Z26"/>
  <c r="R29"/>
  <c r="R62" s="1"/>
  <c r="D45" i="1"/>
  <c r="E45"/>
  <c r="F45"/>
  <c r="G45"/>
  <c r="H45"/>
  <c r="J45"/>
  <c r="K45"/>
  <c r="C45"/>
  <c r="D40"/>
  <c r="D39" s="1"/>
  <c r="E40"/>
  <c r="F40"/>
  <c r="G40"/>
  <c r="G39" s="1"/>
  <c r="H40"/>
  <c r="H39" s="1"/>
  <c r="J40"/>
  <c r="J39" s="1"/>
  <c r="K40"/>
  <c r="K39" s="1"/>
  <c r="C40"/>
  <c r="C39" s="1"/>
  <c r="D28"/>
  <c r="E28"/>
  <c r="F28"/>
  <c r="G28"/>
  <c r="H28"/>
  <c r="J28"/>
  <c r="K28"/>
  <c r="C28"/>
  <c r="D20"/>
  <c r="E20"/>
  <c r="F20"/>
  <c r="G20"/>
  <c r="H20"/>
  <c r="J20"/>
  <c r="K20"/>
  <c r="C20"/>
  <c r="D16"/>
  <c r="E16"/>
  <c r="E15" s="1"/>
  <c r="F16"/>
  <c r="G16"/>
  <c r="H16"/>
  <c r="H15" s="1"/>
  <c r="J16"/>
  <c r="K16"/>
  <c r="C16"/>
  <c r="D11"/>
  <c r="E11"/>
  <c r="F11"/>
  <c r="G11"/>
  <c r="H11"/>
  <c r="J11"/>
  <c r="K11"/>
  <c r="C11"/>
  <c r="D8"/>
  <c r="E8"/>
  <c r="E7" s="1"/>
  <c r="F8"/>
  <c r="G8"/>
  <c r="H8"/>
  <c r="J8"/>
  <c r="J7" s="1"/>
  <c r="K8"/>
  <c r="K7" s="1"/>
  <c r="C8"/>
  <c r="C7" s="1"/>
  <c r="Q125" i="3" l="1"/>
  <c r="P230"/>
  <c r="S17"/>
  <c r="R90"/>
  <c r="R120" s="1"/>
  <c r="AG228"/>
  <c r="AH220"/>
  <c r="AA42"/>
  <c r="C15" i="1"/>
  <c r="R136" i="3"/>
  <c r="Q138"/>
  <c r="V148"/>
  <c r="S146"/>
  <c r="R151"/>
  <c r="U147"/>
  <c r="R142"/>
  <c r="S140"/>
  <c r="V149"/>
  <c r="P127"/>
  <c r="Q126"/>
  <c r="Q96"/>
  <c r="P97"/>
  <c r="Z59"/>
  <c r="Q123"/>
  <c r="Q93"/>
  <c r="R107"/>
  <c r="U105"/>
  <c r="Y104"/>
  <c r="M76"/>
  <c r="M106"/>
  <c r="N61"/>
  <c r="O44"/>
  <c r="S19"/>
  <c r="S92" s="1"/>
  <c r="S122" s="1"/>
  <c r="R21"/>
  <c r="R95" s="1"/>
  <c r="T85"/>
  <c r="Y52"/>
  <c r="AB45"/>
  <c r="R77"/>
  <c r="R18"/>
  <c r="R91" s="1"/>
  <c r="R121" s="1"/>
  <c r="AE43"/>
  <c r="U75"/>
  <c r="R74"/>
  <c r="AB42"/>
  <c r="S15"/>
  <c r="V14"/>
  <c r="U36"/>
  <c r="U69" s="1"/>
  <c r="U115" s="1"/>
  <c r="AA28"/>
  <c r="V27"/>
  <c r="V60" s="1"/>
  <c r="AA26"/>
  <c r="S29"/>
  <c r="S62" s="1"/>
  <c r="D15" i="1"/>
  <c r="G7"/>
  <c r="H7"/>
  <c r="H50" s="1"/>
  <c r="D7"/>
  <c r="J15"/>
  <c r="J50" s="1"/>
  <c r="E39"/>
  <c r="E50" s="1"/>
  <c r="C50"/>
  <c r="K15"/>
  <c r="K50" s="1"/>
  <c r="G15"/>
  <c r="F15"/>
  <c r="F39"/>
  <c r="F7"/>
  <c r="C6" i="2"/>
  <c r="E15" i="3" s="1"/>
  <c r="R37" s="1"/>
  <c r="C7" i="2"/>
  <c r="E13" i="3" s="1"/>
  <c r="C5" i="2"/>
  <c r="R125" i="3" l="1"/>
  <c r="R126" s="1"/>
  <c r="Q230"/>
  <c r="T17"/>
  <c r="S90"/>
  <c r="S120" s="1"/>
  <c r="AH228"/>
  <c r="AI220"/>
  <c r="Q127"/>
  <c r="AA59"/>
  <c r="W149"/>
  <c r="W148"/>
  <c r="V147"/>
  <c r="S151"/>
  <c r="T146"/>
  <c r="R138"/>
  <c r="S136"/>
  <c r="T140"/>
  <c r="S142"/>
  <c r="Q97"/>
  <c r="R96"/>
  <c r="Z104"/>
  <c r="R123"/>
  <c r="R93"/>
  <c r="V105"/>
  <c r="S107"/>
  <c r="N76"/>
  <c r="N106"/>
  <c r="O61"/>
  <c r="P44"/>
  <c r="C37"/>
  <c r="F37"/>
  <c r="G37"/>
  <c r="H37"/>
  <c r="I37"/>
  <c r="J37"/>
  <c r="K37"/>
  <c r="L37"/>
  <c r="M37"/>
  <c r="N37"/>
  <c r="O37"/>
  <c r="P37"/>
  <c r="Q37"/>
  <c r="E12"/>
  <c r="T34" s="1"/>
  <c r="E10"/>
  <c r="Z31" s="1"/>
  <c r="E9"/>
  <c r="R30" s="1"/>
  <c r="C35"/>
  <c r="I35"/>
  <c r="H35"/>
  <c r="F35"/>
  <c r="G35"/>
  <c r="L35"/>
  <c r="J35"/>
  <c r="M35"/>
  <c r="K35"/>
  <c r="N35"/>
  <c r="O35"/>
  <c r="P35"/>
  <c r="Q35"/>
  <c r="R35"/>
  <c r="S35"/>
  <c r="T35"/>
  <c r="U35"/>
  <c r="V35"/>
  <c r="T19"/>
  <c r="T92" s="1"/>
  <c r="T122" s="1"/>
  <c r="S21"/>
  <c r="S95" s="1"/>
  <c r="AF43"/>
  <c r="V75"/>
  <c r="AC42"/>
  <c r="S74"/>
  <c r="U85"/>
  <c r="Z52"/>
  <c r="AC45"/>
  <c r="S77"/>
  <c r="S18"/>
  <c r="S91" s="1"/>
  <c r="S121" s="1"/>
  <c r="W27"/>
  <c r="W60" s="1"/>
  <c r="W14"/>
  <c r="V36"/>
  <c r="V69" s="1"/>
  <c r="V115" s="1"/>
  <c r="W35"/>
  <c r="AB28"/>
  <c r="T15"/>
  <c r="S37"/>
  <c r="AB26"/>
  <c r="AB59" s="1"/>
  <c r="T29"/>
  <c r="T62" s="1"/>
  <c r="D50" i="1"/>
  <c r="G50"/>
  <c r="F50"/>
  <c r="S125" i="3" l="1"/>
  <c r="R230"/>
  <c r="AA104"/>
  <c r="U17"/>
  <c r="T90"/>
  <c r="T120" s="1"/>
  <c r="AI228"/>
  <c r="AJ220"/>
  <c r="U140"/>
  <c r="T142"/>
  <c r="T151"/>
  <c r="U146"/>
  <c r="W147"/>
  <c r="X149"/>
  <c r="S138"/>
  <c r="T136"/>
  <c r="X148"/>
  <c r="R127"/>
  <c r="R97"/>
  <c r="S126"/>
  <c r="S96"/>
  <c r="S123"/>
  <c r="S93"/>
  <c r="W105"/>
  <c r="AB104"/>
  <c r="T107"/>
  <c r="O76"/>
  <c r="O106"/>
  <c r="N68"/>
  <c r="X51"/>
  <c r="L68"/>
  <c r="V51"/>
  <c r="AF51" s="1"/>
  <c r="I68"/>
  <c r="S51"/>
  <c r="S68" s="1"/>
  <c r="C34"/>
  <c r="I34"/>
  <c r="G34"/>
  <c r="H34"/>
  <c r="F34"/>
  <c r="J34"/>
  <c r="K34"/>
  <c r="L34"/>
  <c r="M34"/>
  <c r="N34"/>
  <c r="O34"/>
  <c r="P34"/>
  <c r="Q34"/>
  <c r="R34"/>
  <c r="S34"/>
  <c r="N70"/>
  <c r="X53"/>
  <c r="J70"/>
  <c r="T53"/>
  <c r="F70"/>
  <c r="P53"/>
  <c r="Z53" s="1"/>
  <c r="V68"/>
  <c r="O68"/>
  <c r="Y51"/>
  <c r="J68"/>
  <c r="T51"/>
  <c r="AD51" s="1"/>
  <c r="H68"/>
  <c r="R51"/>
  <c r="AB51" s="1"/>
  <c r="C31"/>
  <c r="H31"/>
  <c r="F31"/>
  <c r="M31"/>
  <c r="N31"/>
  <c r="I31"/>
  <c r="K31"/>
  <c r="L31"/>
  <c r="G31"/>
  <c r="J31"/>
  <c r="P31"/>
  <c r="O31"/>
  <c r="Q31"/>
  <c r="R31"/>
  <c r="S31"/>
  <c r="T31"/>
  <c r="U31"/>
  <c r="V31"/>
  <c r="W31"/>
  <c r="X31"/>
  <c r="Y31"/>
  <c r="O70"/>
  <c r="Y53"/>
  <c r="K70"/>
  <c r="U53"/>
  <c r="G70"/>
  <c r="Q53"/>
  <c r="Q70" s="1"/>
  <c r="M68"/>
  <c r="W51"/>
  <c r="W68" s="1"/>
  <c r="W114" s="1"/>
  <c r="F68"/>
  <c r="P51"/>
  <c r="Z51" s="1"/>
  <c r="C30"/>
  <c r="G30"/>
  <c r="F30"/>
  <c r="H30"/>
  <c r="I30"/>
  <c r="J30"/>
  <c r="K30"/>
  <c r="L30"/>
  <c r="M30"/>
  <c r="N30"/>
  <c r="O30"/>
  <c r="P30"/>
  <c r="Q30"/>
  <c r="L70"/>
  <c r="V53"/>
  <c r="H70"/>
  <c r="R53"/>
  <c r="P61"/>
  <c r="Q44"/>
  <c r="K68"/>
  <c r="U51"/>
  <c r="AE51" s="1"/>
  <c r="G68"/>
  <c r="Q51"/>
  <c r="AA51" s="1"/>
  <c r="M70"/>
  <c r="W53"/>
  <c r="I70"/>
  <c r="S53"/>
  <c r="S70" s="1"/>
  <c r="U19"/>
  <c r="U92" s="1"/>
  <c r="U122" s="1"/>
  <c r="T21"/>
  <c r="T95" s="1"/>
  <c r="AG43"/>
  <c r="W75"/>
  <c r="T18"/>
  <c r="T91" s="1"/>
  <c r="T121" s="1"/>
  <c r="AD42"/>
  <c r="T74"/>
  <c r="AD45"/>
  <c r="T77"/>
  <c r="V85"/>
  <c r="AA52"/>
  <c r="U34"/>
  <c r="U15"/>
  <c r="T37"/>
  <c r="X35"/>
  <c r="AA31"/>
  <c r="X27"/>
  <c r="X60" s="1"/>
  <c r="AC28"/>
  <c r="X14"/>
  <c r="W36"/>
  <c r="W69" s="1"/>
  <c r="W115" s="1"/>
  <c r="S30"/>
  <c r="AC26"/>
  <c r="AC59" s="1"/>
  <c r="U29"/>
  <c r="U62" s="1"/>
  <c r="T125" l="1"/>
  <c r="S230"/>
  <c r="V17"/>
  <c r="U90"/>
  <c r="U120" s="1"/>
  <c r="AJ228"/>
  <c r="AK220"/>
  <c r="P70"/>
  <c r="P116" s="1"/>
  <c r="U151"/>
  <c r="V146"/>
  <c r="Y148"/>
  <c r="V140"/>
  <c r="U142"/>
  <c r="T138"/>
  <c r="U136"/>
  <c r="X147"/>
  <c r="Y149"/>
  <c r="S127"/>
  <c r="T126"/>
  <c r="T96"/>
  <c r="T68"/>
  <c r="T84" s="1"/>
  <c r="T70"/>
  <c r="T116" s="1"/>
  <c r="AG51"/>
  <c r="S97"/>
  <c r="AA53"/>
  <c r="AC51"/>
  <c r="T123"/>
  <c r="T93"/>
  <c r="X68"/>
  <c r="X114" s="1"/>
  <c r="Q86"/>
  <c r="Q116"/>
  <c r="AC104"/>
  <c r="U107"/>
  <c r="I86"/>
  <c r="I116"/>
  <c r="K84"/>
  <c r="K114"/>
  <c r="F84"/>
  <c r="F114"/>
  <c r="K86"/>
  <c r="K116"/>
  <c r="V84"/>
  <c r="V114"/>
  <c r="J86"/>
  <c r="J116"/>
  <c r="S86"/>
  <c r="S116"/>
  <c r="L86"/>
  <c r="L116"/>
  <c r="J84"/>
  <c r="J114"/>
  <c r="I84"/>
  <c r="I114"/>
  <c r="N84"/>
  <c r="N114"/>
  <c r="P76"/>
  <c r="P106"/>
  <c r="S84"/>
  <c r="S114"/>
  <c r="X105"/>
  <c r="M86"/>
  <c r="M116"/>
  <c r="G84"/>
  <c r="G114"/>
  <c r="M84"/>
  <c r="M114"/>
  <c r="G86"/>
  <c r="G116"/>
  <c r="O86"/>
  <c r="O116"/>
  <c r="F86"/>
  <c r="F116"/>
  <c r="N86"/>
  <c r="N116"/>
  <c r="W84"/>
  <c r="H86"/>
  <c r="H116"/>
  <c r="H84"/>
  <c r="H114"/>
  <c r="O84"/>
  <c r="O114"/>
  <c r="L84"/>
  <c r="L114"/>
  <c r="Q68"/>
  <c r="U68"/>
  <c r="N63"/>
  <c r="X46"/>
  <c r="J63"/>
  <c r="T46"/>
  <c r="G63"/>
  <c r="Q46"/>
  <c r="AA46" s="1"/>
  <c r="J64"/>
  <c r="O47"/>
  <c r="T47" s="1"/>
  <c r="Y47" s="1"/>
  <c r="I64"/>
  <c r="N47"/>
  <c r="N64" s="1"/>
  <c r="H64"/>
  <c r="M47"/>
  <c r="R47" s="1"/>
  <c r="W47" s="1"/>
  <c r="M67"/>
  <c r="W50"/>
  <c r="F67"/>
  <c r="P50"/>
  <c r="P67" s="1"/>
  <c r="R68"/>
  <c r="AB53"/>
  <c r="R70"/>
  <c r="O63"/>
  <c r="Y46"/>
  <c r="K63"/>
  <c r="U46"/>
  <c r="F63"/>
  <c r="P46"/>
  <c r="Z46" s="1"/>
  <c r="F64"/>
  <c r="K47"/>
  <c r="K64" s="1"/>
  <c r="N67"/>
  <c r="X50"/>
  <c r="J67"/>
  <c r="T50"/>
  <c r="I67"/>
  <c r="S50"/>
  <c r="AC50" s="1"/>
  <c r="AC53"/>
  <c r="P68"/>
  <c r="L63"/>
  <c r="V46"/>
  <c r="H63"/>
  <c r="R46"/>
  <c r="O64"/>
  <c r="O67"/>
  <c r="Y50"/>
  <c r="K67"/>
  <c r="U50"/>
  <c r="U67" s="1"/>
  <c r="G67"/>
  <c r="Q50"/>
  <c r="AA50" s="1"/>
  <c r="Q61"/>
  <c r="R44"/>
  <c r="M63"/>
  <c r="W46"/>
  <c r="I63"/>
  <c r="S46"/>
  <c r="S63" s="1"/>
  <c r="G64"/>
  <c r="L47"/>
  <c r="L64" s="1"/>
  <c r="L67"/>
  <c r="V50"/>
  <c r="H67"/>
  <c r="R50"/>
  <c r="AB50" s="1"/>
  <c r="V19"/>
  <c r="V92" s="1"/>
  <c r="V122" s="1"/>
  <c r="U21"/>
  <c r="U95" s="1"/>
  <c r="AE45"/>
  <c r="U77"/>
  <c r="AH51"/>
  <c r="AE42"/>
  <c r="U74"/>
  <c r="U18"/>
  <c r="U91" s="1"/>
  <c r="U121" s="1"/>
  <c r="AD53"/>
  <c r="W85"/>
  <c r="AB52"/>
  <c r="AH43"/>
  <c r="X75"/>
  <c r="V34"/>
  <c r="Y14"/>
  <c r="X36"/>
  <c r="X69" s="1"/>
  <c r="X115" s="1"/>
  <c r="Y27"/>
  <c r="Y60" s="1"/>
  <c r="AB31"/>
  <c r="V15"/>
  <c r="U37"/>
  <c r="U70" s="1"/>
  <c r="U116" s="1"/>
  <c r="T30"/>
  <c r="AD28"/>
  <c r="Y35"/>
  <c r="Y68" s="1"/>
  <c r="Y114" s="1"/>
  <c r="AD26"/>
  <c r="AD59" s="1"/>
  <c r="V29"/>
  <c r="V62" s="1"/>
  <c r="T230" l="1"/>
  <c r="U125"/>
  <c r="W17"/>
  <c r="V90"/>
  <c r="V120" s="1"/>
  <c r="AK228"/>
  <c r="AL220"/>
  <c r="T127"/>
  <c r="P86"/>
  <c r="Q63"/>
  <c r="Z149"/>
  <c r="U138"/>
  <c r="V136"/>
  <c r="Z148"/>
  <c r="V142"/>
  <c r="W140"/>
  <c r="W146"/>
  <c r="V151"/>
  <c r="Y147"/>
  <c r="T114"/>
  <c r="X84"/>
  <c r="M64"/>
  <c r="AE50"/>
  <c r="Z50"/>
  <c r="U126"/>
  <c r="U96"/>
  <c r="V67"/>
  <c r="V113" s="1"/>
  <c r="T86"/>
  <c r="T97"/>
  <c r="AC46"/>
  <c r="T63"/>
  <c r="U123"/>
  <c r="U93"/>
  <c r="P47"/>
  <c r="P64" s="1"/>
  <c r="V107"/>
  <c r="Y105"/>
  <c r="L79"/>
  <c r="L109"/>
  <c r="I83"/>
  <c r="I87" s="1"/>
  <c r="I113"/>
  <c r="N83"/>
  <c r="N87" s="1"/>
  <c r="N113"/>
  <c r="F78"/>
  <c r="F108"/>
  <c r="O78"/>
  <c r="O108"/>
  <c r="M83"/>
  <c r="M87" s="1"/>
  <c r="M113"/>
  <c r="I79"/>
  <c r="I109"/>
  <c r="H83"/>
  <c r="H87" s="1"/>
  <c r="H113"/>
  <c r="P83"/>
  <c r="P113"/>
  <c r="I78"/>
  <c r="I108"/>
  <c r="K83"/>
  <c r="K87" s="1"/>
  <c r="K113"/>
  <c r="O79"/>
  <c r="O109"/>
  <c r="L78"/>
  <c r="L108"/>
  <c r="R84"/>
  <c r="R114"/>
  <c r="N79"/>
  <c r="N109"/>
  <c r="J78"/>
  <c r="J108"/>
  <c r="Q84"/>
  <c r="Q114"/>
  <c r="R64"/>
  <c r="AD104"/>
  <c r="S78"/>
  <c r="S108"/>
  <c r="J83"/>
  <c r="J87" s="1"/>
  <c r="J113"/>
  <c r="F79"/>
  <c r="F109"/>
  <c r="K78"/>
  <c r="K108"/>
  <c r="F83"/>
  <c r="F87" s="1"/>
  <c r="F113"/>
  <c r="H79"/>
  <c r="H109"/>
  <c r="J79"/>
  <c r="J109"/>
  <c r="U84"/>
  <c r="U114"/>
  <c r="U83"/>
  <c r="U113"/>
  <c r="L83"/>
  <c r="L87" s="1"/>
  <c r="L113"/>
  <c r="G79"/>
  <c r="G109"/>
  <c r="M78"/>
  <c r="M108"/>
  <c r="Q76"/>
  <c r="Q106"/>
  <c r="G83"/>
  <c r="G87" s="1"/>
  <c r="G113"/>
  <c r="O83"/>
  <c r="O87" s="1"/>
  <c r="O113"/>
  <c r="H78"/>
  <c r="H108"/>
  <c r="P84"/>
  <c r="P114"/>
  <c r="K79"/>
  <c r="K109"/>
  <c r="R86"/>
  <c r="R116"/>
  <c r="G78"/>
  <c r="G108"/>
  <c r="N78"/>
  <c r="N108"/>
  <c r="S67"/>
  <c r="P63"/>
  <c r="S47"/>
  <c r="X47" s="1"/>
  <c r="AC47" s="1"/>
  <c r="Q47"/>
  <c r="Y64"/>
  <c r="AD47"/>
  <c r="W64"/>
  <c r="AB47"/>
  <c r="AB64" s="1"/>
  <c r="R61"/>
  <c r="S44"/>
  <c r="R67"/>
  <c r="Q67"/>
  <c r="AD50"/>
  <c r="T67"/>
  <c r="T64"/>
  <c r="AB46"/>
  <c r="R63"/>
  <c r="W19"/>
  <c r="W92" s="1"/>
  <c r="W122" s="1"/>
  <c r="V21"/>
  <c r="V95" s="1"/>
  <c r="AF50"/>
  <c r="V74"/>
  <c r="AF45"/>
  <c r="V77"/>
  <c r="AI51"/>
  <c r="Y84"/>
  <c r="V18"/>
  <c r="V91" s="1"/>
  <c r="V121" s="1"/>
  <c r="AD46"/>
  <c r="AI43"/>
  <c r="Y75"/>
  <c r="AF42"/>
  <c r="AE53"/>
  <c r="U86"/>
  <c r="X85"/>
  <c r="AC52"/>
  <c r="W34"/>
  <c r="W67" s="1"/>
  <c r="W113" s="1"/>
  <c r="AE28"/>
  <c r="U30"/>
  <c r="U63" s="1"/>
  <c r="AC31"/>
  <c r="Z14"/>
  <c r="Y36"/>
  <c r="Y69" s="1"/>
  <c r="Y115" s="1"/>
  <c r="Z35"/>
  <c r="Z68" s="1"/>
  <c r="Z114" s="1"/>
  <c r="W15"/>
  <c r="V37"/>
  <c r="V70" s="1"/>
  <c r="V116" s="1"/>
  <c r="Z27"/>
  <c r="Z60" s="1"/>
  <c r="AE26"/>
  <c r="AE59" s="1"/>
  <c r="W29"/>
  <c r="W62" s="1"/>
  <c r="V125" l="1"/>
  <c r="U230"/>
  <c r="M109"/>
  <c r="M110" s="1"/>
  <c r="Q78"/>
  <c r="T108"/>
  <c r="H80"/>
  <c r="H99" s="1"/>
  <c r="X17"/>
  <c r="W90"/>
  <c r="W120" s="1"/>
  <c r="AL228"/>
  <c r="AM220"/>
  <c r="J80"/>
  <c r="J99" s="1"/>
  <c r="J117" s="1"/>
  <c r="J129" s="1"/>
  <c r="N80"/>
  <c r="N99" s="1"/>
  <c r="N117" s="1"/>
  <c r="N129" s="1"/>
  <c r="Q108"/>
  <c r="M79"/>
  <c r="M80" s="1"/>
  <c r="M99" s="1"/>
  <c r="M117" s="1"/>
  <c r="M129" s="1"/>
  <c r="W142"/>
  <c r="X140"/>
  <c r="Z147"/>
  <c r="AA148"/>
  <c r="W151"/>
  <c r="X146"/>
  <c r="AA149"/>
  <c r="W136"/>
  <c r="V138"/>
  <c r="U127"/>
  <c r="F80"/>
  <c r="F99" s="1"/>
  <c r="F117" s="1"/>
  <c r="F129" s="1"/>
  <c r="O80"/>
  <c r="O99" s="1"/>
  <c r="U97"/>
  <c r="T78"/>
  <c r="V83"/>
  <c r="AG47"/>
  <c r="G80"/>
  <c r="G99" s="1"/>
  <c r="I80"/>
  <c r="I99" s="1"/>
  <c r="I117" s="1"/>
  <c r="I129" s="1"/>
  <c r="G110"/>
  <c r="V126"/>
  <c r="V96"/>
  <c r="U87"/>
  <c r="N110"/>
  <c r="G117"/>
  <c r="G129" s="1"/>
  <c r="P109"/>
  <c r="H117"/>
  <c r="H129" s="1"/>
  <c r="S64"/>
  <c r="K80"/>
  <c r="K99" s="1"/>
  <c r="K117" s="1"/>
  <c r="K129" s="1"/>
  <c r="L80"/>
  <c r="L99" s="1"/>
  <c r="L117" s="1"/>
  <c r="L129" s="1"/>
  <c r="X64"/>
  <c r="H110"/>
  <c r="L110"/>
  <c r="V123"/>
  <c r="V93"/>
  <c r="O117"/>
  <c r="O129" s="1"/>
  <c r="U47"/>
  <c r="Z47" s="1"/>
  <c r="K110"/>
  <c r="P79"/>
  <c r="I110"/>
  <c r="Z105"/>
  <c r="AE104"/>
  <c r="U108"/>
  <c r="T83"/>
  <c r="T87" s="1"/>
  <c r="T113"/>
  <c r="Q83"/>
  <c r="Q87" s="1"/>
  <c r="Q113"/>
  <c r="AB109"/>
  <c r="W107"/>
  <c r="R78"/>
  <c r="R108"/>
  <c r="T79"/>
  <c r="T109"/>
  <c r="R83"/>
  <c r="R87" s="1"/>
  <c r="R113"/>
  <c r="R76"/>
  <c r="R106"/>
  <c r="S83"/>
  <c r="S87" s="1"/>
  <c r="S113"/>
  <c r="R79"/>
  <c r="R109"/>
  <c r="P78"/>
  <c r="P108"/>
  <c r="J110"/>
  <c r="O110"/>
  <c r="F110"/>
  <c r="W109"/>
  <c r="Y109"/>
  <c r="P87"/>
  <c r="V47"/>
  <c r="Q64"/>
  <c r="S61"/>
  <c r="T44"/>
  <c r="AC64"/>
  <c r="X19"/>
  <c r="X92" s="1"/>
  <c r="X122" s="1"/>
  <c r="W21"/>
  <c r="W95" s="1"/>
  <c r="AH47"/>
  <c r="AF53"/>
  <c r="V86"/>
  <c r="AG50"/>
  <c r="W83"/>
  <c r="W74"/>
  <c r="Y85"/>
  <c r="AD52"/>
  <c r="AG45"/>
  <c r="W77"/>
  <c r="W18"/>
  <c r="W91" s="1"/>
  <c r="W121" s="1"/>
  <c r="AJ43"/>
  <c r="Z75"/>
  <c r="AG42"/>
  <c r="AJ51"/>
  <c r="Z84"/>
  <c r="U78"/>
  <c r="AE46"/>
  <c r="X34"/>
  <c r="X67" s="1"/>
  <c r="X113" s="1"/>
  <c r="X15"/>
  <c r="W37"/>
  <c r="W70" s="1"/>
  <c r="W116" s="1"/>
  <c r="AD31"/>
  <c r="AD64" s="1"/>
  <c r="AF28"/>
  <c r="AA27"/>
  <c r="AA60" s="1"/>
  <c r="AA35"/>
  <c r="AA68" s="1"/>
  <c r="AA114" s="1"/>
  <c r="AA14"/>
  <c r="Z36"/>
  <c r="Z69" s="1"/>
  <c r="Z115" s="1"/>
  <c r="V30"/>
  <c r="V63" s="1"/>
  <c r="AF26"/>
  <c r="AF59" s="1"/>
  <c r="AF104" s="1"/>
  <c r="X29"/>
  <c r="X62" s="1"/>
  <c r="W125" l="1"/>
  <c r="V230"/>
  <c r="S109"/>
  <c r="V87"/>
  <c r="Y17"/>
  <c r="X90"/>
  <c r="X120" s="1"/>
  <c r="AM228"/>
  <c r="AN220"/>
  <c r="S79"/>
  <c r="X109"/>
  <c r="AB148"/>
  <c r="X142"/>
  <c r="Y140"/>
  <c r="AB149"/>
  <c r="W138"/>
  <c r="X136"/>
  <c r="X151"/>
  <c r="Y146"/>
  <c r="AA147"/>
  <c r="V127"/>
  <c r="N131"/>
  <c r="L131"/>
  <c r="H131"/>
  <c r="I131"/>
  <c r="U64"/>
  <c r="F131"/>
  <c r="O131"/>
  <c r="O238" s="1"/>
  <c r="O240" s="1"/>
  <c r="M131"/>
  <c r="K131"/>
  <c r="G131"/>
  <c r="J131"/>
  <c r="P80"/>
  <c r="P99" s="1"/>
  <c r="P117" s="1"/>
  <c r="P129" s="1"/>
  <c r="V97"/>
  <c r="P110"/>
  <c r="W126"/>
  <c r="W96"/>
  <c r="W123"/>
  <c r="W93"/>
  <c r="V108"/>
  <c r="AC109"/>
  <c r="R110"/>
  <c r="AA105"/>
  <c r="X107"/>
  <c r="AD109"/>
  <c r="S76"/>
  <c r="S106"/>
  <c r="Q79"/>
  <c r="Q80" s="1"/>
  <c r="Q99" s="1"/>
  <c r="Q117" s="1"/>
  <c r="Q129" s="1"/>
  <c r="Q109"/>
  <c r="Q110" s="1"/>
  <c r="R80"/>
  <c r="R99" s="1"/>
  <c r="R117" s="1"/>
  <c r="R129" s="1"/>
  <c r="AA47"/>
  <c r="V64"/>
  <c r="T61"/>
  <c r="U44"/>
  <c r="AE47"/>
  <c r="Z64"/>
  <c r="Y19"/>
  <c r="Y92" s="1"/>
  <c r="Y122" s="1"/>
  <c r="X21"/>
  <c r="X95" s="1"/>
  <c r="V78"/>
  <c r="AF46"/>
  <c r="AK43"/>
  <c r="AA75"/>
  <c r="AH50"/>
  <c r="X83"/>
  <c r="X74"/>
  <c r="AH42"/>
  <c r="AK51"/>
  <c r="AA84"/>
  <c r="W86"/>
  <c r="W87" s="1"/>
  <c r="AG53"/>
  <c r="W79"/>
  <c r="X18"/>
  <c r="X91" s="1"/>
  <c r="X121" s="1"/>
  <c r="Z85"/>
  <c r="AE52"/>
  <c r="AH45"/>
  <c r="X77"/>
  <c r="AI47"/>
  <c r="Y34"/>
  <c r="Y67" s="1"/>
  <c r="Y113" s="1"/>
  <c r="AB14"/>
  <c r="AA36"/>
  <c r="AA69" s="1"/>
  <c r="AA115" s="1"/>
  <c r="AB27"/>
  <c r="AB60" s="1"/>
  <c r="Y15"/>
  <c r="X37"/>
  <c r="X70" s="1"/>
  <c r="X116" s="1"/>
  <c r="W30"/>
  <c r="W63" s="1"/>
  <c r="AB35"/>
  <c r="AB68" s="1"/>
  <c r="AB114" s="1"/>
  <c r="AG28"/>
  <c r="AE31"/>
  <c r="AG26"/>
  <c r="AG59" s="1"/>
  <c r="AG104" s="1"/>
  <c r="Y29"/>
  <c r="Y62" s="1"/>
  <c r="X125" l="1"/>
  <c r="W230"/>
  <c r="S110"/>
  <c r="U109"/>
  <c r="M238"/>
  <c r="M240" s="1"/>
  <c r="I238"/>
  <c r="I240" s="1"/>
  <c r="K238"/>
  <c r="K240" s="1"/>
  <c r="N238"/>
  <c r="N240" s="1"/>
  <c r="G238"/>
  <c r="G240" s="1"/>
  <c r="L238"/>
  <c r="L240" s="1"/>
  <c r="J238"/>
  <c r="J240" s="1"/>
  <c r="H238"/>
  <c r="H240" s="1"/>
  <c r="F238"/>
  <c r="F240" s="1"/>
  <c r="Z17"/>
  <c r="Y90"/>
  <c r="Y120" s="1"/>
  <c r="AN228"/>
  <c r="AO220"/>
  <c r="S80"/>
  <c r="S99" s="1"/>
  <c r="S117" s="1"/>
  <c r="S129" s="1"/>
  <c r="X138"/>
  <c r="Y136"/>
  <c r="Y151"/>
  <c r="Z146"/>
  <c r="AC149"/>
  <c r="AC148"/>
  <c r="AB147"/>
  <c r="Z140"/>
  <c r="Y142"/>
  <c r="R131"/>
  <c r="R238" s="1"/>
  <c r="R240" s="1"/>
  <c r="P131"/>
  <c r="P238" s="1"/>
  <c r="P240" s="1"/>
  <c r="U79"/>
  <c r="Q131"/>
  <c r="Q238" s="1"/>
  <c r="Q240" s="1"/>
  <c r="W127"/>
  <c r="X126"/>
  <c r="X96"/>
  <c r="W97"/>
  <c r="X123"/>
  <c r="X93"/>
  <c r="W108"/>
  <c r="Y107"/>
  <c r="AB105"/>
  <c r="Z109"/>
  <c r="V79"/>
  <c r="V109"/>
  <c r="T76"/>
  <c r="T80" s="1"/>
  <c r="T99" s="1"/>
  <c r="T117" s="1"/>
  <c r="T129" s="1"/>
  <c r="T106"/>
  <c r="T110" s="1"/>
  <c r="AF47"/>
  <c r="AA64"/>
  <c r="AE64"/>
  <c r="U61"/>
  <c r="V44"/>
  <c r="Z19"/>
  <c r="Z92" s="1"/>
  <c r="Z122" s="1"/>
  <c r="Y21"/>
  <c r="Y95" s="1"/>
  <c r="AL51"/>
  <c r="AB84"/>
  <c r="AI50"/>
  <c r="Y83"/>
  <c r="Y74"/>
  <c r="Y18"/>
  <c r="Y91" s="1"/>
  <c r="Y121" s="1"/>
  <c r="AI45"/>
  <c r="Y77"/>
  <c r="AL43"/>
  <c r="AB75"/>
  <c r="AJ47"/>
  <c r="X86"/>
  <c r="X87" s="1"/>
  <c r="AH53"/>
  <c r="X79"/>
  <c r="AI42"/>
  <c r="W78"/>
  <c r="AG46"/>
  <c r="AA85"/>
  <c r="AF52"/>
  <c r="Z34"/>
  <c r="Z67" s="1"/>
  <c r="Z113" s="1"/>
  <c r="AC35"/>
  <c r="AC68" s="1"/>
  <c r="AC114" s="1"/>
  <c r="AC27"/>
  <c r="AC60" s="1"/>
  <c r="AH28"/>
  <c r="X30"/>
  <c r="X63" s="1"/>
  <c r="AC14"/>
  <c r="AB36"/>
  <c r="AB69" s="1"/>
  <c r="AB115" s="1"/>
  <c r="AF31"/>
  <c r="Z15"/>
  <c r="Y37"/>
  <c r="Y70" s="1"/>
  <c r="Y116" s="1"/>
  <c r="AH26"/>
  <c r="AH59" s="1"/>
  <c r="AH104" s="1"/>
  <c r="Z29"/>
  <c r="Z62" s="1"/>
  <c r="X230" l="1"/>
  <c r="Y125"/>
  <c r="AA17"/>
  <c r="Z90"/>
  <c r="Z120" s="1"/>
  <c r="AP220"/>
  <c r="AO228"/>
  <c r="S131"/>
  <c r="S238" s="1"/>
  <c r="S240" s="1"/>
  <c r="Z142"/>
  <c r="AA140"/>
  <c r="AD148"/>
  <c r="AA146"/>
  <c r="Z151"/>
  <c r="Y138"/>
  <c r="Z136"/>
  <c r="AC147"/>
  <c r="AD149"/>
  <c r="X127"/>
  <c r="T131"/>
  <c r="T238" s="1"/>
  <c r="T240" s="1"/>
  <c r="X97"/>
  <c r="Y126"/>
  <c r="Y96"/>
  <c r="Y123"/>
  <c r="Y93"/>
  <c r="U76"/>
  <c r="U80" s="1"/>
  <c r="U99" s="1"/>
  <c r="U117" s="1"/>
  <c r="U129" s="1"/>
  <c r="U106"/>
  <c r="U110" s="1"/>
  <c r="X108"/>
  <c r="AC105"/>
  <c r="AA109"/>
  <c r="Z107"/>
  <c r="AE109"/>
  <c r="AF64"/>
  <c r="AF109" s="1"/>
  <c r="V61"/>
  <c r="W44"/>
  <c r="AA19"/>
  <c r="AA92" s="1"/>
  <c r="AA122" s="1"/>
  <c r="Z21"/>
  <c r="Z95" s="1"/>
  <c r="AI53"/>
  <c r="Y86"/>
  <c r="Y79"/>
  <c r="AM51"/>
  <c r="AC84"/>
  <c r="Y87"/>
  <c r="X78"/>
  <c r="AH46"/>
  <c r="AJ42"/>
  <c r="AB85"/>
  <c r="AG52"/>
  <c r="AM43"/>
  <c r="AC75"/>
  <c r="AJ50"/>
  <c r="Z83"/>
  <c r="Z74"/>
  <c r="AJ45"/>
  <c r="Z77"/>
  <c r="AK47"/>
  <c r="Z18"/>
  <c r="Z91" s="1"/>
  <c r="Z121" s="1"/>
  <c r="AA34"/>
  <c r="AA67" s="1"/>
  <c r="AA113" s="1"/>
  <c r="AG31"/>
  <c r="AG64" s="1"/>
  <c r="AG109" s="1"/>
  <c r="AI28"/>
  <c r="AD35"/>
  <c r="AD68" s="1"/>
  <c r="AD114" s="1"/>
  <c r="AA15"/>
  <c r="Z37"/>
  <c r="Z70" s="1"/>
  <c r="Z116" s="1"/>
  <c r="AD14"/>
  <c r="AC36"/>
  <c r="AC69" s="1"/>
  <c r="AC115" s="1"/>
  <c r="Y30"/>
  <c r="Y63" s="1"/>
  <c r="AD27"/>
  <c r="AD60" s="1"/>
  <c r="AI26"/>
  <c r="AI59" s="1"/>
  <c r="AI104" s="1"/>
  <c r="AA29"/>
  <c r="AA62" s="1"/>
  <c r="Y230" l="1"/>
  <c r="Z125"/>
  <c r="AB17"/>
  <c r="AA90"/>
  <c r="AA120" s="1"/>
  <c r="AQ220"/>
  <c r="AP228"/>
  <c r="AE148"/>
  <c r="AE149"/>
  <c r="Z138"/>
  <c r="AA136"/>
  <c r="AA151"/>
  <c r="AB146"/>
  <c r="AA142"/>
  <c r="AB140"/>
  <c r="AD147"/>
  <c r="Y127"/>
  <c r="U131"/>
  <c r="U238" s="1"/>
  <c r="U240" s="1"/>
  <c r="Y97"/>
  <c r="Z126"/>
  <c r="Z96"/>
  <c r="Z123"/>
  <c r="Z93"/>
  <c r="AA107"/>
  <c r="Y108"/>
  <c r="V76"/>
  <c r="V80" s="1"/>
  <c r="V99" s="1"/>
  <c r="V117" s="1"/>
  <c r="V129" s="1"/>
  <c r="V106"/>
  <c r="V110" s="1"/>
  <c r="AD105"/>
  <c r="W61"/>
  <c r="X44"/>
  <c r="AB19"/>
  <c r="AB92" s="1"/>
  <c r="AB122" s="1"/>
  <c r="AA21"/>
  <c r="AA95" s="1"/>
  <c r="AC85"/>
  <c r="AH52"/>
  <c r="Y78"/>
  <c r="AI46"/>
  <c r="AK50"/>
  <c r="AA83"/>
  <c r="AA74"/>
  <c r="AN51"/>
  <c r="AD84"/>
  <c r="AN43"/>
  <c r="AD75"/>
  <c r="AJ53"/>
  <c r="Z86"/>
  <c r="Z87" s="1"/>
  <c r="Z79"/>
  <c r="AL47"/>
  <c r="AA18"/>
  <c r="AA91" s="1"/>
  <c r="AA121" s="1"/>
  <c r="AK45"/>
  <c r="AA77"/>
  <c r="AK42"/>
  <c r="AB34"/>
  <c r="AB67" s="1"/>
  <c r="AB113" s="1"/>
  <c r="Z30"/>
  <c r="Z63" s="1"/>
  <c r="AB15"/>
  <c r="AA37"/>
  <c r="AA70" s="1"/>
  <c r="AA116" s="1"/>
  <c r="AJ28"/>
  <c r="AH31"/>
  <c r="AH64" s="1"/>
  <c r="AH109" s="1"/>
  <c r="AE27"/>
  <c r="AE60" s="1"/>
  <c r="AD36"/>
  <c r="AD69" s="1"/>
  <c r="AD115" s="1"/>
  <c r="AE14"/>
  <c r="AE35"/>
  <c r="AE68" s="1"/>
  <c r="AE114" s="1"/>
  <c r="AJ26"/>
  <c r="AJ59" s="1"/>
  <c r="AJ104" s="1"/>
  <c r="AB29"/>
  <c r="AB62" s="1"/>
  <c r="AA125" l="1"/>
  <c r="Z230"/>
  <c r="AC17"/>
  <c r="AB90"/>
  <c r="AB120" s="1"/>
  <c r="AQ228"/>
  <c r="AR220"/>
  <c r="AB151"/>
  <c r="AC146"/>
  <c r="AF149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E147"/>
  <c r="AF148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A138"/>
  <c r="AB136"/>
  <c r="AB142"/>
  <c r="AC140"/>
  <c r="Z127"/>
  <c r="V131"/>
  <c r="V238" s="1"/>
  <c r="V240" s="1"/>
  <c r="Z97"/>
  <c r="AA126"/>
  <c r="AA96"/>
  <c r="AA123"/>
  <c r="AA93"/>
  <c r="Z108"/>
  <c r="AE105"/>
  <c r="AB107"/>
  <c r="W76"/>
  <c r="W80" s="1"/>
  <c r="W99" s="1"/>
  <c r="W117" s="1"/>
  <c r="W129" s="1"/>
  <c r="W106"/>
  <c r="W110" s="1"/>
  <c r="X61"/>
  <c r="Y44"/>
  <c r="AC19"/>
  <c r="AC92" s="1"/>
  <c r="AC122" s="1"/>
  <c r="AB21"/>
  <c r="AB95" s="1"/>
  <c r="AO51"/>
  <c r="AE84"/>
  <c r="AM47"/>
  <c r="AJ46"/>
  <c r="Z78"/>
  <c r="AL50"/>
  <c r="AB83"/>
  <c r="AB74"/>
  <c r="AL42"/>
  <c r="AO43"/>
  <c r="AE75"/>
  <c r="AB18"/>
  <c r="AB91" s="1"/>
  <c r="AB121" s="1"/>
  <c r="AL45"/>
  <c r="AB77"/>
  <c r="AD85"/>
  <c r="AI52"/>
  <c r="AA86"/>
  <c r="AA87" s="1"/>
  <c r="AK53"/>
  <c r="AA79"/>
  <c r="AC34"/>
  <c r="AC67" s="1"/>
  <c r="AC113" s="1"/>
  <c r="AF35"/>
  <c r="AF68" s="1"/>
  <c r="AF114" s="1"/>
  <c r="AK28"/>
  <c r="AA30"/>
  <c r="AA63" s="1"/>
  <c r="AE36"/>
  <c r="AE69" s="1"/>
  <c r="AE115" s="1"/>
  <c r="AF14"/>
  <c r="AF27"/>
  <c r="AF60" s="1"/>
  <c r="AF105" s="1"/>
  <c r="AI31"/>
  <c r="AI64" s="1"/>
  <c r="AI109" s="1"/>
  <c r="AC15"/>
  <c r="AB37"/>
  <c r="AB70" s="1"/>
  <c r="AB116" s="1"/>
  <c r="AK26"/>
  <c r="AK59" s="1"/>
  <c r="AK104" s="1"/>
  <c r="AC29"/>
  <c r="AC62" s="1"/>
  <c r="AB125" l="1"/>
  <c r="AA230"/>
  <c r="AD17"/>
  <c r="AC90"/>
  <c r="AC120" s="1"/>
  <c r="AR228"/>
  <c r="AS220"/>
  <c r="AS228" s="1"/>
  <c r="AC142"/>
  <c r="AD140"/>
  <c r="AF147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B138"/>
  <c r="AC136"/>
  <c r="AC151"/>
  <c r="AD146"/>
  <c r="W131"/>
  <c r="W238" s="1"/>
  <c r="W240" s="1"/>
  <c r="AA127"/>
  <c r="AA97"/>
  <c r="AB126"/>
  <c r="AB96"/>
  <c r="AB123"/>
  <c r="AB93"/>
  <c r="AC107"/>
  <c r="AA108"/>
  <c r="X76"/>
  <c r="X80" s="1"/>
  <c r="X99" s="1"/>
  <c r="X117" s="1"/>
  <c r="X129" s="1"/>
  <c r="X106"/>
  <c r="X110" s="1"/>
  <c r="Y61"/>
  <c r="Z44"/>
  <c r="AD19"/>
  <c r="AD92" s="1"/>
  <c r="AD122" s="1"/>
  <c r="AC21"/>
  <c r="AC95" s="1"/>
  <c r="AM50"/>
  <c r="AC83"/>
  <c r="AC74"/>
  <c r="AB86"/>
  <c r="AB87" s="1"/>
  <c r="AL53"/>
  <c r="AB79"/>
  <c r="AP51"/>
  <c r="AF84"/>
  <c r="AM42"/>
  <c r="AP43"/>
  <c r="AF75"/>
  <c r="AE85"/>
  <c r="AJ52"/>
  <c r="AM45"/>
  <c r="AC77"/>
  <c r="AN47"/>
  <c r="AA78"/>
  <c r="AK46"/>
  <c r="AC18"/>
  <c r="AC91" s="1"/>
  <c r="AC121" s="1"/>
  <c r="AD34"/>
  <c r="AD67" s="1"/>
  <c r="AD113" s="1"/>
  <c r="AJ31"/>
  <c r="AJ64" s="1"/>
  <c r="AJ109" s="1"/>
  <c r="AG27"/>
  <c r="AG60" s="1"/>
  <c r="AG105" s="1"/>
  <c r="AB30"/>
  <c r="AB63" s="1"/>
  <c r="AG35"/>
  <c r="AG68" s="1"/>
  <c r="AG114" s="1"/>
  <c r="AD15"/>
  <c r="AC37"/>
  <c r="AC70" s="1"/>
  <c r="AC116" s="1"/>
  <c r="AL28"/>
  <c r="AG14"/>
  <c r="AF36"/>
  <c r="AF69" s="1"/>
  <c r="AF115" s="1"/>
  <c r="AL26"/>
  <c r="AL59" s="1"/>
  <c r="AL104" s="1"/>
  <c r="AD29"/>
  <c r="AD62" s="1"/>
  <c r="AC125" l="1"/>
  <c r="AB230"/>
  <c r="AE17"/>
  <c r="AD90"/>
  <c r="AD120" s="1"/>
  <c r="AE146"/>
  <c r="AD151"/>
  <c r="AC138"/>
  <c r="AD136"/>
  <c r="AE140"/>
  <c r="AD142"/>
  <c r="AB127"/>
  <c r="X131"/>
  <c r="X238" s="1"/>
  <c r="X240" s="1"/>
  <c r="AC126"/>
  <c r="AC96"/>
  <c r="AB97"/>
  <c r="AC123"/>
  <c r="AC93"/>
  <c r="Y76"/>
  <c r="Y80" s="1"/>
  <c r="Y99" s="1"/>
  <c r="Y117" s="1"/>
  <c r="Y129" s="1"/>
  <c r="Y106"/>
  <c r="Y110" s="1"/>
  <c r="AD107"/>
  <c r="AB108"/>
  <c r="Z61"/>
  <c r="AA44"/>
  <c r="AE19"/>
  <c r="AE92" s="1"/>
  <c r="AE122" s="1"/>
  <c r="AD21"/>
  <c r="AD95" s="1"/>
  <c r="AN42"/>
  <c r="AC86"/>
  <c r="AC87" s="1"/>
  <c r="AM53"/>
  <c r="AC79"/>
  <c r="AQ43"/>
  <c r="AG75"/>
  <c r="AN45"/>
  <c r="AD77"/>
  <c r="AB78"/>
  <c r="AL46"/>
  <c r="AD18"/>
  <c r="AD91" s="1"/>
  <c r="AD121" s="1"/>
  <c r="AF85"/>
  <c r="AK52"/>
  <c r="AO47"/>
  <c r="AQ51"/>
  <c r="AG84"/>
  <c r="AN50"/>
  <c r="AD83"/>
  <c r="AD74"/>
  <c r="AE34"/>
  <c r="AE67" s="1"/>
  <c r="AE113" s="1"/>
  <c r="AM28"/>
  <c r="AD37"/>
  <c r="AD70" s="1"/>
  <c r="AD116" s="1"/>
  <c r="AE15"/>
  <c r="AC30"/>
  <c r="AC63" s="1"/>
  <c r="AK31"/>
  <c r="AK64" s="1"/>
  <c r="AK109" s="1"/>
  <c r="AH14"/>
  <c r="AG36"/>
  <c r="AG69" s="1"/>
  <c r="AG115" s="1"/>
  <c r="AH35"/>
  <c r="AH68" s="1"/>
  <c r="AH114" s="1"/>
  <c r="AH27"/>
  <c r="AH60" s="1"/>
  <c r="AH105" s="1"/>
  <c r="AM26"/>
  <c r="AM59" s="1"/>
  <c r="AM104" s="1"/>
  <c r="AE29"/>
  <c r="AE62" s="1"/>
  <c r="AD125" l="1"/>
  <c r="AC230"/>
  <c r="AF17"/>
  <c r="AE90"/>
  <c r="AE120" s="1"/>
  <c r="AD138"/>
  <c r="AE136"/>
  <c r="AE142"/>
  <c r="AF140"/>
  <c r="AE151"/>
  <c r="AF146"/>
  <c r="Y131"/>
  <c r="Y238" s="1"/>
  <c r="Y240" s="1"/>
  <c r="AC97"/>
  <c r="AC127"/>
  <c r="AD126"/>
  <c r="AD96"/>
  <c r="AD123"/>
  <c r="AD93"/>
  <c r="AE107"/>
  <c r="AC108"/>
  <c r="Z76"/>
  <c r="Z80" s="1"/>
  <c r="Z99" s="1"/>
  <c r="Z117" s="1"/>
  <c r="Z129" s="1"/>
  <c r="Z106"/>
  <c r="Z110" s="1"/>
  <c r="AA61"/>
  <c r="AB44"/>
  <c r="AF19"/>
  <c r="AF92" s="1"/>
  <c r="AF122" s="1"/>
  <c r="AE21"/>
  <c r="AE95" s="1"/>
  <c r="AR51"/>
  <c r="AH84"/>
  <c r="AC78"/>
  <c r="AM46"/>
  <c r="AO50"/>
  <c r="AE83"/>
  <c r="AE74"/>
  <c r="AR43"/>
  <c r="AH75"/>
  <c r="AP47"/>
  <c r="AO42"/>
  <c r="AD86"/>
  <c r="AD87" s="1"/>
  <c r="AN53"/>
  <c r="AD79"/>
  <c r="AE18"/>
  <c r="AE91" s="1"/>
  <c r="AE121" s="1"/>
  <c r="AO45"/>
  <c r="AE77"/>
  <c r="AG85"/>
  <c r="AL52"/>
  <c r="AF34"/>
  <c r="AF67" s="1"/>
  <c r="AF113" s="1"/>
  <c r="AE37"/>
  <c r="AE70" s="1"/>
  <c r="AE116" s="1"/>
  <c r="AF15"/>
  <c r="AI35"/>
  <c r="AI68" s="1"/>
  <c r="AI114" s="1"/>
  <c r="AI14"/>
  <c r="AH36"/>
  <c r="AH69" s="1"/>
  <c r="AH115" s="1"/>
  <c r="AD30"/>
  <c r="AD63" s="1"/>
  <c r="AN28"/>
  <c r="AI27"/>
  <c r="AI60" s="1"/>
  <c r="AI105" s="1"/>
  <c r="AL31"/>
  <c r="AL64" s="1"/>
  <c r="AL109" s="1"/>
  <c r="AN26"/>
  <c r="AN59" s="1"/>
  <c r="AN104" s="1"/>
  <c r="AF29"/>
  <c r="AF62" s="1"/>
  <c r="AF107" s="1"/>
  <c r="AE125" l="1"/>
  <c r="AD230"/>
  <c r="AG17"/>
  <c r="AF90"/>
  <c r="AF120" s="1"/>
  <c r="AG140"/>
  <c r="AF142"/>
  <c r="AF151"/>
  <c r="AG146"/>
  <c r="AF136"/>
  <c r="AE138"/>
  <c r="AD127"/>
  <c r="Z131"/>
  <c r="Z238" s="1"/>
  <c r="Z240" s="1"/>
  <c r="AD97"/>
  <c r="AE126"/>
  <c r="AE96"/>
  <c r="AE123"/>
  <c r="AE93"/>
  <c r="AD108"/>
  <c r="AA76"/>
  <c r="AA80" s="1"/>
  <c r="AA99" s="1"/>
  <c r="AA117" s="1"/>
  <c r="AA129" s="1"/>
  <c r="AA106"/>
  <c r="AA110" s="1"/>
  <c r="AB61"/>
  <c r="AC44"/>
  <c r="AG19"/>
  <c r="AG92" s="1"/>
  <c r="AG122" s="1"/>
  <c r="AF21"/>
  <c r="AF95" s="1"/>
  <c r="AF125" s="1"/>
  <c r="AP42"/>
  <c r="AN46"/>
  <c r="AD78"/>
  <c r="AP45"/>
  <c r="AF77"/>
  <c r="AS51"/>
  <c r="AI84"/>
  <c r="AS43"/>
  <c r="AI75"/>
  <c r="AP50"/>
  <c r="AF83"/>
  <c r="AF74"/>
  <c r="AQ47"/>
  <c r="AH85"/>
  <c r="AM52"/>
  <c r="AE86"/>
  <c r="AE87" s="1"/>
  <c r="AO53"/>
  <c r="AE79"/>
  <c r="AF18"/>
  <c r="AF91" s="1"/>
  <c r="AF121" s="1"/>
  <c r="AG34"/>
  <c r="AG67" s="1"/>
  <c r="AG113" s="1"/>
  <c r="AO28"/>
  <c r="AJ14"/>
  <c r="AI36"/>
  <c r="AI69" s="1"/>
  <c r="AI115" s="1"/>
  <c r="AG15"/>
  <c r="AF37"/>
  <c r="AF70" s="1"/>
  <c r="AF116" s="1"/>
  <c r="AM31"/>
  <c r="AM64" s="1"/>
  <c r="AM109" s="1"/>
  <c r="AJ27"/>
  <c r="AJ60" s="1"/>
  <c r="AJ105" s="1"/>
  <c r="AJ35"/>
  <c r="AE30"/>
  <c r="AE63" s="1"/>
  <c r="AO26"/>
  <c r="AO59" s="1"/>
  <c r="AO104" s="1"/>
  <c r="AG29"/>
  <c r="AG62" s="1"/>
  <c r="AG107" s="1"/>
  <c r="AE230" l="1"/>
  <c r="AH17"/>
  <c r="AG90"/>
  <c r="AG120" s="1"/>
  <c r="AF138"/>
  <c r="AF230" s="1"/>
  <c r="AG136"/>
  <c r="AG142"/>
  <c r="AH140"/>
  <c r="AG151"/>
  <c r="AH146"/>
  <c r="AE97"/>
  <c r="AE127"/>
  <c r="AA131"/>
  <c r="AA238" s="1"/>
  <c r="AA240" s="1"/>
  <c r="AF126"/>
  <c r="AF96"/>
  <c r="AF123"/>
  <c r="AF93"/>
  <c r="AE108"/>
  <c r="AB76"/>
  <c r="AB80" s="1"/>
  <c r="AB99" s="1"/>
  <c r="AB117" s="1"/>
  <c r="AB129" s="1"/>
  <c r="AB106"/>
  <c r="AB110" s="1"/>
  <c r="AC61"/>
  <c r="AD44"/>
  <c r="AH19"/>
  <c r="AH92" s="1"/>
  <c r="AH122" s="1"/>
  <c r="AJ68"/>
  <c r="AJ75"/>
  <c r="AG21"/>
  <c r="AG95" s="1"/>
  <c r="AG125" s="1"/>
  <c r="AQ42"/>
  <c r="AR47"/>
  <c r="AQ45"/>
  <c r="AG77"/>
  <c r="AI85"/>
  <c r="AN52"/>
  <c r="AG18"/>
  <c r="AG91" s="1"/>
  <c r="AG121" s="1"/>
  <c r="AQ50"/>
  <c r="AG83"/>
  <c r="AG74"/>
  <c r="AE78"/>
  <c r="AO46"/>
  <c r="AF86"/>
  <c r="AF87" s="1"/>
  <c r="AP53"/>
  <c r="AF79"/>
  <c r="AH34"/>
  <c r="AH67" s="1"/>
  <c r="AH113" s="1"/>
  <c r="AF30"/>
  <c r="AF63" s="1"/>
  <c r="AF108" s="1"/>
  <c r="AK35"/>
  <c r="AN31"/>
  <c r="AN64" s="1"/>
  <c r="AN109" s="1"/>
  <c r="AK14"/>
  <c r="AJ36"/>
  <c r="AJ69" s="1"/>
  <c r="AJ115" s="1"/>
  <c r="AK27"/>
  <c r="AK60" s="1"/>
  <c r="AK105" s="1"/>
  <c r="AH15"/>
  <c r="AG37"/>
  <c r="AG70" s="1"/>
  <c r="AG116" s="1"/>
  <c r="AP28"/>
  <c r="AP26"/>
  <c r="AP59" s="1"/>
  <c r="AP104" s="1"/>
  <c r="AH29"/>
  <c r="AH62" s="1"/>
  <c r="AH107" s="1"/>
  <c r="AI17" l="1"/>
  <c r="AH90"/>
  <c r="AH120" s="1"/>
  <c r="AH142"/>
  <c r="AI140"/>
  <c r="AH151"/>
  <c r="AI146"/>
  <c r="AG138"/>
  <c r="AG230" s="1"/>
  <c r="AH136"/>
  <c r="AB131"/>
  <c r="AB238" s="1"/>
  <c r="AB240" s="1"/>
  <c r="AF127"/>
  <c r="AG126"/>
  <c r="AG96"/>
  <c r="AF97"/>
  <c r="AG123"/>
  <c r="AG93"/>
  <c r="AC76"/>
  <c r="AC80" s="1"/>
  <c r="AC99" s="1"/>
  <c r="AC117" s="1"/>
  <c r="AC129" s="1"/>
  <c r="AC106"/>
  <c r="AC110" s="1"/>
  <c r="AJ84"/>
  <c r="AJ114"/>
  <c r="AD61"/>
  <c r="AE44"/>
  <c r="AK68"/>
  <c r="AI19"/>
  <c r="AI92" s="1"/>
  <c r="AI122" s="1"/>
  <c r="AK75"/>
  <c r="AH21"/>
  <c r="AH95" s="1"/>
  <c r="AH125" s="1"/>
  <c r="AR45"/>
  <c r="AH77"/>
  <c r="AS47"/>
  <c r="AG86"/>
  <c r="AG87" s="1"/>
  <c r="AQ53"/>
  <c r="AG79"/>
  <c r="AR50"/>
  <c r="AH83"/>
  <c r="AH74"/>
  <c r="AJ85"/>
  <c r="AO52"/>
  <c r="AF78"/>
  <c r="AP46"/>
  <c r="AR42"/>
  <c r="AH18"/>
  <c r="AH91" s="1"/>
  <c r="AH121" s="1"/>
  <c r="AI34"/>
  <c r="AI67" s="1"/>
  <c r="AI113" s="1"/>
  <c r="AL14"/>
  <c r="AK36"/>
  <c r="AK69" s="1"/>
  <c r="AK115" s="1"/>
  <c r="AQ28"/>
  <c r="AI15"/>
  <c r="AH37"/>
  <c r="AH70" s="1"/>
  <c r="AH116" s="1"/>
  <c r="AO31"/>
  <c r="AO64" s="1"/>
  <c r="AO109" s="1"/>
  <c r="AG30"/>
  <c r="AG63" s="1"/>
  <c r="AG108" s="1"/>
  <c r="AL27"/>
  <c r="AL60" s="1"/>
  <c r="AL105" s="1"/>
  <c r="AL35"/>
  <c r="AQ26"/>
  <c r="AQ59" s="1"/>
  <c r="AQ104" s="1"/>
  <c r="AI29"/>
  <c r="AI62" s="1"/>
  <c r="AI107" s="1"/>
  <c r="AJ17" l="1"/>
  <c r="AI90"/>
  <c r="AI120" s="1"/>
  <c r="AG127"/>
  <c r="AI142"/>
  <c r="AJ140"/>
  <c r="AH138"/>
  <c r="AH230" s="1"/>
  <c r="AI136"/>
  <c r="AI151"/>
  <c r="AJ146"/>
  <c r="AG97"/>
  <c r="AC131"/>
  <c r="AC238" s="1"/>
  <c r="AC240" s="1"/>
  <c r="AH126"/>
  <c r="AH96"/>
  <c r="AH123"/>
  <c r="AH93"/>
  <c r="AD76"/>
  <c r="AD80" s="1"/>
  <c r="AD99" s="1"/>
  <c r="AD117" s="1"/>
  <c r="AD129" s="1"/>
  <c r="AD106"/>
  <c r="AD110" s="1"/>
  <c r="AK84"/>
  <c r="AK114"/>
  <c r="AE61"/>
  <c r="AF44"/>
  <c r="AL68"/>
  <c r="AJ19"/>
  <c r="AJ92" s="1"/>
  <c r="AJ122" s="1"/>
  <c r="AL75"/>
  <c r="AI21"/>
  <c r="AI95" s="1"/>
  <c r="AI125" s="1"/>
  <c r="AS45"/>
  <c r="AI77"/>
  <c r="AG78"/>
  <c r="AQ46"/>
  <c r="AS50"/>
  <c r="AI83"/>
  <c r="AI74"/>
  <c r="AI18"/>
  <c r="AI91" s="1"/>
  <c r="AI121" s="1"/>
  <c r="AH86"/>
  <c r="AH87" s="1"/>
  <c r="AR53"/>
  <c r="AH79"/>
  <c r="AS42"/>
  <c r="AK85"/>
  <c r="AP52"/>
  <c r="AJ34"/>
  <c r="AJ67" s="1"/>
  <c r="AJ113" s="1"/>
  <c r="AM35"/>
  <c r="AH30"/>
  <c r="AH63" s="1"/>
  <c r="AH108" s="1"/>
  <c r="AJ15"/>
  <c r="AI37"/>
  <c r="AI70" s="1"/>
  <c r="AI116" s="1"/>
  <c r="AM14"/>
  <c r="AL36"/>
  <c r="AL69" s="1"/>
  <c r="AL115" s="1"/>
  <c r="AM27"/>
  <c r="AM60" s="1"/>
  <c r="AM105" s="1"/>
  <c r="AP31"/>
  <c r="AP64" s="1"/>
  <c r="AP109" s="1"/>
  <c r="AS28"/>
  <c r="AR28"/>
  <c r="AS26"/>
  <c r="AR26"/>
  <c r="AR59" s="1"/>
  <c r="AR104" s="1"/>
  <c r="AJ29"/>
  <c r="AJ62" s="1"/>
  <c r="AJ107" s="1"/>
  <c r="AK17" l="1"/>
  <c r="AJ90"/>
  <c r="AJ120" s="1"/>
  <c r="AI138"/>
  <c r="AI230" s="1"/>
  <c r="AJ136"/>
  <c r="AJ151"/>
  <c r="AK146"/>
  <c r="AJ142"/>
  <c r="AK140"/>
  <c r="AH97"/>
  <c r="AD131"/>
  <c r="AD238" s="1"/>
  <c r="AD240" s="1"/>
  <c r="AH127"/>
  <c r="AI126"/>
  <c r="AI96"/>
  <c r="AI123"/>
  <c r="AI93"/>
  <c r="AE76"/>
  <c r="AE80" s="1"/>
  <c r="AE99" s="1"/>
  <c r="AE117" s="1"/>
  <c r="AE129" s="1"/>
  <c r="AE106"/>
  <c r="AE110" s="1"/>
  <c r="AL84"/>
  <c r="AL114"/>
  <c r="AF61"/>
  <c r="AG44"/>
  <c r="AK19"/>
  <c r="AK92" s="1"/>
  <c r="AK122" s="1"/>
  <c r="AM68"/>
  <c r="AS59"/>
  <c r="AS104" s="1"/>
  <c r="AJ77"/>
  <c r="AM75"/>
  <c r="AJ21"/>
  <c r="AJ95" s="1"/>
  <c r="AJ125" s="1"/>
  <c r="AL85"/>
  <c r="AQ52"/>
  <c r="AR46"/>
  <c r="AH78"/>
  <c r="AI86"/>
  <c r="AI87" s="1"/>
  <c r="AS53"/>
  <c r="AI79"/>
  <c r="AJ83"/>
  <c r="AJ74"/>
  <c r="AJ18"/>
  <c r="AJ91" s="1"/>
  <c r="AJ121" s="1"/>
  <c r="AK34"/>
  <c r="AK67" s="1"/>
  <c r="AK113" s="1"/>
  <c r="E28"/>
  <c r="D28" s="1"/>
  <c r="AK15"/>
  <c r="AJ37"/>
  <c r="AJ70" s="1"/>
  <c r="AJ116" s="1"/>
  <c r="AN35"/>
  <c r="AQ31"/>
  <c r="AQ64" s="1"/>
  <c r="AQ109" s="1"/>
  <c r="AN27"/>
  <c r="AN60" s="1"/>
  <c r="AN105" s="1"/>
  <c r="AN14"/>
  <c r="AM36"/>
  <c r="AM69" s="1"/>
  <c r="AM115" s="1"/>
  <c r="AI30"/>
  <c r="AI63" s="1"/>
  <c r="AI108" s="1"/>
  <c r="E26"/>
  <c r="D26" s="1"/>
  <c r="AK29"/>
  <c r="AK62" s="1"/>
  <c r="AK107" s="1"/>
  <c r="AL17" l="1"/>
  <c r="AK90"/>
  <c r="AK120" s="1"/>
  <c r="AK142"/>
  <c r="AL140"/>
  <c r="AJ138"/>
  <c r="AJ230" s="1"/>
  <c r="AK136"/>
  <c r="AK151"/>
  <c r="AL146"/>
  <c r="AI127"/>
  <c r="AI97"/>
  <c r="AE131"/>
  <c r="AE238" s="1"/>
  <c r="AE240" s="1"/>
  <c r="AJ126"/>
  <c r="AJ96"/>
  <c r="AJ123"/>
  <c r="AJ93"/>
  <c r="AM84"/>
  <c r="AM114"/>
  <c r="AF76"/>
  <c r="AF80" s="1"/>
  <c r="AF99" s="1"/>
  <c r="AF117" s="1"/>
  <c r="AF129" s="1"/>
  <c r="AF106"/>
  <c r="AF110" s="1"/>
  <c r="AG61"/>
  <c r="AH44"/>
  <c r="AL19"/>
  <c r="AL92" s="1"/>
  <c r="AL122" s="1"/>
  <c r="AN68"/>
  <c r="AN75"/>
  <c r="AK77"/>
  <c r="AK21"/>
  <c r="AK95" s="1"/>
  <c r="AK125" s="1"/>
  <c r="AM85"/>
  <c r="AR52"/>
  <c r="AI78"/>
  <c r="AS46"/>
  <c r="AK18"/>
  <c r="AK91" s="1"/>
  <c r="AK121" s="1"/>
  <c r="AJ86"/>
  <c r="AJ87" s="1"/>
  <c r="AJ79"/>
  <c r="AK83"/>
  <c r="AK74"/>
  <c r="AL34"/>
  <c r="AL67" s="1"/>
  <c r="AL113" s="1"/>
  <c r="AO14"/>
  <c r="AN36"/>
  <c r="AN69" s="1"/>
  <c r="AN115" s="1"/>
  <c r="AS31"/>
  <c r="AS64" s="1"/>
  <c r="AS109" s="1"/>
  <c r="AR31"/>
  <c r="AR64" s="1"/>
  <c r="AR109" s="1"/>
  <c r="AL15"/>
  <c r="AK37"/>
  <c r="AK70" s="1"/>
  <c r="AK116" s="1"/>
  <c r="AJ30"/>
  <c r="AJ63" s="1"/>
  <c r="AJ108" s="1"/>
  <c r="AO27"/>
  <c r="AO60" s="1"/>
  <c r="AO105" s="1"/>
  <c r="AO35"/>
  <c r="AL29"/>
  <c r="AL62" s="1"/>
  <c r="AL107" s="1"/>
  <c r="AM17" l="1"/>
  <c r="AL90"/>
  <c r="AL120" s="1"/>
  <c r="AL151"/>
  <c r="AM146"/>
  <c r="AM140"/>
  <c r="AL142"/>
  <c r="AK138"/>
  <c r="AK230" s="1"/>
  <c r="AL136"/>
  <c r="AJ97"/>
  <c r="AF131"/>
  <c r="AF238" s="1"/>
  <c r="AF240" s="1"/>
  <c r="AJ127"/>
  <c r="AK126"/>
  <c r="AK96"/>
  <c r="AK123"/>
  <c r="AK93"/>
  <c r="AN84"/>
  <c r="AN114"/>
  <c r="AG76"/>
  <c r="AG80" s="1"/>
  <c r="AG99" s="1"/>
  <c r="AG117" s="1"/>
  <c r="AG129" s="1"/>
  <c r="AG106"/>
  <c r="AG110" s="1"/>
  <c r="AH61"/>
  <c r="AI44"/>
  <c r="AM19"/>
  <c r="AM92" s="1"/>
  <c r="AM122" s="1"/>
  <c r="AO68"/>
  <c r="AL77"/>
  <c r="AJ78"/>
  <c r="AO75"/>
  <c r="AL21"/>
  <c r="AL95" s="1"/>
  <c r="AL125" s="1"/>
  <c r="AL18"/>
  <c r="AL91" s="1"/>
  <c r="AL121" s="1"/>
  <c r="AK86"/>
  <c r="AK87" s="1"/>
  <c r="AK79"/>
  <c r="AN85"/>
  <c r="AS52"/>
  <c r="AL83"/>
  <c r="AL74"/>
  <c r="AM34"/>
  <c r="AM67" s="1"/>
  <c r="AM113" s="1"/>
  <c r="AP27"/>
  <c r="AP60" s="1"/>
  <c r="AP105" s="1"/>
  <c r="AM15"/>
  <c r="AL37"/>
  <c r="AL70" s="1"/>
  <c r="AL116" s="1"/>
  <c r="AP14"/>
  <c r="AO36"/>
  <c r="AP35"/>
  <c r="AK30"/>
  <c r="AK63" s="1"/>
  <c r="AK108" s="1"/>
  <c r="E31"/>
  <c r="AM29"/>
  <c r="AM62" s="1"/>
  <c r="AM107" s="1"/>
  <c r="AN17" l="1"/>
  <c r="AM90"/>
  <c r="AM120" s="1"/>
  <c r="AL138"/>
  <c r="AL230" s="1"/>
  <c r="AM136"/>
  <c r="AM151"/>
  <c r="AN146"/>
  <c r="AM142"/>
  <c r="AN140"/>
  <c r="AG131"/>
  <c r="AG238" s="1"/>
  <c r="AG240" s="1"/>
  <c r="AK127"/>
  <c r="AL126"/>
  <c r="AL96"/>
  <c r="AK97"/>
  <c r="AL123"/>
  <c r="AL93"/>
  <c r="AO84"/>
  <c r="AO114"/>
  <c r="AH76"/>
  <c r="AH80" s="1"/>
  <c r="AH99" s="1"/>
  <c r="AH117" s="1"/>
  <c r="AH129" s="1"/>
  <c r="AH106"/>
  <c r="AH110" s="1"/>
  <c r="AI61"/>
  <c r="AJ44"/>
  <c r="AN19"/>
  <c r="AN92" s="1"/>
  <c r="AN122" s="1"/>
  <c r="AO69"/>
  <c r="AP68"/>
  <c r="AM77"/>
  <c r="AP75"/>
  <c r="AK78"/>
  <c r="AM21"/>
  <c r="AM95" s="1"/>
  <c r="AM125" s="1"/>
  <c r="AL86"/>
  <c r="AL87" s="1"/>
  <c r="AL79"/>
  <c r="AM18"/>
  <c r="AM91" s="1"/>
  <c r="AM121" s="1"/>
  <c r="AM83"/>
  <c r="AM74"/>
  <c r="AN34"/>
  <c r="AN67" s="1"/>
  <c r="AN113" s="1"/>
  <c r="AL30"/>
  <c r="AL63" s="1"/>
  <c r="AL108" s="1"/>
  <c r="AP36"/>
  <c r="AQ14"/>
  <c r="AQ27"/>
  <c r="AQ60" s="1"/>
  <c r="AQ105" s="1"/>
  <c r="D31"/>
  <c r="AQ35"/>
  <c r="AN15"/>
  <c r="AM37"/>
  <c r="AM70" s="1"/>
  <c r="AM116" s="1"/>
  <c r="AN29"/>
  <c r="AN62" s="1"/>
  <c r="AN107" s="1"/>
  <c r="AO17" l="1"/>
  <c r="AN90"/>
  <c r="AN120" s="1"/>
  <c r="AL97"/>
  <c r="AN151"/>
  <c r="AO146"/>
  <c r="AO140"/>
  <c r="AN142"/>
  <c r="AM138"/>
  <c r="AM230" s="1"/>
  <c r="AN136"/>
  <c r="AH131"/>
  <c r="AH238" s="1"/>
  <c r="AH240" s="1"/>
  <c r="AL127"/>
  <c r="AM126"/>
  <c r="AM96"/>
  <c r="AM123"/>
  <c r="AM93"/>
  <c r="AI76"/>
  <c r="AI80" s="1"/>
  <c r="AI99" s="1"/>
  <c r="AI117" s="1"/>
  <c r="AI129" s="1"/>
  <c r="AI106"/>
  <c r="AI110" s="1"/>
  <c r="AO85"/>
  <c r="AO115"/>
  <c r="AP84"/>
  <c r="AP114"/>
  <c r="AJ61"/>
  <c r="AK44"/>
  <c r="AO19"/>
  <c r="AO92" s="1"/>
  <c r="AO122" s="1"/>
  <c r="AQ68"/>
  <c r="AP69"/>
  <c r="AQ75"/>
  <c r="AN77"/>
  <c r="AL78"/>
  <c r="AN21"/>
  <c r="AN95" s="1"/>
  <c r="AN125" s="1"/>
  <c r="AM86"/>
  <c r="AM87" s="1"/>
  <c r="AM79"/>
  <c r="AN83"/>
  <c r="AN74"/>
  <c r="AN18"/>
  <c r="AN91" s="1"/>
  <c r="AN121" s="1"/>
  <c r="AO34"/>
  <c r="AO67" s="1"/>
  <c r="AO113" s="1"/>
  <c r="AM30"/>
  <c r="AM63" s="1"/>
  <c r="AM108" s="1"/>
  <c r="AS35"/>
  <c r="AR35"/>
  <c r="AS27"/>
  <c r="AS60" s="1"/>
  <c r="AS105" s="1"/>
  <c r="AR27"/>
  <c r="AR60" s="1"/>
  <c r="AR105" s="1"/>
  <c r="AO15"/>
  <c r="AN37"/>
  <c r="AN70" s="1"/>
  <c r="AN116" s="1"/>
  <c r="AQ36"/>
  <c r="AR14"/>
  <c r="AO29"/>
  <c r="AO62" s="1"/>
  <c r="AO107" s="1"/>
  <c r="AP17" l="1"/>
  <c r="AO90"/>
  <c r="AO120" s="1"/>
  <c r="AM97"/>
  <c r="AN138"/>
  <c r="AN230" s="1"/>
  <c r="AO136"/>
  <c r="AP146"/>
  <c r="AO151"/>
  <c r="AP140"/>
  <c r="AO142"/>
  <c r="AI131"/>
  <c r="AI238" s="1"/>
  <c r="AI240" s="1"/>
  <c r="AM127"/>
  <c r="AN126"/>
  <c r="AN96"/>
  <c r="AN123"/>
  <c r="AN93"/>
  <c r="AP85"/>
  <c r="AP115"/>
  <c r="AQ84"/>
  <c r="AQ114"/>
  <c r="AJ76"/>
  <c r="AJ80" s="1"/>
  <c r="AJ99" s="1"/>
  <c r="AJ117" s="1"/>
  <c r="AJ129" s="1"/>
  <c r="AJ106"/>
  <c r="AJ110" s="1"/>
  <c r="AK61"/>
  <c r="AL44"/>
  <c r="AS68"/>
  <c r="AP19"/>
  <c r="AP92" s="1"/>
  <c r="AP122" s="1"/>
  <c r="AR68"/>
  <c r="AQ69"/>
  <c r="AS75"/>
  <c r="AR75"/>
  <c r="AM78"/>
  <c r="AO77"/>
  <c r="AO21"/>
  <c r="AO95" s="1"/>
  <c r="AO125" s="1"/>
  <c r="AO83"/>
  <c r="AO74"/>
  <c r="AO18"/>
  <c r="AO91" s="1"/>
  <c r="AO121" s="1"/>
  <c r="AN86"/>
  <c r="AN87" s="1"/>
  <c r="AN79"/>
  <c r="AP34"/>
  <c r="AP67" s="1"/>
  <c r="AP113" s="1"/>
  <c r="AN30"/>
  <c r="AN63" s="1"/>
  <c r="AN108" s="1"/>
  <c r="E27"/>
  <c r="AR36"/>
  <c r="AS14"/>
  <c r="AS36" s="1"/>
  <c r="AP15"/>
  <c r="AO37"/>
  <c r="AO70" s="1"/>
  <c r="AO116" s="1"/>
  <c r="E35"/>
  <c r="D35" s="1"/>
  <c r="AP29"/>
  <c r="AP62" s="1"/>
  <c r="AP107" s="1"/>
  <c r="AQ17" l="1"/>
  <c r="AP90"/>
  <c r="AP120" s="1"/>
  <c r="AP142"/>
  <c r="AQ140"/>
  <c r="AO138"/>
  <c r="AO230" s="1"/>
  <c r="AP136"/>
  <c r="AP151"/>
  <c r="AQ146"/>
  <c r="AN97"/>
  <c r="AJ131"/>
  <c r="AJ238" s="1"/>
  <c r="AJ240" s="1"/>
  <c r="AN127"/>
  <c r="AO126"/>
  <c r="AO96"/>
  <c r="AO123"/>
  <c r="AO93"/>
  <c r="AK76"/>
  <c r="AK80" s="1"/>
  <c r="AK99" s="1"/>
  <c r="AK117" s="1"/>
  <c r="AK129" s="1"/>
  <c r="AK106"/>
  <c r="AK110" s="1"/>
  <c r="AR84"/>
  <c r="AR114"/>
  <c r="AQ85"/>
  <c r="AQ115"/>
  <c r="AS84"/>
  <c r="AS114"/>
  <c r="AL61"/>
  <c r="AM44"/>
  <c r="AR69"/>
  <c r="AS69"/>
  <c r="AQ19"/>
  <c r="AQ92" s="1"/>
  <c r="AQ122" s="1"/>
  <c r="AP77"/>
  <c r="AN78"/>
  <c r="AP21"/>
  <c r="AP95" s="1"/>
  <c r="AP125" s="1"/>
  <c r="AP83"/>
  <c r="AP74"/>
  <c r="AP18"/>
  <c r="AP91" s="1"/>
  <c r="AP121" s="1"/>
  <c r="AO86"/>
  <c r="AO87" s="1"/>
  <c r="AO79"/>
  <c r="AQ34"/>
  <c r="AQ67" s="1"/>
  <c r="AQ113" s="1"/>
  <c r="AO30"/>
  <c r="AO63" s="1"/>
  <c r="AO108" s="1"/>
  <c r="E36"/>
  <c r="D36" s="1"/>
  <c r="AP37"/>
  <c r="AP70" s="1"/>
  <c r="AP116" s="1"/>
  <c r="AQ15"/>
  <c r="D27"/>
  <c r="AQ29"/>
  <c r="AQ62" s="1"/>
  <c r="AQ107" s="1"/>
  <c r="AR17" l="1"/>
  <c r="AQ90"/>
  <c r="AQ120" s="1"/>
  <c r="AP138"/>
  <c r="AP230" s="1"/>
  <c r="AQ136"/>
  <c r="AQ151"/>
  <c r="AR146"/>
  <c r="AQ142"/>
  <c r="AR140"/>
  <c r="AO97"/>
  <c r="AK131"/>
  <c r="AK238" s="1"/>
  <c r="AK240" s="1"/>
  <c r="AO127"/>
  <c r="AP126"/>
  <c r="AP96"/>
  <c r="AP123"/>
  <c r="AP93"/>
  <c r="AL76"/>
  <c r="AL80" s="1"/>
  <c r="AL99" s="1"/>
  <c r="AL117" s="1"/>
  <c r="AL129" s="1"/>
  <c r="AL106"/>
  <c r="AL110" s="1"/>
  <c r="AS85"/>
  <c r="AS115"/>
  <c r="AR85"/>
  <c r="AR115"/>
  <c r="AM61"/>
  <c r="AN44"/>
  <c r="AR19"/>
  <c r="AR92" s="1"/>
  <c r="AR122" s="1"/>
  <c r="AO78"/>
  <c r="AQ77"/>
  <c r="AQ21"/>
  <c r="AQ95" s="1"/>
  <c r="AQ125" s="1"/>
  <c r="AP86"/>
  <c r="AP87" s="1"/>
  <c r="AP79"/>
  <c r="AQ83"/>
  <c r="AQ74"/>
  <c r="AQ18"/>
  <c r="AQ91" s="1"/>
  <c r="AQ121" s="1"/>
  <c r="AR34"/>
  <c r="AR67" s="1"/>
  <c r="AR113" s="1"/>
  <c r="AS34"/>
  <c r="AS67" s="1"/>
  <c r="AS113" s="1"/>
  <c r="AR15"/>
  <c r="AQ37"/>
  <c r="AQ70" s="1"/>
  <c r="AQ116" s="1"/>
  <c r="AP30"/>
  <c r="AP63" s="1"/>
  <c r="AP108" s="1"/>
  <c r="AS29"/>
  <c r="AS62" s="1"/>
  <c r="AS107" s="1"/>
  <c r="AR29"/>
  <c r="AR62" s="1"/>
  <c r="AR107" s="1"/>
  <c r="AS17" l="1"/>
  <c r="AS90" s="1"/>
  <c r="AS120" s="1"/>
  <c r="AR90"/>
  <c r="AR120" s="1"/>
  <c r="AP127"/>
  <c r="AS146"/>
  <c r="AS151" s="1"/>
  <c r="AR151"/>
  <c r="AR142"/>
  <c r="AS140"/>
  <c r="AS142" s="1"/>
  <c r="AR136"/>
  <c r="AQ138"/>
  <c r="AQ230" s="1"/>
  <c r="AP97"/>
  <c r="AL131"/>
  <c r="AL238" s="1"/>
  <c r="AL240" s="1"/>
  <c r="AQ126"/>
  <c r="AQ96"/>
  <c r="AQ123"/>
  <c r="AQ93"/>
  <c r="AM76"/>
  <c r="AM80" s="1"/>
  <c r="AM99" s="1"/>
  <c r="AM117" s="1"/>
  <c r="AM129" s="1"/>
  <c r="AM106"/>
  <c r="AM110" s="1"/>
  <c r="AN61"/>
  <c r="AO44"/>
  <c r="AS19"/>
  <c r="AS92" s="1"/>
  <c r="AS122" s="1"/>
  <c r="AP78"/>
  <c r="AS77"/>
  <c r="AR77"/>
  <c r="AR21"/>
  <c r="AR95" s="1"/>
  <c r="AR125" s="1"/>
  <c r="AQ86"/>
  <c r="AQ87" s="1"/>
  <c r="AQ79"/>
  <c r="AR83"/>
  <c r="AR74"/>
  <c r="AR18"/>
  <c r="AR91" s="1"/>
  <c r="AR121" s="1"/>
  <c r="AS83"/>
  <c r="AS74"/>
  <c r="E34"/>
  <c r="D34" s="1"/>
  <c r="AS15"/>
  <c r="AS37" s="1"/>
  <c r="AS70" s="1"/>
  <c r="AS116" s="1"/>
  <c r="AR37"/>
  <c r="AR70" s="1"/>
  <c r="AR116" s="1"/>
  <c r="AQ30"/>
  <c r="AQ63" s="1"/>
  <c r="AQ108" s="1"/>
  <c r="E29"/>
  <c r="AR138" l="1"/>
  <c r="AR230" s="1"/>
  <c r="AS136"/>
  <c r="AS138" s="1"/>
  <c r="AS230" s="1"/>
  <c r="AM131"/>
  <c r="AM238" s="1"/>
  <c r="AM240" s="1"/>
  <c r="AQ127"/>
  <c r="AQ97"/>
  <c r="AR126"/>
  <c r="AR96"/>
  <c r="AR123"/>
  <c r="AR93"/>
  <c r="AN76"/>
  <c r="AN80" s="1"/>
  <c r="AN99" s="1"/>
  <c r="AN117" s="1"/>
  <c r="AN129" s="1"/>
  <c r="AN106"/>
  <c r="AN110" s="1"/>
  <c r="AO61"/>
  <c r="AP44"/>
  <c r="AQ78"/>
  <c r="AS21"/>
  <c r="AS95" s="1"/>
  <c r="AS125" s="1"/>
  <c r="AS86"/>
  <c r="AS87" s="1"/>
  <c r="AS79"/>
  <c r="AR86"/>
  <c r="AR87" s="1"/>
  <c r="AR79"/>
  <c r="AS18"/>
  <c r="AS91" s="1"/>
  <c r="AS121" s="1"/>
  <c r="E37"/>
  <c r="D37" s="1"/>
  <c r="AS30"/>
  <c r="AS63" s="1"/>
  <c r="AS108" s="1"/>
  <c r="AR30"/>
  <c r="AR63" s="1"/>
  <c r="AR108" s="1"/>
  <c r="D29"/>
  <c r="AR97" l="1"/>
  <c r="AR127"/>
  <c r="AN131"/>
  <c r="AN238" s="1"/>
  <c r="AN240" s="1"/>
  <c r="AS126"/>
  <c r="AS96"/>
  <c r="AS123"/>
  <c r="AS93"/>
  <c r="AO76"/>
  <c r="AO80" s="1"/>
  <c r="AO99" s="1"/>
  <c r="AO117" s="1"/>
  <c r="AO129" s="1"/>
  <c r="AO106"/>
  <c r="AO110" s="1"/>
  <c r="AP61"/>
  <c r="AQ44"/>
  <c r="AS78"/>
  <c r="AR78"/>
  <c r="E30"/>
  <c r="AO131" l="1"/>
  <c r="AO238" s="1"/>
  <c r="AO240" s="1"/>
  <c r="AS127"/>
  <c r="AS97"/>
  <c r="AP76"/>
  <c r="AP80" s="1"/>
  <c r="AP99" s="1"/>
  <c r="AP117" s="1"/>
  <c r="AP129" s="1"/>
  <c r="AP106"/>
  <c r="AP110" s="1"/>
  <c r="AQ61"/>
  <c r="AR44"/>
  <c r="D30"/>
  <c r="AP131" l="1"/>
  <c r="AP238" s="1"/>
  <c r="AP240" s="1"/>
  <c r="AQ76"/>
  <c r="AQ80" s="1"/>
  <c r="AQ99" s="1"/>
  <c r="AQ117" s="1"/>
  <c r="AQ129" s="1"/>
  <c r="AQ106"/>
  <c r="AQ110" s="1"/>
  <c r="AR61"/>
  <c r="AS44"/>
  <c r="AS61" s="1"/>
  <c r="L125" i="7"/>
  <c r="N125"/>
  <c r="E125"/>
  <c r="D125"/>
  <c r="J125"/>
  <c r="G125"/>
  <c r="M125"/>
  <c r="O125"/>
  <c r="H125"/>
  <c r="I125"/>
  <c r="K125"/>
  <c r="F125"/>
  <c r="C125"/>
  <c r="AQ131" i="3" l="1"/>
  <c r="AQ238" s="1"/>
  <c r="AQ240" s="1"/>
  <c r="AR76"/>
  <c r="AR80" s="1"/>
  <c r="AR99" s="1"/>
  <c r="AR117" s="1"/>
  <c r="AR129" s="1"/>
  <c r="AR106"/>
  <c r="AR110" s="1"/>
  <c r="AS76"/>
  <c r="AS80" s="1"/>
  <c r="AS99" s="1"/>
  <c r="AS117" s="1"/>
  <c r="AS129" s="1"/>
  <c r="AS106"/>
  <c r="AS110" s="1"/>
  <c r="AS131" l="1"/>
  <c r="AS238" s="1"/>
  <c r="AS240" s="1"/>
  <c r="AR131"/>
  <c r="AR238" s="1"/>
  <c r="AR240" s="1"/>
</calcChain>
</file>

<file path=xl/sharedStrings.xml><?xml version="1.0" encoding="utf-8"?>
<sst xmlns="http://schemas.openxmlformats.org/spreadsheetml/2006/main" count="1798" uniqueCount="585">
  <si>
    <t>UBIGEO</t>
  </si>
  <si>
    <t xml:space="preserve">POBLACION TOTAL </t>
  </si>
  <si>
    <t xml:space="preserve">POBLACION URBANA </t>
  </si>
  <si>
    <t>POBLACION RURAL</t>
  </si>
  <si>
    <t>TOTAL</t>
  </si>
  <si>
    <t xml:space="preserve">HOMBRES </t>
  </si>
  <si>
    <t>MUJERES</t>
  </si>
  <si>
    <t>INDEPENDENCIA</t>
  </si>
  <si>
    <t>050000</t>
  </si>
  <si>
    <t>050112</t>
  </si>
  <si>
    <t>SOCOS</t>
  </si>
  <si>
    <t>050114</t>
  </si>
  <si>
    <t>VINCHOS</t>
  </si>
  <si>
    <t>CANGALLO</t>
  </si>
  <si>
    <t>050202</t>
  </si>
  <si>
    <t>CHUSCHI</t>
  </si>
  <si>
    <t>050205</t>
  </si>
  <si>
    <t>PARAS</t>
  </si>
  <si>
    <t>TAMBO</t>
  </si>
  <si>
    <t>050100</t>
  </si>
  <si>
    <t>HUAMANGA</t>
  </si>
  <si>
    <t>050200</t>
  </si>
  <si>
    <t>SANTA ANA</t>
  </si>
  <si>
    <t>HUANCAVELICA</t>
  </si>
  <si>
    <t>090000</t>
  </si>
  <si>
    <t>090101</t>
  </si>
  <si>
    <t>090106</t>
  </si>
  <si>
    <t>HUACHOCOLPA</t>
  </si>
  <si>
    <t>090118</t>
  </si>
  <si>
    <t>ASCENSION</t>
  </si>
  <si>
    <t>090401</t>
  </si>
  <si>
    <t>CASTROVIRREYNA</t>
  </si>
  <si>
    <t>090404</t>
  </si>
  <si>
    <t>CAPILLAS</t>
  </si>
  <si>
    <t>090406</t>
  </si>
  <si>
    <t>COCAS</t>
  </si>
  <si>
    <t>090407</t>
  </si>
  <si>
    <t>HUACHOS</t>
  </si>
  <si>
    <t>090409</t>
  </si>
  <si>
    <t>MOLLEPAMPA</t>
  </si>
  <si>
    <t>090411</t>
  </si>
  <si>
    <t>090413</t>
  </si>
  <si>
    <t>TICRAPO</t>
  </si>
  <si>
    <t>EL CARMEN</t>
  </si>
  <si>
    <t>090601</t>
  </si>
  <si>
    <t>HUAYTARÁ</t>
  </si>
  <si>
    <t>090602</t>
  </si>
  <si>
    <t>AYAVI</t>
  </si>
  <si>
    <t>090604</t>
  </si>
  <si>
    <t>HUAYACUNDO ARMA</t>
  </si>
  <si>
    <t>090607</t>
  </si>
  <si>
    <t>PILPICHACA</t>
  </si>
  <si>
    <t>090609</t>
  </si>
  <si>
    <t>QUITO-ARMA</t>
  </si>
  <si>
    <t>090610</t>
  </si>
  <si>
    <t>SAN ANTONIO DE CUSICANCHA</t>
  </si>
  <si>
    <t>090613</t>
  </si>
  <si>
    <t>SANTIAGO DE CHOCORVOS</t>
  </si>
  <si>
    <t>090615</t>
  </si>
  <si>
    <t>SANTO DOMINGO DE CAPILLAS</t>
  </si>
  <si>
    <t>090616</t>
  </si>
  <si>
    <t>090100</t>
  </si>
  <si>
    <t>090400</t>
  </si>
  <si>
    <t>090600</t>
  </si>
  <si>
    <t>PROVINCIA Y</t>
  </si>
  <si>
    <t>DISTRITO</t>
  </si>
  <si>
    <t>110000</t>
  </si>
  <si>
    <t>110202</t>
  </si>
  <si>
    <t>ALTO LARAN</t>
  </si>
  <si>
    <t>110204</t>
  </si>
  <si>
    <t>CHINCHA BAJA</t>
  </si>
  <si>
    <t>110205</t>
  </si>
  <si>
    <t>110206</t>
  </si>
  <si>
    <t>GROCIO PRADO</t>
  </si>
  <si>
    <t>PISCO</t>
  </si>
  <si>
    <t>110502</t>
  </si>
  <si>
    <t>HUANCANO</t>
  </si>
  <si>
    <t>110503</t>
  </si>
  <si>
    <t>HUMAY</t>
  </si>
  <si>
    <t>110504</t>
  </si>
  <si>
    <t>110507</t>
  </si>
  <si>
    <t>SAN CLEMENTE</t>
  </si>
  <si>
    <t>110200</t>
  </si>
  <si>
    <t>CHINCHA</t>
  </si>
  <si>
    <t>110500</t>
  </si>
  <si>
    <t>AÑO 2015</t>
  </si>
  <si>
    <t xml:space="preserve"> POBLACIÓN ESTIMADA, POR ÁREA URBANO-RURAL Y SEXO, SEGÚN  DEPARTAMENTOS, PROVINCIAS Y DISTRITOS. 2014-2015</t>
  </si>
  <si>
    <t>PERÚ:2014-2015</t>
  </si>
  <si>
    <t>FUENTE: CENSO NACIONAL DE POBLACION Y VIVIENDA 2007 Y BOLETIN DE ANALISIS DEMOGRAFICO N° 36 Y 37-INEI, DE ESTIMACIONES Y PROYECCIONES DE POBLACION POR DEPARTAMENTO, SEXO Y GRUPOS QUINQUENALES DE EDAD DE 1995-2050 Y 1995-2025</t>
  </si>
  <si>
    <t>REGION AYACUCHO</t>
  </si>
  <si>
    <t>REGION HUANCAVELICA</t>
  </si>
  <si>
    <t>REGION ICA</t>
  </si>
  <si>
    <t>REGION,</t>
  </si>
  <si>
    <t>TOTAL AMBITO YACHAYWASIS</t>
  </si>
  <si>
    <t>Segmentos de familias</t>
  </si>
  <si>
    <t>%</t>
  </si>
  <si>
    <t>Total familias</t>
  </si>
  <si>
    <t>Aceptación de créditos</t>
  </si>
  <si>
    <t>Nivel de pobreza</t>
  </si>
  <si>
    <t>Acceso a electricidad</t>
  </si>
  <si>
    <t>A. Periurbana emprendedora</t>
  </si>
  <si>
    <t>Comercio</t>
  </si>
  <si>
    <t>Alta</t>
  </si>
  <si>
    <t>Baja</t>
  </si>
  <si>
    <t>B. Periurbana profesionista</t>
  </si>
  <si>
    <t>Profesión u oficio</t>
  </si>
  <si>
    <t>Media</t>
  </si>
  <si>
    <t>C. Rural pecuaria alto andina</t>
  </si>
  <si>
    <t>Alpaquera</t>
  </si>
  <si>
    <t>D. Rural dispersa agrícola</t>
  </si>
  <si>
    <t>Agricultura</t>
  </si>
  <si>
    <t>E. Rural dispersa pecuaria</t>
  </si>
  <si>
    <t>Ganadería</t>
  </si>
  <si>
    <t>Total</t>
  </si>
  <si>
    <t>Supuestos</t>
  </si>
  <si>
    <t>Canal de venta</t>
  </si>
  <si>
    <t>Segmentos</t>
  </si>
  <si>
    <t>Mercado potencial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</si>
  <si>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</si>
  <si>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</si>
  <si>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</si>
  <si>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</si>
  <si>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</si>
  <si>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</si>
  <si>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</si>
  <si>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</si>
  <si>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</si>
  <si>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</si>
  <si>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</si>
  <si>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Lamparas pico PV</t>
  </si>
  <si>
    <t>Red Rural</t>
  </si>
  <si>
    <t>C, D y E</t>
  </si>
  <si>
    <t>C</t>
  </si>
  <si>
    <t>Cercos fotovoltaicos portatiles para ganado</t>
  </si>
  <si>
    <t>C Y E</t>
  </si>
  <si>
    <t>Utilitarios fotovoltaicos (cargadores, gorros, linternas, etc)</t>
  </si>
  <si>
    <t>Kit lavado, secado, cardado e hilado de fibra de Alpaca</t>
  </si>
  <si>
    <t>Yachaywasi</t>
  </si>
  <si>
    <t>Asoc. Alpaqueros</t>
  </si>
  <si>
    <t>Kit producción quesos maduros</t>
  </si>
  <si>
    <t>Asoc. Product. Lacteos</t>
  </si>
  <si>
    <t>Kit producción verduras hidroponicas</t>
  </si>
  <si>
    <t>Kit sistemas de riego tecnificado (1 hectarea)</t>
  </si>
  <si>
    <t>D y E</t>
  </si>
  <si>
    <t>Mercado objetivo</t>
  </si>
  <si>
    <t>Cartera de productos y servicios para auto sostenibilidad</t>
  </si>
  <si>
    <t>Clientes</t>
  </si>
  <si>
    <t>Ventas US$ 2014</t>
  </si>
  <si>
    <t>Servicios propios: alojamiento, alimentación, transporte, Internet.</t>
  </si>
  <si>
    <t>Universidades/Foncodes</t>
  </si>
  <si>
    <t>Productos propios: Quesos, yogurt, verduras, merchandising, etc.</t>
  </si>
  <si>
    <t>Clientes propios</t>
  </si>
  <si>
    <t>Venta de suministros, insumos y productos agropecuarios</t>
  </si>
  <si>
    <t>Cultivos orgánicos de alta rentabilidad: Maca, Quinua, etc.</t>
  </si>
  <si>
    <t>Agro exportadores</t>
  </si>
  <si>
    <t>Ventas hiladoras y cardadoras fuera ambito intervencion</t>
  </si>
  <si>
    <t>Red nacional</t>
  </si>
  <si>
    <t>Proyección de ventas</t>
  </si>
  <si>
    <t>Ventas Totales a traves de la Red Rural</t>
  </si>
  <si>
    <t>Ingresos totales por ventas</t>
  </si>
  <si>
    <t>Huancano</t>
  </si>
  <si>
    <t xml:space="preserve">Sales 2014 </t>
  </si>
  <si>
    <t>N° Clients</t>
  </si>
  <si>
    <t xml:space="preserve">Total </t>
  </si>
  <si>
    <t>Lodge</t>
  </si>
  <si>
    <t>Meals</t>
  </si>
  <si>
    <t>Agricultural products</t>
  </si>
  <si>
    <t>Livestock products</t>
  </si>
  <si>
    <t>Added value products</t>
  </si>
  <si>
    <t>Hardware store &amp; technologies</t>
  </si>
  <si>
    <t>Technical assistance</t>
  </si>
  <si>
    <t>Transportation</t>
  </si>
  <si>
    <t>Merchandising</t>
  </si>
  <si>
    <t>Internet</t>
  </si>
  <si>
    <t>Others</t>
  </si>
  <si>
    <t>Total Clients / Sales 2014 in soles</t>
  </si>
  <si>
    <t>Total Clients / Sales 2014 in US$</t>
  </si>
  <si>
    <t>Pilpichaca</t>
  </si>
  <si>
    <t>Total Clients / Sales  2014 in soles</t>
  </si>
  <si>
    <t>Total Clients / Sales  2014 in US$</t>
  </si>
  <si>
    <t>Total Clients / Sales  2014 in US$ dolars</t>
  </si>
  <si>
    <t>Actividad predominante del jefe de hogar</t>
  </si>
  <si>
    <t>A, B, C, D Y E</t>
  </si>
  <si>
    <t>Alpaqueros Peru</t>
  </si>
  <si>
    <t>Ventas Totales directas a beneficiarios</t>
  </si>
  <si>
    <t>Ventas totales directas para autosostenibilidad</t>
  </si>
  <si>
    <t>Productos a ser vendidos a los beneficiarios en forma directa</t>
  </si>
  <si>
    <t>Productos a ser vendidos a los beneficiarios a través de la red</t>
  </si>
  <si>
    <t>Ventas hiladoras y cardadoras producidas por Prosynergy</t>
  </si>
  <si>
    <t>Sales US$ 2014  Pilcpichaca + Huancano</t>
  </si>
  <si>
    <t>|</t>
  </si>
  <si>
    <t>Mercado Potencial</t>
  </si>
  <si>
    <t>Tasa de fidelidad</t>
  </si>
  <si>
    <t>Año 12</t>
  </si>
  <si>
    <t>Año 13</t>
  </si>
  <si>
    <t>Año 14</t>
  </si>
  <si>
    <t>Año 15</t>
  </si>
  <si>
    <t>Año 16</t>
  </si>
  <si>
    <t>Año 17</t>
  </si>
  <si>
    <t>Año 18</t>
  </si>
  <si>
    <t>Año 19</t>
  </si>
  <si>
    <t>Año 20</t>
  </si>
  <si>
    <t>Año 21</t>
  </si>
  <si>
    <t>Año 22</t>
  </si>
  <si>
    <t>Año 23</t>
  </si>
  <si>
    <t>Año 24</t>
  </si>
  <si>
    <t>Año 25</t>
  </si>
  <si>
    <t>Año 26</t>
  </si>
  <si>
    <t>Año 27</t>
  </si>
  <si>
    <t>Año 28</t>
  </si>
  <si>
    <t>Año 29</t>
  </si>
  <si>
    <t>Año 30</t>
  </si>
  <si>
    <t>Año 31</t>
  </si>
  <si>
    <t>Año 32</t>
  </si>
  <si>
    <t>Año 33</t>
  </si>
  <si>
    <t>Año 34</t>
  </si>
  <si>
    <t>Año 35</t>
  </si>
  <si>
    <t>Año 36</t>
  </si>
  <si>
    <t>Año 37</t>
  </si>
  <si>
    <t>Año 38</t>
  </si>
  <si>
    <t>Año 39</t>
  </si>
  <si>
    <t>Año 40</t>
  </si>
  <si>
    <t>A y B</t>
  </si>
  <si>
    <t>% penetración (40 años)</t>
  </si>
  <si>
    <t>% renovacion</t>
  </si>
  <si>
    <t>Cantidad x beneficiario</t>
  </si>
  <si>
    <t>Proyecccion de mercado objetivo nuevos beneficiarios</t>
  </si>
  <si>
    <t>Proyecccion de mercado de beneficiarios continuadores</t>
  </si>
  <si>
    <t xml:space="preserve">Proyecccion de mercado beneficiarios nuevos y continuadores </t>
  </si>
  <si>
    <t>En base a ventas 2014</t>
  </si>
  <si>
    <t>En base a esperado 2015</t>
  </si>
  <si>
    <t>Termas solares de tubios al vacio de 100 Litros</t>
  </si>
  <si>
    <t>Hiladoras de lana de alpaca fotovoltaicas 12V</t>
  </si>
  <si>
    <t>A</t>
  </si>
  <si>
    <t>B</t>
  </si>
  <si>
    <t>D</t>
  </si>
  <si>
    <t>E</t>
  </si>
  <si>
    <t>F</t>
  </si>
  <si>
    <t xml:space="preserve"> </t>
  </si>
  <si>
    <t>Monthly  Expenses</t>
  </si>
  <si>
    <t>All amounts in U$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</si>
  <si>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</si>
  <si>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</si>
  <si>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</si>
  <si>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</si>
  <si>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</si>
  <si>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</si>
  <si>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</si>
  <si>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</si>
  <si>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</si>
  <si>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</si>
  <si>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</si>
  <si>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 xml:space="preserve">December    </t>
  </si>
  <si>
    <t>Gratification July/December</t>
  </si>
  <si>
    <t>Social security system</t>
  </si>
  <si>
    <t>CTS</t>
  </si>
  <si>
    <t>Health  insurance (EPS)</t>
  </si>
  <si>
    <t>ESSALUD</t>
  </si>
  <si>
    <t>número que pertenecen a este grupo</t>
  </si>
  <si>
    <t>- tiempo trabajando en producción</t>
  </si>
  <si>
    <t>- tiempo trabajando en ventas</t>
  </si>
  <si>
    <t>- tiempo trabajando en administración/general</t>
  </si>
  <si>
    <t>sueldo (promedio por persona)</t>
  </si>
  <si>
    <t>beneficios (promedio por persona)</t>
  </si>
  <si>
    <t>Muy Baja</t>
  </si>
  <si>
    <t>A. GESTION CORPORATIVA (PROSYNERGY LIMA)</t>
  </si>
  <si>
    <t>Gerente General</t>
  </si>
  <si>
    <t>Asistente ejecutiva</t>
  </si>
  <si>
    <t>Asistente de administración y logística</t>
  </si>
  <si>
    <t>I. PLANILLA</t>
  </si>
  <si>
    <t>Total planilla</t>
  </si>
  <si>
    <t>II. SERVICIOS CONTRATADOS</t>
  </si>
  <si>
    <t>Auditoria externa anual</t>
  </si>
  <si>
    <t>Cursos de actualización</t>
  </si>
  <si>
    <t>Total servicios contratados</t>
  </si>
  <si>
    <t>III. GASTOS DE VIAJE</t>
  </si>
  <si>
    <t>Combustible, peajes, pasajes, etc.</t>
  </si>
  <si>
    <t>Viaticos para alojamiento y alimentacion</t>
  </si>
  <si>
    <t>Seguro de accidentes</t>
  </si>
  <si>
    <t>Gerente de Administración y Contabilidad</t>
  </si>
  <si>
    <t>Total gastos de viaje</t>
  </si>
  <si>
    <t>Telecomunicaciones e Internet</t>
  </si>
  <si>
    <t>Alquiler de oficina y pago de servicios</t>
  </si>
  <si>
    <t>Materiales e insumos de oficina</t>
  </si>
  <si>
    <t>Transporte local y courier</t>
  </si>
  <si>
    <t>Impuesto vehicular</t>
  </si>
  <si>
    <t>Mantenimiento de vehiculos</t>
  </si>
  <si>
    <t>Seguro de vehícuos y equipos</t>
  </si>
  <si>
    <t>Mantenimiento de oficina y equipos</t>
  </si>
  <si>
    <t>Gastos bancarios</t>
  </si>
  <si>
    <t>Cotingencias</t>
  </si>
  <si>
    <t>Almuerzos y refrigerios de trabajo</t>
  </si>
  <si>
    <t>IV. GASTOS DE ADMINISTRACIÓN CORPORATIVA</t>
  </si>
  <si>
    <t>Total gastosdeadministración corporativa</t>
  </si>
  <si>
    <t>V. GASTOS DE CAPITAL(ACTIVOS)</t>
  </si>
  <si>
    <t>Mobiliario</t>
  </si>
  <si>
    <t>Tramites legales y documentarios</t>
  </si>
  <si>
    <t>Total gastos de capital</t>
  </si>
  <si>
    <t>TOTAL COSTOS FIJOS GESTION CORPORATIVA</t>
  </si>
  <si>
    <t>B. YACHAYWASI DE HUANCANO</t>
  </si>
  <si>
    <t>Total costos de inversión</t>
  </si>
  <si>
    <t>I. COSTOS FIJOS DE PRODUCCIÓN</t>
  </si>
  <si>
    <t>Gerente de Yachaywasi y Red de Ventas</t>
  </si>
  <si>
    <t>Tecnico en agricultura y cultivos hidropónicos</t>
  </si>
  <si>
    <t xml:space="preserve">Responsable de producción pecuaria </t>
  </si>
  <si>
    <t>Responsable de equipo agricola  y enegias renovables</t>
  </si>
  <si>
    <t>Técnico en agricultura y producción  frutícola</t>
  </si>
  <si>
    <t>Responsable de transformación alimentaria</t>
  </si>
  <si>
    <t>Tecnico de transformación alimentaria</t>
  </si>
  <si>
    <t>Gratificaciones Julio y Diciembre</t>
  </si>
  <si>
    <t>Seguro de Salud (EPS)</t>
  </si>
  <si>
    <t>Capacitación de personal</t>
  </si>
  <si>
    <t>Materiales e  insumos para producción interna</t>
  </si>
  <si>
    <t>Seguro contra accidentes</t>
  </si>
  <si>
    <t>Servicios contratados apoyo labores de producción</t>
  </si>
  <si>
    <t>Mantenimiento de maquinarias y equipos</t>
  </si>
  <si>
    <t>Total costos fijos de producción</t>
  </si>
  <si>
    <t>II. COSTOS FIJOS DE VENTAS</t>
  </si>
  <si>
    <t>Gratificaciones Julio/Diciembre</t>
  </si>
  <si>
    <t>Seguro de salud (EPS)</t>
  </si>
  <si>
    <t>Investigacion de mercados</t>
  </si>
  <si>
    <t>Total costos fijos de ventas</t>
  </si>
  <si>
    <t xml:space="preserve">Asistente de administración y logisita </t>
  </si>
  <si>
    <t>Asistente de monitoreo y evaluación</t>
  </si>
  <si>
    <t>Practicantes preprofesionales</t>
  </si>
  <si>
    <t>III. COSTOS FIJOS GESTION Y ADMINISTRACION</t>
  </si>
  <si>
    <t>Total costos fijos gestion y administracion</t>
  </si>
  <si>
    <t>TOTAL COSTOS FIJOS YACHAYWASI HUANCANO</t>
  </si>
  <si>
    <t>Computadoras, perifericos, licencias software</t>
  </si>
  <si>
    <t>Vehículos</t>
  </si>
  <si>
    <t xml:space="preserve">Otros </t>
  </si>
  <si>
    <t>TOTAL COSTOS FIJOS YACHAYWASI PILPICHACA</t>
  </si>
  <si>
    <t>C. YACHAYWASI DE PILPICHACA</t>
  </si>
  <si>
    <t>Tractor agrícola (50%)</t>
  </si>
  <si>
    <t>Telecomunicaciones e internet</t>
  </si>
  <si>
    <t>Servicios de electricidad y agua</t>
  </si>
  <si>
    <t>Materiales de oficina</t>
  </si>
  <si>
    <t>Transporte local</t>
  </si>
  <si>
    <t>Imprevistos</t>
  </si>
  <si>
    <t>Chofer de camion y bus (50%)</t>
  </si>
  <si>
    <t>Tecnico de transformacion de fibra</t>
  </si>
  <si>
    <t>Responsable equipo agropecuario y transformación alimentaria</t>
  </si>
  <si>
    <t>Tecnico agropecuario especialista en cadena lactea</t>
  </si>
  <si>
    <t>Tecnico agropecuario especialista en cultivos altoandinos</t>
  </si>
  <si>
    <t>Responsable de hoteleria,gastronomia y limpieza</t>
  </si>
  <si>
    <t>Siembra de productos rentables para sostenibilidad (Maca Orgánica)</t>
  </si>
  <si>
    <t>Siembra de productos rentables para sostenibilidad (Quinua Orgánica)</t>
  </si>
  <si>
    <t xml:space="preserve">A: </t>
  </si>
  <si>
    <t>Produccion</t>
  </si>
  <si>
    <t>Ventas</t>
  </si>
  <si>
    <t>Administración/General</t>
  </si>
  <si>
    <t>B:</t>
  </si>
  <si>
    <t>C:</t>
  </si>
  <si>
    <t>D:</t>
  </si>
  <si>
    <t>E:</t>
  </si>
  <si>
    <t>BENEFICIOS SOCIALES</t>
  </si>
  <si>
    <t>REMUNERACIONES</t>
  </si>
  <si>
    <t>Alojamiento web y servidor dedicado (30%)</t>
  </si>
  <si>
    <t>OTROS COSTOS DE GESTION Y ADMINISTRACION</t>
  </si>
  <si>
    <t>Analista de costos y ventas (50%)</t>
  </si>
  <si>
    <t>OTROS COSTOS FIJOS DE VENTA</t>
  </si>
  <si>
    <t>OTROS COSTOS FIJOS DE PRODUCCION</t>
  </si>
  <si>
    <t>Promotor de ventas especialistas en ER 1</t>
  </si>
  <si>
    <t>Promotor de ventas especialistas en ER 2</t>
  </si>
  <si>
    <t>Capacitación promotores y red de ventas</t>
  </si>
  <si>
    <t>0. COSTOS DE INVERSION Y CAPITAL DE TRABAJO</t>
  </si>
  <si>
    <t>Viaticos promocion ventas red</t>
  </si>
  <si>
    <t>Soporte publicitario red de ventas</t>
  </si>
  <si>
    <t>GRUPOS</t>
  </si>
  <si>
    <t>Total sueldos</t>
  </si>
  <si>
    <t>Total beneficios</t>
  </si>
  <si>
    <t>Proyección de costos variables producción</t>
  </si>
  <si>
    <t>Margen de contribución 2014 en US$</t>
  </si>
  <si>
    <t>% mejora costo tecnologia/año</t>
  </si>
  <si>
    <t>% mejora eficiencia/año</t>
  </si>
  <si>
    <t xml:space="preserve"> Total costos variables a traves de la Red Rural</t>
  </si>
  <si>
    <t>Total costos variables ventas directas a beneficiarios</t>
  </si>
  <si>
    <t>Total costos variables ventas  directas para autosostenibilidad</t>
  </si>
  <si>
    <t>Subtotal venta cartera productos, servicios y suministros propios</t>
  </si>
  <si>
    <t>Servicios propios: alojamiento, alimentación, asesoria, transporte, Internet.</t>
  </si>
  <si>
    <t>Subtotal cultivos alta rentabilidad y venta de hiladoras y cardadoras</t>
  </si>
  <si>
    <t>Suministros, insumos y productos agropecuarios</t>
  </si>
  <si>
    <t>Subtotal cotos variables cartera productos, servicios y suministros propios</t>
  </si>
  <si>
    <t>Subtotal costos cultivos alta rentabilidad y venta de hiladoras y cardadoras</t>
  </si>
  <si>
    <t>Suministros ferreteria, insumos y productos agropecuarios</t>
  </si>
  <si>
    <t>Total Costos variables ventas directas Yachaywasis</t>
  </si>
  <si>
    <t>TOTAL COSTOS VARIABLES VENTAS RED Y DIRECTAS</t>
  </si>
  <si>
    <t>Numero de personas en planilla por gupo por area</t>
  </si>
  <si>
    <t>Total Tiempo de dedicacion por trabajador por grupo por area</t>
  </si>
  <si>
    <t>Sueldo promedio por trabajador por grupo por area</t>
  </si>
  <si>
    <t>Beneficios promedio por trabajador por grupo por area</t>
  </si>
  <si>
    <t>Validacion</t>
  </si>
  <si>
    <t>Servicios de mantenimiento y limpieza instalaciones</t>
  </si>
  <si>
    <t>Mantenimiento de maquinarias, equipos e instalaciones</t>
  </si>
  <si>
    <t>Yachaywasi de Huancano</t>
  </si>
  <si>
    <t>Yachaywasi de Pilpichaca</t>
  </si>
  <si>
    <t>Mantenimiento maquinarias, equipos e instalaciones</t>
  </si>
  <si>
    <t>Costos fijos directos de producción</t>
  </si>
  <si>
    <t>% de incremento gasto/año</t>
  </si>
  <si>
    <t>Seguro de maquinaria y vehículos e  impuesto vehicular</t>
  </si>
  <si>
    <t>Seguro de maquinaria y vehículos e impuesto vehicular</t>
  </si>
  <si>
    <t>Mantenimiento de vehiculos (50%)</t>
  </si>
  <si>
    <t>Subtotal costos fijos directos producción</t>
  </si>
  <si>
    <t>Subtotal costos fijos mantenimiento</t>
  </si>
  <si>
    <t>Costos fijos mercadeo y ventas</t>
  </si>
  <si>
    <t>Total costos fijos mercadeo y ventas</t>
  </si>
  <si>
    <t>Combustible, peajes, pasajes supervision red ventas</t>
  </si>
  <si>
    <t>Viaticos alojamiento y alimentación supervision red ventas</t>
  </si>
  <si>
    <t>alquileres</t>
  </si>
  <si>
    <t>seguros</t>
  </si>
  <si>
    <t>permisos y licencias</t>
  </si>
  <si>
    <t>gastos bancarios/financieros regulares</t>
  </si>
  <si>
    <t>suscripciones y membresías</t>
  </si>
  <si>
    <t>viajes y per diems</t>
  </si>
  <si>
    <t>servicios profesionales independientes</t>
  </si>
  <si>
    <t>reparaciones</t>
  </si>
  <si>
    <t>insumos operativos</t>
  </si>
  <si>
    <t>otros gastos:</t>
  </si>
  <si>
    <t>Gastos administrativos</t>
  </si>
  <si>
    <t>capacitaciones del personal administrativo</t>
  </si>
  <si>
    <t>Gestion corporativa</t>
  </si>
  <si>
    <t>Gestion Yachaywasi Huancano</t>
  </si>
  <si>
    <t>Gestion Yachaywasi Pilpichaca</t>
  </si>
  <si>
    <t>TOTAL GASTOS ADMINISTRATIVOS</t>
  </si>
  <si>
    <t>Alquiler oficina y servicios</t>
  </si>
  <si>
    <t>Telecomunicaciones/Internet</t>
  </si>
  <si>
    <t>Vehiculares y oficina</t>
  </si>
  <si>
    <t>Legales y tramites</t>
  </si>
  <si>
    <t>Viajes y perdiems</t>
  </si>
  <si>
    <t>Servicios contratados</t>
  </si>
  <si>
    <t>Almuerzos de trabajo</t>
  </si>
  <si>
    <t>capacitaciones del personal</t>
  </si>
  <si>
    <t>Transporte local/courier</t>
  </si>
  <si>
    <t>Matenimiento vehicular y equipos</t>
  </si>
  <si>
    <t>alquileres y utilidades</t>
  </si>
  <si>
    <t>Electricidad y agua</t>
  </si>
  <si>
    <t>Materiales de escritorio</t>
  </si>
  <si>
    <t>Capacitacion y refrigerios</t>
  </si>
  <si>
    <t>Seguro vehicular y oficina</t>
  </si>
  <si>
    <t>Tramites legales y documentario</t>
  </si>
  <si>
    <t>Items</t>
  </si>
  <si>
    <t>F:</t>
  </si>
  <si>
    <t>G:</t>
  </si>
  <si>
    <t>Departamento</t>
  </si>
  <si>
    <t>Provincia</t>
  </si>
  <si>
    <t>Distrito</t>
  </si>
  <si>
    <t>Nro de Viviendas en la Capital de Distrito
(a)</t>
  </si>
  <si>
    <t>Nro de Viviendas en CP con más de 100 Viviendas
(b)</t>
  </si>
  <si>
    <t>Nro de Viviendas en CP con 100 o Menos Viviendas
(c)=Rurales</t>
  </si>
  <si>
    <t>Total de Viviendas periurbanas
(d) = a(&lt;500) + b</t>
  </si>
  <si>
    <t xml:space="preserve">Total de Viviendas
peiurbanas y rurales  
(c + d)   
</t>
  </si>
  <si>
    <t>Ratio
(f) = d / a</t>
  </si>
  <si>
    <t>% Población con Act Econ Principal Rural
(g)</t>
  </si>
  <si>
    <t>% Población con Act Econ Principal No Rural
(h)</t>
  </si>
  <si>
    <t>% de Hogares que cocinan con Carbón, Leña, Bosta o Estiercol
(i)</t>
  </si>
  <si>
    <t>AYACUCHO</t>
  </si>
  <si>
    <t>HUAYTARA</t>
  </si>
  <si>
    <t>ICA</t>
  </si>
  <si>
    <t>Total general</t>
  </si>
  <si>
    <t>Elaboración Propia. Se considera zona periurbana si tiene menos de 500 viviendas o menos de 2500 habitantes.
Fuente: Radiación Solar Asociada a las Localidades a Nivel Nacional. Promoción de la Inversión Eléctrica en Áreas No Conectadas a Red. MINEM. Base de datos (04/05/2014). http://www.minem.gob.pe/descripcion.php?idSector=10&amp;idTitular=6040. Sistema de Difusión de los Censos Nacionales. Data Warehouse Technology. http://ineidw.inei.gob.pe/ineidw/#</t>
  </si>
  <si>
    <t>G</t>
  </si>
  <si>
    <t>A:</t>
  </si>
  <si>
    <t>Construccion de instalaciones</t>
  </si>
  <si>
    <t>I. COSTO DE CONSTRUCCION</t>
  </si>
  <si>
    <t>II. COSTO DE EQUIPAMIENTO</t>
  </si>
  <si>
    <t>Implementacion tecnologias agricolas</t>
  </si>
  <si>
    <t>Implementacion tecnologias pecuarias</t>
  </si>
  <si>
    <t>Implementacion tecnologias renovables</t>
  </si>
  <si>
    <t>Implementacion tecnologias valor agregado</t>
  </si>
  <si>
    <t>Mobiliario y decoración</t>
  </si>
  <si>
    <t>Kits fotovoltaico domiciliario de 200W plug&amp;play</t>
  </si>
  <si>
    <t>Equipos de computo y multimedia</t>
  </si>
  <si>
    <t>Precio prom. US$ (Incluido IGV)</t>
  </si>
  <si>
    <t>Precio US$ sin IGV</t>
  </si>
  <si>
    <t>Ventas US$ 2014 (incluido IGV)</t>
  </si>
  <si>
    <t>Ventas US$ sin IGV</t>
  </si>
  <si>
    <t>Costo US$ Sin IGV</t>
  </si>
  <si>
    <t>Nombre de la Actividad</t>
  </si>
  <si>
    <t>Porcentajes de financiamiento</t>
  </si>
  <si>
    <t>Programa AEA</t>
  </si>
  <si>
    <t xml:space="preserve">Contrapartida </t>
  </si>
  <si>
    <t>Monetario</t>
  </si>
  <si>
    <t>No Monetario</t>
  </si>
  <si>
    <t>Financiamiento AEA</t>
  </si>
  <si>
    <t>Contrapartida</t>
  </si>
  <si>
    <t>Costo total</t>
  </si>
  <si>
    <t>Entidad Proponente</t>
  </si>
  <si>
    <t>Entidad Asociada</t>
  </si>
  <si>
    <r>
      <t xml:space="preserve">PRESUPUESTO POR ACTIVIDAD 
</t>
    </r>
    <r>
      <rPr>
        <b/>
        <sz val="9"/>
        <color theme="0"/>
        <rFont val="Calibri"/>
        <family val="2"/>
        <scheme val="minor"/>
      </rPr>
      <t>(Expresado en dólares americanos)</t>
    </r>
  </si>
  <si>
    <t>Aporte AEA (Menor o igual al 50% del total)</t>
  </si>
  <si>
    <t>Aporte no monetario menor o igual al 40% del aporte del Programa AEA</t>
  </si>
  <si>
    <t>TOTALES</t>
  </si>
  <si>
    <t>Viaticos gestión red</t>
  </si>
  <si>
    <t>Transporte gestion red</t>
  </si>
  <si>
    <t>Transporte promocion ventas red</t>
  </si>
  <si>
    <t>Capacitación red de ventas</t>
  </si>
  <si>
    <t xml:space="preserve">Gerente de Yachaywasi </t>
  </si>
  <si>
    <t>Asistente de admin/logistica Yachaywasi</t>
  </si>
  <si>
    <t>Asistente de M&amp;E Yachaywasi</t>
  </si>
  <si>
    <t>Analista de costos y ventas Yachaywasi (50%)</t>
  </si>
  <si>
    <t>Gerente y  responsable equipo transformación fibra y energias renovables</t>
  </si>
  <si>
    <t>Staff de gestion Prosynergy</t>
  </si>
  <si>
    <t>Beneficios sociales Prosynergy</t>
  </si>
  <si>
    <t>Gastos de Admin Prosynergy</t>
  </si>
  <si>
    <t>Staff de operaciones Yachaywasis</t>
  </si>
  <si>
    <t>Staff admin Yachaywasis</t>
  </si>
  <si>
    <t>Beneficios sociales Yachaywasis</t>
  </si>
  <si>
    <t>Staff de ventas Yachaywasi</t>
  </si>
  <si>
    <t>Costos fijos operativos Yachaywasis</t>
  </si>
  <si>
    <t>Costos fijos ventas Yachaywasis</t>
  </si>
  <si>
    <t>Costos fijos admin Yachaywasis</t>
  </si>
  <si>
    <t xml:space="preserve">Gerente de la Red </t>
  </si>
  <si>
    <t>Total Presupuesto</t>
  </si>
  <si>
    <t>Total Planilla</t>
  </si>
  <si>
    <t>Inversiones 2015 Yachaywasis</t>
  </si>
  <si>
    <t>Inversiones 2015 Prosynergy</t>
  </si>
  <si>
    <t xml:space="preserve">Presupuesto ANUAL en US$ </t>
  </si>
  <si>
    <t>Presupuesto ANUAL  en US$</t>
  </si>
  <si>
    <t>Stock inicial tecnologias renovables red rural</t>
  </si>
  <si>
    <t xml:space="preserve">Stock inicial tecnologias renovables red rural </t>
  </si>
  <si>
    <t>% costo variable producción</t>
  </si>
  <si>
    <t>Gastos administrativos generales</t>
  </si>
  <si>
    <t>PROYECCION DE COSTOS FIJOS</t>
  </si>
  <si>
    <t>Presupuesto Anual base</t>
  </si>
  <si>
    <t>Presupuesto anual base</t>
  </si>
  <si>
    <t>Beneficios sociales personal operaciones Huancano y Pilpichaca</t>
  </si>
  <si>
    <t>Costos fijos de personal</t>
  </si>
  <si>
    <t>Planilla personal Prosynergy (Gestion Corporativa)</t>
  </si>
  <si>
    <t>Beneficios sociales personal Prosynergy (Gestion Corporativa)</t>
  </si>
  <si>
    <t>Planilla personal ventas  Huancano y Pilpichaca</t>
  </si>
  <si>
    <t>Planilla personal operaciones Huancano y Pilpichaca</t>
  </si>
  <si>
    <t>Beneficios sociales personal ventas  Huancano y Pilpichaca</t>
  </si>
  <si>
    <t>Planilla personal administrativo Huancano y Pilpichaca</t>
  </si>
  <si>
    <t>Beneficios sociales personal administrativo Huancano y Pilpichaca</t>
  </si>
  <si>
    <t>% Crecimiento anual planilla</t>
  </si>
  <si>
    <t>TOTAL COSTOS FIJOS DE PERSONAL</t>
  </si>
  <si>
    <t xml:space="preserve">TOTAL COSTOS FIJOS </t>
  </si>
  <si>
    <t>INVERSIONES PROGRAMADAS</t>
  </si>
  <si>
    <t>STOCK TECNOLOGIAS RED VENTAS</t>
  </si>
  <si>
    <t>TOTAL EGRESOS</t>
  </si>
  <si>
    <t>TOTAL INVERSIONES Y COMPRA DE STOCK</t>
  </si>
  <si>
    <t>COSTOS DE INVERSION POR YACHAYWASI</t>
  </si>
  <si>
    <t>PRESUPUESTO TOTAL COSTOS FIJOS, INVERSION Y STOCK</t>
  </si>
  <si>
    <t>Tiempo renovación (años)</t>
  </si>
  <si>
    <t>Tiempo Uso</t>
  </si>
  <si>
    <t>Tiempo Depreciación</t>
  </si>
  <si>
    <t>COSTO DE INVERSION</t>
  </si>
  <si>
    <t>TOTAL US$</t>
  </si>
  <si>
    <t xml:space="preserve">TOTAL INVERSION </t>
  </si>
  <si>
    <t>Valor Actual 2015 US$</t>
  </si>
  <si>
    <t>Maquinaria (tractor a ser adquirido octubre 2015)</t>
  </si>
  <si>
    <t>BALANCE ANUAL  DE INGRESOS Y EGRESOS SIN FINANCIAMIENTO</t>
  </si>
  <si>
    <t>ACTIVIDADES</t>
  </si>
  <si>
    <t>METAS</t>
  </si>
  <si>
    <t>Unidad</t>
  </si>
  <si>
    <t>Cant.</t>
  </si>
  <si>
    <t>Meses</t>
  </si>
  <si>
    <t>Visitas de negociación con candidatos de la red</t>
  </si>
  <si>
    <t>Visitas</t>
  </si>
  <si>
    <t>x</t>
  </si>
  <si>
    <t>Firma de contratos con miembros seleccionados</t>
  </si>
  <si>
    <t>Contratos</t>
  </si>
  <si>
    <t>Pintado publicitario de fachadas</t>
  </si>
  <si>
    <t>Diseño e Impresión de materiales</t>
  </si>
  <si>
    <t>Entrega de stock no importado</t>
  </si>
  <si>
    <t>Entrega de stock importado</t>
  </si>
  <si>
    <t>Elaboración de spots radiales</t>
  </si>
  <si>
    <t>Asesoria en regularización RUC y documentos</t>
  </si>
  <si>
    <t>Personas</t>
  </si>
  <si>
    <t>Capacitacion de miembros de la red y asistentes</t>
  </si>
  <si>
    <t>Fachadas</t>
  </si>
  <si>
    <t>Volantes</t>
  </si>
  <si>
    <t>Spots</t>
  </si>
  <si>
    <t>Difusion de spots radiales</t>
  </si>
  <si>
    <t>Dias</t>
  </si>
  <si>
    <t>Viajes</t>
  </si>
  <si>
    <t>importación de tecnologias</t>
  </si>
  <si>
    <t>Visitas de supervisión y reposición</t>
  </si>
  <si>
    <t>Tiendas</t>
  </si>
  <si>
    <t>Adecuación de exhibición interna tiendas</t>
  </si>
  <si>
    <t>Miembros</t>
  </si>
  <si>
    <t>Evaluacion</t>
  </si>
  <si>
    <t>Evaluación de avances resultados</t>
  </si>
  <si>
    <t>Informes a AEA</t>
  </si>
  <si>
    <t>Inforormes</t>
  </si>
</sst>
</file>

<file path=xl/styles.xml><?xml version="1.0" encoding="utf-8"?>
<styleSheet xmlns="http://schemas.openxmlformats.org/spreadsheetml/2006/main">
  <numFmts count="9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[$€]\ * #,##0.00_);_([$€]\ * \(#,##0.00\);_([$€]\ * &quot;-&quot;??_);_(@_)"/>
    <numFmt numFmtId="165" formatCode="_ * #,##0_ ;_ * \-#,##0_ ;_ * &quot;-&quot;??_ ;_ @_ "/>
    <numFmt numFmtId="166" formatCode="_-* #,##0.00_-;\-* #,##0.00_-;_-* &quot;-&quot;??_-;_-@_-"/>
    <numFmt numFmtId="167" formatCode="_(* #,##0_);_(* \(#,##0\);_(* &quot;-&quot;??_);_(@_)"/>
    <numFmt numFmtId="168" formatCode="0.0"/>
    <numFmt numFmtId="169" formatCode="_ * #,##0.0_ ;_ * \-#,##0.0_ ;_ * &quot;-&quot;??_ ;_ @_ "/>
    <numFmt numFmtId="170" formatCode="_-* #,##0.00\ _€_-;\-* #,##0.00\ _€_-;_-* &quot;-&quot;??\ _€_-;_-@_-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6"/>
      <color theme="0"/>
      <name val="Arial"/>
      <family val="2"/>
    </font>
    <font>
      <b/>
      <sz val="7"/>
      <color theme="0"/>
      <name val="Arial"/>
      <family val="2"/>
    </font>
    <font>
      <sz val="6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1F497D"/>
      <name val="Calibri"/>
      <family val="2"/>
    </font>
    <font>
      <b/>
      <sz val="12"/>
      <color rgb="FFC00000"/>
      <name val="Calibri"/>
      <family val="2"/>
    </font>
    <font>
      <sz val="10"/>
      <color rgb="FF000000"/>
      <name val="Arial"/>
      <family val="2"/>
    </font>
    <font>
      <sz val="12"/>
      <color rgb="FF1F497D"/>
      <name val="Calibri"/>
      <family val="2"/>
    </font>
    <font>
      <sz val="12"/>
      <color rgb="FFC00000"/>
      <name val="Calibri"/>
      <family val="2"/>
    </font>
    <font>
      <sz val="10"/>
      <color rgb="FF1F497D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9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4506668294322"/>
      </bottom>
      <diagonal/>
    </border>
    <border>
      <left/>
      <right style="thin">
        <color theme="4" tint="0.39988402966399123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94506668294322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94506668294322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945066682943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88402966399123"/>
      </right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</borders>
  <cellStyleXfs count="60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16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8" fillId="7" borderId="1" applyNumberFormat="0" applyAlignment="0" applyProtection="0"/>
    <xf numFmtId="164" fontId="9" fillId="0" borderId="0" applyFont="0" applyFill="0" applyBorder="0" applyAlignment="0" applyProtection="0"/>
    <xf numFmtId="0" fontId="19" fillId="3" borderId="0" applyNumberFormat="0" applyBorder="0" applyAlignment="0" applyProtection="0"/>
    <xf numFmtId="44" fontId="11" fillId="0" borderId="0" applyFont="0" applyFill="0" applyBorder="0" applyAlignment="0" applyProtection="0"/>
    <xf numFmtId="0" fontId="20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9" fillId="0" borderId="0"/>
    <xf numFmtId="0" fontId="11" fillId="0" borderId="0"/>
    <xf numFmtId="0" fontId="9" fillId="23" borderId="4" applyNumberFormat="0" applyFont="0" applyAlignment="0" applyProtection="0"/>
    <xf numFmtId="0" fontId="21" fillId="16" borderId="5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17" fillId="0" borderId="8" applyNumberFormat="0" applyFill="0" applyAlignment="0" applyProtection="0"/>
    <xf numFmtId="0" fontId="27" fillId="0" borderId="9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43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436">
    <xf numFmtId="0" fontId="0" fillId="0" borderId="0" xfId="0"/>
    <xf numFmtId="0" fontId="31" fillId="0" borderId="0" xfId="0" applyFont="1"/>
    <xf numFmtId="0" fontId="31" fillId="0" borderId="0" xfId="0" applyFont="1" applyFill="1"/>
    <xf numFmtId="3" fontId="32" fillId="0" borderId="0" xfId="0" applyNumberFormat="1" applyFont="1" applyFill="1" applyBorder="1" applyAlignment="1">
      <alignment vertical="center"/>
    </xf>
    <xf numFmtId="0" fontId="32" fillId="0" borderId="0" xfId="0" applyFont="1" applyFill="1" applyBorder="1"/>
    <xf numFmtId="0" fontId="31" fillId="0" borderId="0" xfId="0" applyFont="1" applyFill="1" applyBorder="1"/>
    <xf numFmtId="3" fontId="32" fillId="0" borderId="0" xfId="0" applyNumberFormat="1" applyFont="1" applyFill="1" applyBorder="1"/>
    <xf numFmtId="0" fontId="33" fillId="0" borderId="0" xfId="0" applyFont="1" applyFill="1"/>
    <xf numFmtId="0" fontId="28" fillId="0" borderId="0" xfId="0" applyFont="1"/>
    <xf numFmtId="0" fontId="34" fillId="24" borderId="10" xfId="0" applyFont="1" applyFill="1" applyBorder="1" applyAlignment="1">
      <alignment horizontal="center"/>
    </xf>
    <xf numFmtId="0" fontId="35" fillId="24" borderId="10" xfId="0" applyFont="1" applyFill="1" applyBorder="1" applyAlignment="1">
      <alignment horizontal="center"/>
    </xf>
    <xf numFmtId="0" fontId="36" fillId="24" borderId="14" xfId="0" applyFont="1" applyFill="1" applyBorder="1"/>
    <xf numFmtId="0" fontId="35" fillId="24" borderId="14" xfId="0" applyFont="1" applyFill="1" applyBorder="1" applyAlignment="1">
      <alignment horizontal="center" vertical="center"/>
    </xf>
    <xf numFmtId="0" fontId="34" fillId="24" borderId="15" xfId="0" applyFont="1" applyFill="1" applyBorder="1" applyAlignment="1">
      <alignment horizontal="center"/>
    </xf>
    <xf numFmtId="0" fontId="34" fillId="24" borderId="15" xfId="0" applyFont="1" applyFill="1" applyBorder="1" applyAlignment="1">
      <alignment horizontal="center"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/>
    <xf numFmtId="3" fontId="31" fillId="0" borderId="0" xfId="0" applyNumberFormat="1" applyFont="1" applyBorder="1"/>
    <xf numFmtId="0" fontId="32" fillId="0" borderId="0" xfId="0" applyFont="1" applyBorder="1"/>
    <xf numFmtId="3" fontId="32" fillId="0" borderId="0" xfId="0" applyNumberFormat="1" applyFont="1" applyBorder="1"/>
    <xf numFmtId="0" fontId="34" fillId="24" borderId="13" xfId="0" applyFont="1" applyFill="1" applyBorder="1" applyAlignment="1">
      <alignment horizontal="center" vertical="center"/>
    </xf>
    <xf numFmtId="0" fontId="34" fillId="24" borderId="16" xfId="0" applyFont="1" applyFill="1" applyBorder="1" applyAlignment="1">
      <alignment horizontal="center" vertical="center"/>
    </xf>
    <xf numFmtId="0" fontId="34" fillId="24" borderId="12" xfId="0" applyFont="1" applyFill="1" applyBorder="1" applyAlignment="1">
      <alignment horizontal="center" vertical="center"/>
    </xf>
    <xf numFmtId="0" fontId="34" fillId="24" borderId="11" xfId="0" applyFont="1" applyFill="1" applyBorder="1" applyAlignment="1">
      <alignment horizontal="center" vertical="center"/>
    </xf>
    <xf numFmtId="3" fontId="32" fillId="0" borderId="11" xfId="0" applyNumberFormat="1" applyFont="1" applyBorder="1"/>
    <xf numFmtId="3" fontId="32" fillId="0" borderId="12" xfId="0" applyNumberFormat="1" applyFont="1" applyBorder="1"/>
    <xf numFmtId="0" fontId="31" fillId="0" borderId="13" xfId="0" applyFont="1" applyBorder="1"/>
    <xf numFmtId="0" fontId="32" fillId="0" borderId="11" xfId="0" applyFont="1" applyBorder="1"/>
    <xf numFmtId="0" fontId="37" fillId="0" borderId="20" xfId="49" applyFont="1" applyBorder="1" applyAlignment="1">
      <alignment horizontal="center" vertical="center" wrapText="1"/>
    </xf>
    <xf numFmtId="0" fontId="38" fillId="0" borderId="0" xfId="49" applyFont="1"/>
    <xf numFmtId="0" fontId="8" fillId="0" borderId="20" xfId="49" applyBorder="1" applyAlignment="1">
      <alignment vertical="top" wrapText="1"/>
    </xf>
    <xf numFmtId="9" fontId="8" fillId="0" borderId="20" xfId="49" applyNumberFormat="1" applyBorder="1" applyAlignment="1">
      <alignment vertical="top" wrapText="1"/>
    </xf>
    <xf numFmtId="165" fontId="39" fillId="0" borderId="20" xfId="50" applyNumberFormat="1" applyFont="1" applyBorder="1" applyAlignment="1">
      <alignment vertical="top" wrapText="1"/>
    </xf>
    <xf numFmtId="0" fontId="8" fillId="0" borderId="20" xfId="49" applyBorder="1" applyAlignment="1">
      <alignment horizontal="center" vertical="top" wrapText="1"/>
    </xf>
    <xf numFmtId="0" fontId="8" fillId="0" borderId="0" xfId="49"/>
    <xf numFmtId="0" fontId="37" fillId="0" borderId="20" xfId="49" applyFont="1" applyBorder="1" applyAlignment="1">
      <alignment horizontal="center" vertical="top" wrapText="1"/>
    </xf>
    <xf numFmtId="9" fontId="39" fillId="0" borderId="20" xfId="49" applyNumberFormat="1" applyFont="1" applyBorder="1" applyAlignment="1">
      <alignment vertical="top" wrapText="1"/>
    </xf>
    <xf numFmtId="0" fontId="39" fillId="0" borderId="20" xfId="49" applyFont="1" applyBorder="1" applyAlignment="1">
      <alignment vertical="top" wrapText="1"/>
    </xf>
    <xf numFmtId="0" fontId="40" fillId="0" borderId="20" xfId="49" applyFont="1" applyBorder="1" applyAlignment="1">
      <alignment horizontal="center" vertical="center" wrapText="1"/>
    </xf>
    <xf numFmtId="0" fontId="41" fillId="0" borderId="20" xfId="49" applyFont="1" applyBorder="1" applyAlignment="1">
      <alignment vertical="top" wrapText="1"/>
    </xf>
    <xf numFmtId="165" fontId="41" fillId="0" borderId="20" xfId="50" applyNumberFormat="1" applyFont="1" applyBorder="1" applyAlignment="1">
      <alignment vertical="top" wrapText="1"/>
    </xf>
    <xf numFmtId="0" fontId="41" fillId="0" borderId="0" xfId="49" applyFont="1" applyBorder="1" applyAlignment="1">
      <alignment vertical="top" wrapText="1"/>
    </xf>
    <xf numFmtId="165" fontId="41" fillId="0" borderId="0" xfId="50" applyNumberFormat="1" applyFont="1" applyBorder="1" applyAlignment="1">
      <alignment vertical="top" wrapText="1"/>
    </xf>
    <xf numFmtId="43" fontId="41" fillId="0" borderId="0" xfId="49" applyNumberFormat="1" applyFont="1"/>
    <xf numFmtId="43" fontId="8" fillId="0" borderId="0" xfId="49" applyNumberFormat="1"/>
    <xf numFmtId="0" fontId="42" fillId="0" borderId="20" xfId="49" applyFont="1" applyBorder="1" applyAlignment="1">
      <alignment wrapText="1"/>
    </xf>
    <xf numFmtId="0" fontId="42" fillId="0" borderId="20" xfId="49" applyFont="1" applyBorder="1" applyAlignment="1">
      <alignment horizontal="center" wrapText="1"/>
    </xf>
    <xf numFmtId="0" fontId="43" fillId="0" borderId="20" xfId="49" applyFont="1" applyBorder="1" applyAlignment="1">
      <alignment horizontal="center" wrapText="1"/>
    </xf>
    <xf numFmtId="0" fontId="44" fillId="0" borderId="20" xfId="49" applyFont="1" applyBorder="1" applyAlignment="1">
      <alignment wrapText="1"/>
    </xf>
    <xf numFmtId="0" fontId="45" fillId="0" borderId="20" xfId="49" applyFont="1" applyBorder="1" applyAlignment="1">
      <alignment horizontal="center" wrapText="1"/>
    </xf>
    <xf numFmtId="9" fontId="46" fillId="0" borderId="20" xfId="49" applyNumberFormat="1" applyFont="1" applyBorder="1" applyAlignment="1">
      <alignment horizontal="right" wrapText="1"/>
    </xf>
    <xf numFmtId="4" fontId="45" fillId="0" borderId="20" xfId="49" applyNumberFormat="1" applyFont="1" applyBorder="1" applyAlignment="1">
      <alignment horizontal="right" wrapText="1"/>
    </xf>
    <xf numFmtId="10" fontId="46" fillId="0" borderId="20" xfId="49" applyNumberFormat="1" applyFont="1" applyBorder="1" applyAlignment="1">
      <alignment horizontal="right" wrapText="1"/>
    </xf>
    <xf numFmtId="0" fontId="47" fillId="0" borderId="20" xfId="49" applyFont="1" applyBorder="1" applyAlignment="1">
      <alignment horizontal="center" wrapText="1"/>
    </xf>
    <xf numFmtId="9" fontId="43" fillId="0" borderId="20" xfId="49" applyNumberFormat="1" applyFont="1" applyBorder="1" applyAlignment="1">
      <alignment horizontal="right" wrapText="1"/>
    </xf>
    <xf numFmtId="4" fontId="42" fillId="0" borderId="20" xfId="49" applyNumberFormat="1" applyFont="1" applyBorder="1" applyAlignment="1">
      <alignment horizontal="right" wrapText="1"/>
    </xf>
    <xf numFmtId="43" fontId="45" fillId="0" borderId="20" xfId="50" applyFont="1" applyBorder="1" applyAlignment="1">
      <alignment horizontal="center" wrapText="1"/>
    </xf>
    <xf numFmtId="43" fontId="42" fillId="0" borderId="20" xfId="50" applyFont="1" applyBorder="1" applyAlignment="1">
      <alignment horizontal="center" wrapText="1"/>
    </xf>
    <xf numFmtId="165" fontId="8" fillId="0" borderId="0" xfId="49" applyNumberFormat="1"/>
    <xf numFmtId="0" fontId="7" fillId="0" borderId="20" xfId="49" applyFont="1" applyBorder="1" applyAlignment="1">
      <alignment horizontal="center" vertical="top" wrapText="1"/>
    </xf>
    <xf numFmtId="0" fontId="38" fillId="0" borderId="20" xfId="49" applyFont="1" applyBorder="1" applyAlignment="1">
      <alignment vertical="top" wrapText="1"/>
    </xf>
    <xf numFmtId="165" fontId="37" fillId="0" borderId="20" xfId="50" applyNumberFormat="1" applyFont="1" applyBorder="1" applyAlignment="1">
      <alignment vertical="top" wrapText="1"/>
    </xf>
    <xf numFmtId="43" fontId="41" fillId="0" borderId="20" xfId="49" applyNumberFormat="1" applyFont="1" applyBorder="1" applyAlignment="1">
      <alignment horizontal="right" vertical="top" wrapText="1"/>
    </xf>
    <xf numFmtId="43" fontId="41" fillId="0" borderId="20" xfId="50" applyFont="1" applyBorder="1" applyAlignment="1">
      <alignment horizontal="right" vertical="top" wrapText="1"/>
    </xf>
    <xf numFmtId="0" fontId="40" fillId="0" borderId="20" xfId="49" applyFont="1" applyFill="1" applyBorder="1" applyAlignment="1">
      <alignment horizontal="center" vertical="center" wrapText="1"/>
    </xf>
    <xf numFmtId="10" fontId="41" fillId="0" borderId="20" xfId="49" applyNumberFormat="1" applyFont="1" applyBorder="1"/>
    <xf numFmtId="9" fontId="41" fillId="0" borderId="20" xfId="49" applyNumberFormat="1" applyFont="1" applyBorder="1"/>
    <xf numFmtId="0" fontId="41" fillId="0" borderId="0" xfId="49" applyFont="1" applyBorder="1" applyAlignment="1">
      <alignment horizontal="left" vertical="top" wrapText="1"/>
    </xf>
    <xf numFmtId="0" fontId="38" fillId="0" borderId="0" xfId="49" applyFont="1" applyAlignment="1">
      <alignment horizontal="left"/>
    </xf>
    <xf numFmtId="0" fontId="40" fillId="0" borderId="20" xfId="49" applyFont="1" applyBorder="1" applyAlignment="1">
      <alignment horizontal="left" vertical="center" wrapText="1"/>
    </xf>
    <xf numFmtId="0" fontId="41" fillId="0" borderId="20" xfId="49" applyFont="1" applyBorder="1" applyAlignment="1">
      <alignment horizontal="left" vertical="top" wrapText="1"/>
    </xf>
    <xf numFmtId="165" fontId="41" fillId="0" borderId="20" xfId="50" applyNumberFormat="1" applyFont="1" applyBorder="1"/>
    <xf numFmtId="0" fontId="6" fillId="0" borderId="0" xfId="49" applyFont="1"/>
    <xf numFmtId="165" fontId="41" fillId="0" borderId="20" xfId="49" applyNumberFormat="1" applyFont="1" applyBorder="1" applyAlignment="1">
      <alignment vertical="top" wrapText="1"/>
    </xf>
    <xf numFmtId="9" fontId="41" fillId="0" borderId="20" xfId="55" applyFont="1" applyBorder="1" applyAlignment="1">
      <alignment vertical="top" wrapText="1"/>
    </xf>
    <xf numFmtId="0" fontId="41" fillId="0" borderId="20" xfId="49" applyFont="1" applyFill="1" applyBorder="1" applyAlignment="1">
      <alignment horizontal="left" vertical="top" wrapText="1"/>
    </xf>
    <xf numFmtId="165" fontId="41" fillId="0" borderId="20" xfId="49" applyNumberFormat="1" applyFont="1" applyFill="1" applyBorder="1" applyAlignment="1">
      <alignment vertical="top" wrapText="1"/>
    </xf>
    <xf numFmtId="9" fontId="41" fillId="0" borderId="20" xfId="55" applyFont="1" applyFill="1" applyBorder="1" applyAlignment="1">
      <alignment vertical="top" wrapText="1"/>
    </xf>
    <xf numFmtId="165" fontId="41" fillId="0" borderId="20" xfId="50" applyNumberFormat="1" applyFont="1" applyFill="1" applyBorder="1" applyAlignment="1">
      <alignment vertical="top" wrapText="1"/>
    </xf>
    <xf numFmtId="165" fontId="41" fillId="0" borderId="20" xfId="50" applyNumberFormat="1" applyFont="1" applyFill="1" applyBorder="1"/>
    <xf numFmtId="0" fontId="8" fillId="0" borderId="0" xfId="49" applyFill="1"/>
    <xf numFmtId="0" fontId="41" fillId="0" borderId="20" xfId="49" applyFont="1" applyFill="1" applyBorder="1" applyAlignment="1">
      <alignment vertical="top" wrapText="1"/>
    </xf>
    <xf numFmtId="10" fontId="41" fillId="0" borderId="20" xfId="49" applyNumberFormat="1" applyFont="1" applyFill="1" applyBorder="1"/>
    <xf numFmtId="0" fontId="41" fillId="25" borderId="20" xfId="49" applyFont="1" applyFill="1" applyBorder="1" applyAlignment="1">
      <alignment horizontal="left" vertical="top" wrapText="1"/>
    </xf>
    <xf numFmtId="165" fontId="41" fillId="25" borderId="20" xfId="49" applyNumberFormat="1" applyFont="1" applyFill="1" applyBorder="1" applyAlignment="1">
      <alignment vertical="top" wrapText="1"/>
    </xf>
    <xf numFmtId="9" fontId="41" fillId="25" borderId="20" xfId="55" applyFont="1" applyFill="1" applyBorder="1" applyAlignment="1">
      <alignment vertical="top" wrapText="1"/>
    </xf>
    <xf numFmtId="165" fontId="41" fillId="25" borderId="20" xfId="50" applyNumberFormat="1" applyFont="1" applyFill="1" applyBorder="1"/>
    <xf numFmtId="0" fontId="8" fillId="25" borderId="0" xfId="49" applyFill="1"/>
    <xf numFmtId="165" fontId="41" fillId="25" borderId="20" xfId="50" applyNumberFormat="1" applyFont="1" applyFill="1" applyBorder="1" applyAlignment="1">
      <alignment vertical="top" wrapText="1"/>
    </xf>
    <xf numFmtId="43" fontId="41" fillId="0" borderId="20" xfId="54" applyFont="1" applyBorder="1" applyAlignment="1">
      <alignment horizontal="right" vertical="center" wrapText="1"/>
    </xf>
    <xf numFmtId="0" fontId="40" fillId="0" borderId="22" xfId="49" applyFont="1" applyBorder="1" applyAlignment="1">
      <alignment horizontal="left" vertical="center" wrapText="1"/>
    </xf>
    <xf numFmtId="0" fontId="40" fillId="0" borderId="23" xfId="49" applyFont="1" applyBorder="1" applyAlignment="1">
      <alignment horizontal="center" vertical="center" wrapText="1"/>
    </xf>
    <xf numFmtId="0" fontId="40" fillId="0" borderId="23" xfId="49" applyFont="1" applyFill="1" applyBorder="1" applyAlignment="1">
      <alignment horizontal="center" vertical="center" wrapText="1"/>
    </xf>
    <xf numFmtId="0" fontId="40" fillId="0" borderId="24" xfId="49" applyFont="1" applyFill="1" applyBorder="1" applyAlignment="1">
      <alignment horizontal="center" vertical="center" wrapText="1"/>
    </xf>
    <xf numFmtId="0" fontId="41" fillId="0" borderId="25" xfId="49" applyFont="1" applyBorder="1" applyAlignment="1">
      <alignment horizontal="left" vertical="top" wrapText="1"/>
    </xf>
    <xf numFmtId="165" fontId="41" fillId="0" borderId="26" xfId="50" applyNumberFormat="1" applyFont="1" applyBorder="1"/>
    <xf numFmtId="0" fontId="41" fillId="0" borderId="25" xfId="49" applyFont="1" applyFill="1" applyBorder="1" applyAlignment="1">
      <alignment horizontal="left" vertical="top" wrapText="1"/>
    </xf>
    <xf numFmtId="165" fontId="41" fillId="0" borderId="26" xfId="50" applyNumberFormat="1" applyFont="1" applyFill="1" applyBorder="1"/>
    <xf numFmtId="0" fontId="40" fillId="0" borderId="27" xfId="49" applyFont="1" applyBorder="1" applyAlignment="1">
      <alignment horizontal="left" vertical="center" wrapText="1"/>
    </xf>
    <xf numFmtId="0" fontId="38" fillId="0" borderId="28" xfId="49" applyFont="1" applyBorder="1"/>
    <xf numFmtId="43" fontId="38" fillId="0" borderId="28" xfId="49" applyNumberFormat="1" applyFont="1" applyBorder="1"/>
    <xf numFmtId="165" fontId="40" fillId="0" borderId="28" xfId="50" applyNumberFormat="1" applyFont="1" applyBorder="1"/>
    <xf numFmtId="165" fontId="40" fillId="0" borderId="29" xfId="50" applyNumberFormat="1" applyFont="1" applyBorder="1"/>
    <xf numFmtId="0" fontId="40" fillId="0" borderId="30" xfId="49" applyFont="1" applyBorder="1" applyAlignment="1">
      <alignment horizontal="left" vertical="center" wrapText="1"/>
    </xf>
    <xf numFmtId="0" fontId="38" fillId="0" borderId="31" xfId="49" applyFont="1" applyBorder="1"/>
    <xf numFmtId="43" fontId="38" fillId="0" borderId="31" xfId="49" applyNumberFormat="1" applyFont="1" applyBorder="1"/>
    <xf numFmtId="165" fontId="40" fillId="0" borderId="31" xfId="50" applyNumberFormat="1" applyFont="1" applyBorder="1"/>
    <xf numFmtId="165" fontId="40" fillId="0" borderId="32" xfId="50" applyNumberFormat="1" applyFont="1" applyBorder="1"/>
    <xf numFmtId="0" fontId="40" fillId="0" borderId="33" xfId="49" applyFont="1" applyBorder="1" applyAlignment="1">
      <alignment horizontal="left" vertical="center" wrapText="1"/>
    </xf>
    <xf numFmtId="165" fontId="40" fillId="0" borderId="34" xfId="50" applyNumberFormat="1" applyFont="1" applyBorder="1"/>
    <xf numFmtId="0" fontId="38" fillId="0" borderId="35" xfId="49" applyFont="1" applyBorder="1" applyAlignment="1">
      <alignment horizontal="left"/>
    </xf>
    <xf numFmtId="0" fontId="38" fillId="0" borderId="36" xfId="49" applyFont="1" applyBorder="1"/>
    <xf numFmtId="43" fontId="38" fillId="0" borderId="36" xfId="49" applyNumberFormat="1" applyFont="1" applyBorder="1"/>
    <xf numFmtId="165" fontId="40" fillId="0" borderId="36" xfId="50" applyNumberFormat="1" applyFont="1" applyBorder="1"/>
    <xf numFmtId="165" fontId="40" fillId="0" borderId="37" xfId="50" applyNumberFormat="1" applyFont="1" applyBorder="1"/>
    <xf numFmtId="0" fontId="5" fillId="0" borderId="0" xfId="49" applyFont="1"/>
    <xf numFmtId="0" fontId="50" fillId="0" borderId="0" xfId="53" applyFont="1" applyAlignment="1"/>
    <xf numFmtId="0" fontId="50" fillId="0" borderId="0" xfId="53" applyFont="1" applyAlignment="1">
      <alignment horizontal="right"/>
    </xf>
    <xf numFmtId="0" fontId="51" fillId="0" borderId="0" xfId="53" applyFont="1"/>
    <xf numFmtId="4" fontId="48" fillId="28" borderId="41" xfId="53" applyNumberFormat="1" applyFont="1" applyFill="1" applyBorder="1" applyAlignment="1">
      <alignment horizontal="left"/>
    </xf>
    <xf numFmtId="4" fontId="48" fillId="28" borderId="20" xfId="53" applyNumberFormat="1" applyFont="1" applyFill="1" applyBorder="1" applyAlignment="1">
      <alignment horizontal="right"/>
    </xf>
    <xf numFmtId="4" fontId="9" fillId="27" borderId="20" xfId="53" applyNumberFormat="1" applyFont="1" applyFill="1" applyBorder="1" applyAlignment="1">
      <alignment horizontal="right"/>
    </xf>
    <xf numFmtId="4" fontId="51" fillId="0" borderId="40" xfId="53" applyNumberFormat="1" applyFont="1" applyBorder="1"/>
    <xf numFmtId="0" fontId="51" fillId="0" borderId="40" xfId="53" applyFont="1" applyBorder="1"/>
    <xf numFmtId="4" fontId="51" fillId="0" borderId="20" xfId="53" applyNumberFormat="1" applyFont="1" applyFill="1" applyBorder="1"/>
    <xf numFmtId="0" fontId="51" fillId="0" borderId="20" xfId="53" applyFont="1" applyBorder="1"/>
    <xf numFmtId="0" fontId="51" fillId="0" borderId="20" xfId="53" applyFont="1" applyFill="1" applyBorder="1"/>
    <xf numFmtId="4" fontId="51" fillId="0" borderId="40" xfId="53" applyNumberFormat="1" applyFont="1" applyFill="1" applyBorder="1"/>
    <xf numFmtId="0" fontId="48" fillId="28" borderId="41" xfId="53" applyFont="1" applyFill="1" applyBorder="1" applyAlignment="1">
      <alignment horizontal="left"/>
    </xf>
    <xf numFmtId="4" fontId="48" fillId="28" borderId="39" xfId="53" applyNumberFormat="1" applyFont="1" applyFill="1" applyBorder="1" applyAlignment="1">
      <alignment horizontal="right"/>
    </xf>
    <xf numFmtId="0" fontId="51" fillId="0" borderId="41" xfId="53" applyFont="1" applyBorder="1" applyAlignment="1">
      <alignment horizontal="left" indent="1"/>
    </xf>
    <xf numFmtId="4" fontId="51" fillId="0" borderId="20" xfId="53" applyNumberFormat="1" applyFont="1" applyBorder="1"/>
    <xf numFmtId="0" fontId="48" fillId="28" borderId="20" xfId="53" applyFont="1" applyFill="1" applyBorder="1" applyAlignment="1">
      <alignment horizontal="right"/>
    </xf>
    <xf numFmtId="0" fontId="9" fillId="0" borderId="41" xfId="53" applyFont="1" applyFill="1" applyBorder="1" applyAlignment="1">
      <alignment horizontal="left" indent="1"/>
    </xf>
    <xf numFmtId="2" fontId="51" fillId="0" borderId="40" xfId="53" applyNumberFormat="1" applyFont="1" applyBorder="1"/>
    <xf numFmtId="0" fontId="9" fillId="27" borderId="41" xfId="53" applyFont="1" applyFill="1" applyBorder="1" applyAlignment="1">
      <alignment horizontal="left" indent="1"/>
    </xf>
    <xf numFmtId="0" fontId="51" fillId="0" borderId="40" xfId="53" applyFont="1" applyFill="1" applyBorder="1"/>
    <xf numFmtId="4" fontId="48" fillId="28" borderId="40" xfId="53" applyNumberFormat="1" applyFont="1" applyFill="1" applyBorder="1" applyAlignment="1">
      <alignment horizontal="right"/>
    </xf>
    <xf numFmtId="0" fontId="48" fillId="28" borderId="40" xfId="53" applyFont="1" applyFill="1" applyBorder="1" applyAlignment="1">
      <alignment horizontal="right"/>
    </xf>
    <xf numFmtId="2" fontId="51" fillId="0" borderId="40" xfId="53" applyNumberFormat="1" applyFont="1" applyFill="1" applyBorder="1"/>
    <xf numFmtId="0" fontId="51" fillId="27" borderId="41" xfId="53" applyFont="1" applyFill="1" applyBorder="1" applyAlignment="1">
      <alignment horizontal="left" indent="1"/>
    </xf>
    <xf numFmtId="2" fontId="51" fillId="0" borderId="20" xfId="53" applyNumberFormat="1" applyFont="1" applyBorder="1"/>
    <xf numFmtId="0" fontId="51" fillId="0" borderId="0" xfId="53" applyFont="1" applyAlignment="1">
      <alignment horizontal="right"/>
    </xf>
    <xf numFmtId="0" fontId="51" fillId="0" borderId="0" xfId="53" applyFont="1" applyFill="1"/>
    <xf numFmtId="0" fontId="48" fillId="28" borderId="20" xfId="53" applyFont="1" applyFill="1" applyBorder="1" applyAlignment="1">
      <alignment horizontal="left"/>
    </xf>
    <xf numFmtId="0" fontId="9" fillId="27" borderId="20" xfId="53" applyFill="1" applyBorder="1" applyAlignment="1">
      <alignment vertical="center"/>
    </xf>
    <xf numFmtId="0" fontId="9" fillId="0" borderId="20" xfId="53" applyFont="1" applyFill="1" applyBorder="1" applyAlignment="1">
      <alignment horizontal="left" indent="1"/>
    </xf>
    <xf numFmtId="2" fontId="51" fillId="0" borderId="20" xfId="53" applyNumberFormat="1" applyFont="1" applyFill="1" applyBorder="1"/>
    <xf numFmtId="0" fontId="9" fillId="0" borderId="20" xfId="53" applyFill="1" applyBorder="1" applyAlignment="1">
      <alignment horizontal="left" indent="1"/>
    </xf>
    <xf numFmtId="0" fontId="51" fillId="27" borderId="20" xfId="53" applyFont="1" applyFill="1" applyBorder="1" applyAlignment="1">
      <alignment horizontal="left" indent="1"/>
    </xf>
    <xf numFmtId="0" fontId="51" fillId="0" borderId="20" xfId="53" applyFont="1" applyFill="1" applyBorder="1" applyAlignment="1">
      <alignment horizontal="left" indent="1"/>
    </xf>
    <xf numFmtId="0" fontId="9" fillId="0" borderId="41" xfId="53" applyFill="1" applyBorder="1" applyAlignment="1">
      <alignment horizontal="left" indent="1"/>
    </xf>
    <xf numFmtId="9" fontId="51" fillId="0" borderId="0" xfId="53" applyNumberFormat="1" applyFont="1"/>
    <xf numFmtId="0" fontId="4" fillId="0" borderId="20" xfId="49" applyFont="1" applyBorder="1" applyAlignment="1">
      <alignment horizontal="center" vertical="top" wrapText="1"/>
    </xf>
    <xf numFmtId="4" fontId="48" fillId="28" borderId="20" xfId="53" applyNumberFormat="1" applyFont="1" applyFill="1" applyBorder="1" applyAlignment="1">
      <alignment horizontal="left"/>
    </xf>
    <xf numFmtId="0" fontId="9" fillId="27" borderId="20" xfId="53" applyFont="1" applyFill="1" applyBorder="1" applyAlignment="1">
      <alignment horizontal="left" indent="1"/>
    </xf>
    <xf numFmtId="167" fontId="52" fillId="26" borderId="40" xfId="56" applyNumberFormat="1" applyFont="1" applyFill="1" applyBorder="1" applyAlignment="1">
      <alignment horizontal="center"/>
    </xf>
    <xf numFmtId="167" fontId="52" fillId="26" borderId="20" xfId="56" applyNumberFormat="1" applyFont="1" applyFill="1" applyBorder="1" applyAlignment="1">
      <alignment horizontal="center"/>
    </xf>
    <xf numFmtId="167" fontId="52" fillId="29" borderId="40" xfId="56" applyNumberFormat="1" applyFont="1" applyFill="1" applyBorder="1" applyAlignment="1">
      <alignment horizontal="center"/>
    </xf>
    <xf numFmtId="167" fontId="52" fillId="29" borderId="20" xfId="56" applyNumberFormat="1" applyFont="1" applyFill="1" applyBorder="1" applyAlignment="1">
      <alignment horizontal="center"/>
    </xf>
    <xf numFmtId="167" fontId="52" fillId="34" borderId="40" xfId="56" applyNumberFormat="1" applyFont="1" applyFill="1" applyBorder="1" applyAlignment="1">
      <alignment horizontal="center"/>
    </xf>
    <xf numFmtId="167" fontId="52" fillId="34" borderId="20" xfId="56" applyNumberFormat="1" applyFont="1" applyFill="1" applyBorder="1" applyAlignment="1">
      <alignment horizontal="center"/>
    </xf>
    <xf numFmtId="0" fontId="48" fillId="26" borderId="41" xfId="53" applyFont="1" applyFill="1" applyBorder="1" applyAlignment="1">
      <alignment horizontal="left"/>
    </xf>
    <xf numFmtId="4" fontId="48" fillId="26" borderId="20" xfId="53" applyNumberFormat="1" applyFont="1" applyFill="1" applyBorder="1" applyAlignment="1">
      <alignment horizontal="right"/>
    </xf>
    <xf numFmtId="4" fontId="48" fillId="26" borderId="40" xfId="53" applyNumberFormat="1" applyFont="1" applyFill="1" applyBorder="1" applyAlignment="1">
      <alignment horizontal="right"/>
    </xf>
    <xf numFmtId="0" fontId="48" fillId="34" borderId="20" xfId="53" applyFont="1" applyFill="1" applyBorder="1" applyAlignment="1">
      <alignment horizontal="left" vertical="center"/>
    </xf>
    <xf numFmtId="4" fontId="48" fillId="34" borderId="20" xfId="53" applyNumberFormat="1" applyFont="1" applyFill="1" applyBorder="1" applyAlignment="1">
      <alignment horizontal="right" vertical="center"/>
    </xf>
    <xf numFmtId="0" fontId="48" fillId="33" borderId="20" xfId="53" applyFont="1" applyFill="1" applyBorder="1" applyAlignment="1">
      <alignment horizontal="left" vertical="center"/>
    </xf>
    <xf numFmtId="4" fontId="48" fillId="33" borderId="20" xfId="53" applyNumberFormat="1" applyFont="1" applyFill="1" applyBorder="1" applyAlignment="1">
      <alignment horizontal="right" vertical="center"/>
    </xf>
    <xf numFmtId="0" fontId="9" fillId="32" borderId="41" xfId="53" applyFont="1" applyFill="1" applyBorder="1" applyAlignment="1">
      <alignment horizontal="left" indent="1"/>
    </xf>
    <xf numFmtId="0" fontId="9" fillId="32" borderId="20" xfId="53" applyFill="1" applyBorder="1" applyAlignment="1">
      <alignment horizontal="left" indent="1"/>
    </xf>
    <xf numFmtId="0" fontId="51" fillId="32" borderId="20" xfId="53" applyFont="1" applyFill="1" applyBorder="1" applyAlignment="1">
      <alignment horizontal="left" indent="1"/>
    </xf>
    <xf numFmtId="4" fontId="9" fillId="32" borderId="20" xfId="53" applyNumberFormat="1" applyFont="1" applyFill="1" applyBorder="1" applyAlignment="1">
      <alignment horizontal="right"/>
    </xf>
    <xf numFmtId="4" fontId="51" fillId="32" borderId="40" xfId="53" applyNumberFormat="1" applyFont="1" applyFill="1" applyBorder="1"/>
    <xf numFmtId="2" fontId="51" fillId="32" borderId="20" xfId="53" applyNumberFormat="1" applyFont="1" applyFill="1" applyBorder="1"/>
    <xf numFmtId="0" fontId="9" fillId="27" borderId="20" xfId="53" applyFill="1" applyBorder="1" applyAlignment="1">
      <alignment horizontal="left" vertical="center" indent="1"/>
    </xf>
    <xf numFmtId="0" fontId="51" fillId="36" borderId="20" xfId="53" applyFont="1" applyFill="1" applyBorder="1" applyAlignment="1">
      <alignment horizontal="center" vertical="center" wrapText="1"/>
    </xf>
    <xf numFmtId="0" fontId="51" fillId="36" borderId="0" xfId="53" applyFont="1" applyFill="1" applyBorder="1" applyAlignment="1">
      <alignment horizontal="center"/>
    </xf>
    <xf numFmtId="0" fontId="51" fillId="35" borderId="20" xfId="53" applyFont="1" applyFill="1" applyBorder="1" applyAlignment="1">
      <alignment horizontal="center" vertical="center" wrapText="1"/>
    </xf>
    <xf numFmtId="0" fontId="51" fillId="31" borderId="20" xfId="53" applyFont="1" applyFill="1" applyBorder="1" applyAlignment="1">
      <alignment horizontal="center" vertical="center" wrapText="1"/>
    </xf>
    <xf numFmtId="0" fontId="51" fillId="0" borderId="0" xfId="53" applyFont="1" applyFill="1" applyBorder="1" applyAlignment="1">
      <alignment horizontal="center"/>
    </xf>
    <xf numFmtId="0" fontId="54" fillId="30" borderId="42" xfId="0" applyNumberFormat="1" applyFont="1" applyFill="1" applyBorder="1" applyAlignment="1" applyProtection="1">
      <alignment vertical="center" wrapText="1"/>
    </xf>
    <xf numFmtId="0" fontId="53" fillId="30" borderId="42" xfId="0" applyNumberFormat="1" applyFont="1" applyFill="1" applyBorder="1" applyAlignment="1" applyProtection="1">
      <alignment vertical="center" wrapText="1"/>
    </xf>
    <xf numFmtId="0" fontId="51" fillId="0" borderId="0" xfId="53" applyFont="1" applyFill="1" applyBorder="1"/>
    <xf numFmtId="0" fontId="51" fillId="0" borderId="0" xfId="53" applyFont="1" applyFill="1" applyBorder="1" applyAlignment="1">
      <alignment horizontal="center" vertical="center" wrapText="1"/>
    </xf>
    <xf numFmtId="9" fontId="51" fillId="0" borderId="0" xfId="53" applyNumberFormat="1" applyFont="1" applyBorder="1"/>
    <xf numFmtId="0" fontId="51" fillId="0" borderId="0" xfId="53" applyFont="1" applyBorder="1"/>
    <xf numFmtId="2" fontId="50" fillId="0" borderId="0" xfId="53" applyNumberFormat="1" applyFont="1"/>
    <xf numFmtId="2" fontId="50" fillId="0" borderId="20" xfId="53" applyNumberFormat="1" applyFont="1" applyBorder="1"/>
    <xf numFmtId="2" fontId="50" fillId="0" borderId="20" xfId="53" applyNumberFormat="1" applyFont="1" applyFill="1" applyBorder="1"/>
    <xf numFmtId="9" fontId="51" fillId="0" borderId="20" xfId="55" applyFont="1" applyBorder="1"/>
    <xf numFmtId="43" fontId="51" fillId="0" borderId="0" xfId="54" applyFont="1"/>
    <xf numFmtId="0" fontId="48" fillId="27" borderId="20" xfId="53" applyFont="1" applyFill="1" applyBorder="1" applyAlignment="1">
      <alignment horizontal="left" indent="1"/>
    </xf>
    <xf numFmtId="4" fontId="48" fillId="27" borderId="20" xfId="53" applyNumberFormat="1" applyFont="1" applyFill="1" applyBorder="1" applyAlignment="1">
      <alignment horizontal="right"/>
    </xf>
    <xf numFmtId="0" fontId="50" fillId="0" borderId="0" xfId="53" applyFont="1"/>
    <xf numFmtId="43" fontId="50" fillId="0" borderId="0" xfId="54" applyFont="1"/>
    <xf numFmtId="43" fontId="50" fillId="0" borderId="20" xfId="54" applyFont="1" applyBorder="1"/>
    <xf numFmtId="43" fontId="50" fillId="0" borderId="0" xfId="54" applyFont="1" applyBorder="1"/>
    <xf numFmtId="0" fontId="50" fillId="0" borderId="0" xfId="53" applyFont="1" applyFill="1"/>
    <xf numFmtId="4" fontId="48" fillId="0" borderId="20" xfId="53" applyNumberFormat="1" applyFont="1" applyFill="1" applyBorder="1" applyAlignment="1">
      <alignment horizontal="right"/>
    </xf>
    <xf numFmtId="2" fontId="50" fillId="0" borderId="0" xfId="53" applyNumberFormat="1" applyFont="1" applyFill="1"/>
    <xf numFmtId="0" fontId="53" fillId="0" borderId="42" xfId="0" applyNumberFormat="1" applyFont="1" applyFill="1" applyBorder="1" applyAlignment="1" applyProtection="1">
      <alignment vertical="center" wrapText="1"/>
    </xf>
    <xf numFmtId="4" fontId="48" fillId="0" borderId="20" xfId="53" applyNumberFormat="1" applyFont="1" applyFill="1" applyBorder="1" applyAlignment="1">
      <alignment horizontal="left" indent="1"/>
    </xf>
    <xf numFmtId="0" fontId="48" fillId="0" borderId="20" xfId="53" applyFont="1" applyFill="1" applyBorder="1" applyAlignment="1">
      <alignment horizontal="left" indent="1"/>
    </xf>
    <xf numFmtId="0" fontId="50" fillId="0" borderId="20" xfId="53" applyFont="1" applyBorder="1"/>
    <xf numFmtId="0" fontId="50" fillId="0" borderId="0" xfId="53" applyFont="1" applyBorder="1"/>
    <xf numFmtId="0" fontId="51" fillId="0" borderId="0" xfId="53" applyFont="1" applyAlignment="1">
      <alignment horizontal="left" indent="1"/>
    </xf>
    <xf numFmtId="4" fontId="51" fillId="0" borderId="0" xfId="53" applyNumberFormat="1" applyFont="1" applyAlignment="1">
      <alignment horizontal="right"/>
    </xf>
    <xf numFmtId="4" fontId="50" fillId="0" borderId="0" xfId="53" applyNumberFormat="1" applyFont="1" applyAlignment="1">
      <alignment horizontal="right"/>
    </xf>
    <xf numFmtId="10" fontId="51" fillId="0" borderId="0" xfId="53" applyNumberFormat="1" applyFont="1"/>
    <xf numFmtId="10" fontId="51" fillId="0" borderId="0" xfId="55" applyNumberFormat="1" applyFont="1" applyAlignment="1">
      <alignment horizontal="right"/>
    </xf>
    <xf numFmtId="43" fontId="51" fillId="0" borderId="0" xfId="53" applyNumberFormat="1" applyFont="1"/>
    <xf numFmtId="2" fontId="51" fillId="32" borderId="40" xfId="53" applyNumberFormat="1" applyFont="1" applyFill="1" applyBorder="1"/>
    <xf numFmtId="4" fontId="9" fillId="0" borderId="20" xfId="53" applyNumberFormat="1" applyFont="1" applyFill="1" applyBorder="1" applyAlignment="1">
      <alignment horizontal="right"/>
    </xf>
    <xf numFmtId="9" fontId="51" fillId="0" borderId="0" xfId="53" applyNumberFormat="1" applyFont="1" applyFill="1"/>
    <xf numFmtId="9" fontId="51" fillId="0" borderId="20" xfId="55" applyFont="1" applyFill="1" applyBorder="1"/>
    <xf numFmtId="0" fontId="51" fillId="32" borderId="41" xfId="53" applyFont="1" applyFill="1" applyBorder="1" applyAlignment="1">
      <alignment horizontal="left" indent="1"/>
    </xf>
    <xf numFmtId="4" fontId="51" fillId="32" borderId="20" xfId="53" applyNumberFormat="1" applyFont="1" applyFill="1" applyBorder="1"/>
    <xf numFmtId="0" fontId="9" fillId="32" borderId="20" xfId="53" applyFill="1" applyBorder="1" applyAlignment="1">
      <alignment vertical="center"/>
    </xf>
    <xf numFmtId="168" fontId="50" fillId="0" borderId="0" xfId="53" applyNumberFormat="1" applyFont="1"/>
    <xf numFmtId="1" fontId="50" fillId="0" borderId="0" xfId="53" applyNumberFormat="1" applyFont="1"/>
    <xf numFmtId="43" fontId="50" fillId="0" borderId="20" xfId="54" applyFont="1" applyFill="1" applyBorder="1"/>
    <xf numFmtId="43" fontId="50" fillId="0" borderId="0" xfId="54" applyFont="1" applyFill="1"/>
    <xf numFmtId="169" fontId="51" fillId="0" borderId="0" xfId="54" applyNumberFormat="1" applyFont="1" applyAlignment="1">
      <alignment horizontal="right"/>
    </xf>
    <xf numFmtId="9" fontId="51" fillId="0" borderId="0" xfId="55" applyFont="1" applyAlignment="1">
      <alignment horizontal="right"/>
    </xf>
    <xf numFmtId="0" fontId="3" fillId="0" borderId="0" xfId="49" applyFont="1"/>
    <xf numFmtId="4" fontId="8" fillId="0" borderId="0" xfId="49" applyNumberFormat="1"/>
    <xf numFmtId="9" fontId="41" fillId="0" borderId="20" xfId="54" applyNumberFormat="1" applyFont="1" applyBorder="1" applyAlignment="1">
      <alignment horizontal="right" vertical="center" wrapText="1"/>
    </xf>
    <xf numFmtId="10" fontId="41" fillId="0" borderId="20" xfId="49" applyNumberFormat="1" applyFont="1" applyBorder="1" applyAlignment="1">
      <alignment vertical="top" wrapText="1"/>
    </xf>
    <xf numFmtId="0" fontId="40" fillId="0" borderId="20" xfId="49" applyFont="1" applyBorder="1" applyAlignment="1">
      <alignment vertical="top" wrapText="1"/>
    </xf>
    <xf numFmtId="43" fontId="40" fillId="0" borderId="20" xfId="54" applyFont="1" applyBorder="1" applyAlignment="1">
      <alignment horizontal="right" vertical="center" wrapText="1"/>
    </xf>
    <xf numFmtId="165" fontId="40" fillId="0" borderId="20" xfId="50" applyNumberFormat="1" applyFont="1" applyBorder="1"/>
    <xf numFmtId="0" fontId="40" fillId="0" borderId="25" xfId="49" applyFont="1" applyBorder="1" applyAlignment="1">
      <alignment horizontal="left" vertical="top" wrapText="1" indent="1"/>
    </xf>
    <xf numFmtId="0" fontId="40" fillId="0" borderId="38" xfId="49" applyFont="1" applyBorder="1" applyAlignment="1">
      <alignment vertical="top" wrapText="1"/>
    </xf>
    <xf numFmtId="43" fontId="40" fillId="0" borderId="38" xfId="54" applyFont="1" applyBorder="1" applyAlignment="1">
      <alignment horizontal="right" vertical="center" wrapText="1"/>
    </xf>
    <xf numFmtId="43" fontId="40" fillId="0" borderId="28" xfId="50" applyNumberFormat="1" applyFont="1" applyBorder="1"/>
    <xf numFmtId="10" fontId="40" fillId="0" borderId="20" xfId="49" applyNumberFormat="1" applyFont="1" applyBorder="1" applyAlignment="1">
      <alignment vertical="top" wrapText="1"/>
    </xf>
    <xf numFmtId="9" fontId="40" fillId="0" borderId="20" xfId="54" applyNumberFormat="1" applyFont="1" applyBorder="1" applyAlignment="1">
      <alignment horizontal="right" vertical="center" wrapText="1"/>
    </xf>
    <xf numFmtId="10" fontId="40" fillId="0" borderId="38" xfId="49" applyNumberFormat="1" applyFont="1" applyBorder="1" applyAlignment="1">
      <alignment vertical="top" wrapText="1"/>
    </xf>
    <xf numFmtId="9" fontId="40" fillId="0" borderId="38" xfId="54" applyNumberFormat="1" applyFont="1" applyBorder="1" applyAlignment="1">
      <alignment horizontal="right" vertical="center" wrapText="1"/>
    </xf>
    <xf numFmtId="165" fontId="40" fillId="0" borderId="38" xfId="50" applyNumberFormat="1" applyFont="1" applyBorder="1"/>
    <xf numFmtId="0" fontId="8" fillId="0" borderId="36" xfId="49" applyBorder="1"/>
    <xf numFmtId="165" fontId="8" fillId="0" borderId="36" xfId="49" applyNumberFormat="1" applyBorder="1"/>
    <xf numFmtId="165" fontId="8" fillId="0" borderId="37" xfId="49" applyNumberFormat="1" applyBorder="1"/>
    <xf numFmtId="4" fontId="50" fillId="0" borderId="20" xfId="53" applyNumberFormat="1" applyFont="1" applyBorder="1" applyAlignment="1">
      <alignment horizontal="right"/>
    </xf>
    <xf numFmtId="3" fontId="50" fillId="0" borderId="20" xfId="53" applyNumberFormat="1" applyFont="1" applyBorder="1" applyAlignment="1">
      <alignment horizontal="right"/>
    </xf>
    <xf numFmtId="4" fontId="51" fillId="32" borderId="41" xfId="53" applyNumberFormat="1" applyFont="1" applyFill="1" applyBorder="1"/>
    <xf numFmtId="2" fontId="51" fillId="32" borderId="41" xfId="53" applyNumberFormat="1" applyFont="1" applyFill="1" applyBorder="1"/>
    <xf numFmtId="4" fontId="48" fillId="28" borderId="41" xfId="53" applyNumberFormat="1" applyFont="1" applyFill="1" applyBorder="1" applyAlignment="1">
      <alignment horizontal="right"/>
    </xf>
    <xf numFmtId="2" fontId="50" fillId="0" borderId="21" xfId="53" applyNumberFormat="1" applyFont="1" applyBorder="1"/>
    <xf numFmtId="2" fontId="50" fillId="0" borderId="38" xfId="53" applyNumberFormat="1" applyFont="1" applyFill="1" applyBorder="1"/>
    <xf numFmtId="10" fontId="51" fillId="0" borderId="0" xfId="53" applyNumberFormat="1" applyFont="1" applyBorder="1"/>
    <xf numFmtId="9" fontId="51" fillId="0" borderId="0" xfId="55" applyFont="1" applyBorder="1"/>
    <xf numFmtId="43" fontId="51" fillId="0" borderId="0" xfId="53" applyNumberFormat="1" applyFont="1" applyBorder="1"/>
    <xf numFmtId="2" fontId="51" fillId="0" borderId="41" xfId="53" applyNumberFormat="1" applyFont="1" applyBorder="1"/>
    <xf numFmtId="43" fontId="50" fillId="0" borderId="38" xfId="54" applyFont="1" applyBorder="1"/>
    <xf numFmtId="0" fontId="53" fillId="0" borderId="43" xfId="0" applyNumberFormat="1" applyFont="1" applyFill="1" applyBorder="1" applyAlignment="1" applyProtection="1">
      <alignment vertical="center" wrapText="1"/>
    </xf>
    <xf numFmtId="0" fontId="54" fillId="30" borderId="43" xfId="0" quotePrefix="1" applyNumberFormat="1" applyFont="1" applyFill="1" applyBorder="1" applyAlignment="1" applyProtection="1">
      <alignment vertical="center" wrapText="1"/>
    </xf>
    <xf numFmtId="0" fontId="54" fillId="30" borderId="43" xfId="0" applyNumberFormat="1" applyFont="1" applyFill="1" applyBorder="1" applyAlignment="1" applyProtection="1">
      <alignment vertical="center" wrapText="1"/>
    </xf>
    <xf numFmtId="0" fontId="51" fillId="36" borderId="38" xfId="53" applyFont="1" applyFill="1" applyBorder="1" applyAlignment="1">
      <alignment horizontal="center" vertical="center" wrapText="1"/>
    </xf>
    <xf numFmtId="4" fontId="51" fillId="30" borderId="20" xfId="53" applyNumberFormat="1" applyFont="1" applyFill="1" applyBorder="1" applyAlignment="1">
      <alignment horizontal="right"/>
    </xf>
    <xf numFmtId="10" fontId="51" fillId="30" borderId="20" xfId="55" applyNumberFormat="1" applyFont="1" applyFill="1" applyBorder="1" applyAlignment="1">
      <alignment horizontal="right"/>
    </xf>
    <xf numFmtId="0" fontId="51" fillId="30" borderId="20" xfId="53" applyFont="1" applyFill="1" applyBorder="1" applyAlignment="1">
      <alignment horizontal="right"/>
    </xf>
    <xf numFmtId="0" fontId="51" fillId="30" borderId="20" xfId="53" applyFont="1" applyFill="1" applyBorder="1"/>
    <xf numFmtId="10" fontId="51" fillId="30" borderId="20" xfId="55" applyNumberFormat="1" applyFont="1" applyFill="1" applyBorder="1"/>
    <xf numFmtId="10" fontId="51" fillId="30" borderId="20" xfId="53" applyNumberFormat="1" applyFont="1" applyFill="1" applyBorder="1" applyAlignment="1">
      <alignment horizontal="right"/>
    </xf>
    <xf numFmtId="10" fontId="51" fillId="30" borderId="20" xfId="53" applyNumberFormat="1" applyFont="1" applyFill="1" applyBorder="1"/>
    <xf numFmtId="43" fontId="51" fillId="30" borderId="20" xfId="54" applyFont="1" applyFill="1" applyBorder="1" applyAlignment="1">
      <alignment horizontal="right"/>
    </xf>
    <xf numFmtId="43" fontId="51" fillId="30" borderId="20" xfId="53" applyNumberFormat="1" applyFont="1" applyFill="1" applyBorder="1"/>
    <xf numFmtId="43" fontId="50" fillId="0" borderId="0" xfId="53" applyNumberFormat="1" applyFont="1"/>
    <xf numFmtId="0" fontId="50" fillId="0" borderId="41" xfId="53" applyFont="1" applyBorder="1"/>
    <xf numFmtId="43" fontId="50" fillId="0" borderId="20" xfId="53" applyNumberFormat="1" applyFont="1" applyBorder="1"/>
    <xf numFmtId="0" fontId="50" fillId="0" borderId="0" xfId="53" applyFont="1" applyFill="1" applyBorder="1" applyAlignment="1">
      <alignment horizontal="center"/>
    </xf>
    <xf numFmtId="4" fontId="38" fillId="0" borderId="0" xfId="49" applyNumberFormat="1" applyFont="1"/>
    <xf numFmtId="0" fontId="54" fillId="0" borderId="0" xfId="0" applyNumberFormat="1" applyFont="1" applyFill="1" applyBorder="1" applyAlignment="1" applyProtection="1">
      <alignment vertical="center" wrapText="1"/>
    </xf>
    <xf numFmtId="0" fontId="54" fillId="0" borderId="20" xfId="0" applyNumberFormat="1" applyFont="1" applyFill="1" applyBorder="1" applyAlignment="1" applyProtection="1">
      <alignment vertical="center" wrapText="1"/>
    </xf>
    <xf numFmtId="2" fontId="38" fillId="0" borderId="0" xfId="49" applyNumberFormat="1" applyFont="1"/>
    <xf numFmtId="4" fontId="50" fillId="0" borderId="0" xfId="53" applyNumberFormat="1" applyFont="1"/>
    <xf numFmtId="0" fontId="51" fillId="0" borderId="0" xfId="53" applyFont="1" applyFill="1" applyBorder="1" applyAlignment="1">
      <alignment horizontal="center"/>
    </xf>
    <xf numFmtId="0" fontId="51" fillId="0" borderId="0" xfId="53" applyFont="1" applyFill="1" applyBorder="1" applyAlignment="1">
      <alignment horizontal="center"/>
    </xf>
    <xf numFmtId="0" fontId="38" fillId="37" borderId="20" xfId="57" applyFont="1" applyFill="1" applyBorder="1" applyAlignment="1">
      <alignment horizontal="center" vertical="center" wrapText="1"/>
    </xf>
    <xf numFmtId="0" fontId="38" fillId="37" borderId="44" xfId="57" applyFont="1" applyFill="1" applyBorder="1" applyAlignment="1">
      <alignment horizontal="center" vertical="center" wrapText="1"/>
    </xf>
    <xf numFmtId="0" fontId="38" fillId="37" borderId="45" xfId="57" applyFont="1" applyFill="1" applyBorder="1" applyAlignment="1">
      <alignment horizontal="center" vertical="center" wrapText="1"/>
    </xf>
    <xf numFmtId="0" fontId="38" fillId="37" borderId="46" xfId="57" applyFont="1" applyFill="1" applyBorder="1" applyAlignment="1">
      <alignment horizontal="center" vertical="center" wrapText="1"/>
    </xf>
    <xf numFmtId="0" fontId="2" fillId="0" borderId="0" xfId="57"/>
    <xf numFmtId="0" fontId="2" fillId="0" borderId="48" xfId="57" applyFill="1" applyBorder="1" applyAlignment="1">
      <alignment horizontal="left" indent="1"/>
    </xf>
    <xf numFmtId="3" fontId="2" fillId="0" borderId="48" xfId="57" applyNumberFormat="1" applyFill="1" applyBorder="1" applyAlignment="1">
      <alignment horizontal="center" vertical="center"/>
    </xf>
    <xf numFmtId="3" fontId="2" fillId="0" borderId="49" xfId="57" applyNumberFormat="1" applyFill="1" applyBorder="1" applyAlignment="1">
      <alignment horizontal="center" vertical="center"/>
    </xf>
    <xf numFmtId="168" fontId="2" fillId="0" borderId="50" xfId="57" applyNumberFormat="1" applyFill="1" applyBorder="1" applyAlignment="1">
      <alignment horizontal="center"/>
    </xf>
    <xf numFmtId="9" fontId="2" fillId="0" borderId="51" xfId="57" applyNumberFormat="1" applyBorder="1" applyAlignment="1">
      <alignment horizontal="center" vertical="center"/>
    </xf>
    <xf numFmtId="9" fontId="2" fillId="0" borderId="52" xfId="57" applyNumberFormat="1" applyBorder="1" applyAlignment="1">
      <alignment horizontal="center" vertical="center"/>
    </xf>
    <xf numFmtId="0" fontId="2" fillId="0" borderId="49" xfId="57" applyFill="1" applyBorder="1" applyAlignment="1">
      <alignment horizontal="left" indent="1"/>
    </xf>
    <xf numFmtId="9" fontId="2" fillId="0" borderId="54" xfId="57" applyNumberFormat="1" applyBorder="1" applyAlignment="1">
      <alignment horizontal="center" vertical="center"/>
    </xf>
    <xf numFmtId="9" fontId="2" fillId="0" borderId="55" xfId="57" applyNumberFormat="1" applyBorder="1" applyAlignment="1">
      <alignment horizontal="center" vertical="center"/>
    </xf>
    <xf numFmtId="9" fontId="2" fillId="0" borderId="56" xfId="57" applyNumberFormat="1" applyBorder="1" applyAlignment="1">
      <alignment horizontal="center" vertical="center"/>
    </xf>
    <xf numFmtId="9" fontId="2" fillId="0" borderId="57" xfId="57" applyNumberFormat="1" applyBorder="1" applyAlignment="1">
      <alignment horizontal="center" vertical="center"/>
    </xf>
    <xf numFmtId="3" fontId="38" fillId="37" borderId="59" xfId="57" applyNumberFormat="1" applyFont="1" applyFill="1" applyBorder="1" applyAlignment="1">
      <alignment horizontal="center" vertical="center"/>
    </xf>
    <xf numFmtId="168" fontId="38" fillId="37" borderId="60" xfId="57" applyNumberFormat="1" applyFont="1" applyFill="1" applyBorder="1" applyAlignment="1">
      <alignment horizontal="center" vertical="center"/>
    </xf>
    <xf numFmtId="3" fontId="38" fillId="37" borderId="61" xfId="57" applyNumberFormat="1" applyFont="1" applyFill="1" applyBorder="1" applyAlignment="1">
      <alignment horizontal="center" vertical="center"/>
    </xf>
    <xf numFmtId="0" fontId="2" fillId="0" borderId="0" xfId="57" applyAlignment="1">
      <alignment horizontal="center" vertical="center"/>
    </xf>
    <xf numFmtId="0" fontId="2" fillId="0" borderId="0" xfId="49" applyFont="1"/>
    <xf numFmtId="0" fontId="2" fillId="0" borderId="0" xfId="49" applyFont="1" applyFill="1"/>
    <xf numFmtId="0" fontId="2" fillId="0" borderId="35" xfId="49" applyFont="1" applyBorder="1"/>
    <xf numFmtId="0" fontId="48" fillId="0" borderId="0" xfId="0" applyFont="1"/>
    <xf numFmtId="43" fontId="41" fillId="0" borderId="20" xfId="49" applyNumberFormat="1" applyFont="1" applyBorder="1" applyAlignment="1">
      <alignment vertical="top" wrapText="1"/>
    </xf>
    <xf numFmtId="0" fontId="1" fillId="0" borderId="0" xfId="58" applyAlignment="1">
      <alignment vertical="center"/>
    </xf>
    <xf numFmtId="0" fontId="39" fillId="0" borderId="0" xfId="58" applyFont="1" applyAlignment="1">
      <alignment vertical="center"/>
    </xf>
    <xf numFmtId="0" fontId="37" fillId="39" borderId="40" xfId="58" applyFont="1" applyFill="1" applyBorder="1" applyAlignment="1">
      <alignment horizontal="center" vertical="center"/>
    </xf>
    <xf numFmtId="0" fontId="37" fillId="39" borderId="20" xfId="58" applyFont="1" applyFill="1" applyBorder="1" applyAlignment="1">
      <alignment horizontal="center" vertical="center"/>
    </xf>
    <xf numFmtId="0" fontId="39" fillId="0" borderId="20" xfId="58" applyFont="1" applyBorder="1" applyAlignment="1" applyProtection="1">
      <alignment vertical="center"/>
      <protection locked="0"/>
    </xf>
    <xf numFmtId="170" fontId="39" fillId="0" borderId="20" xfId="58" applyNumberFormat="1" applyFont="1" applyBorder="1" applyAlignment="1" applyProtection="1">
      <alignment vertical="center"/>
      <protection locked="0"/>
    </xf>
    <xf numFmtId="170" fontId="39" fillId="0" borderId="20" xfId="58" applyNumberFormat="1" applyFont="1" applyBorder="1" applyAlignment="1">
      <alignment vertical="center"/>
    </xf>
    <xf numFmtId="170" fontId="37" fillId="40" borderId="20" xfId="58" applyNumberFormat="1" applyFont="1" applyFill="1" applyBorder="1" applyAlignment="1">
      <alignment vertical="center"/>
    </xf>
    <xf numFmtId="0" fontId="59" fillId="0" borderId="0" xfId="58" applyFont="1" applyAlignment="1">
      <alignment vertical="center"/>
    </xf>
    <xf numFmtId="0" fontId="60" fillId="0" borderId="0" xfId="58" applyFont="1" applyAlignment="1">
      <alignment vertical="center"/>
    </xf>
    <xf numFmtId="9" fontId="1" fillId="0" borderId="0" xfId="58" applyNumberFormat="1" applyAlignment="1">
      <alignment vertical="center"/>
    </xf>
    <xf numFmtId="0" fontId="37" fillId="40" borderId="20" xfId="58" applyFont="1" applyFill="1" applyBorder="1" applyAlignment="1">
      <alignment horizontal="center" vertical="center"/>
    </xf>
    <xf numFmtId="0" fontId="40" fillId="0" borderId="22" xfId="49" applyFont="1" applyBorder="1"/>
    <xf numFmtId="0" fontId="41" fillId="0" borderId="23" xfId="49" applyFont="1" applyBorder="1"/>
    <xf numFmtId="0" fontId="41" fillId="0" borderId="0" xfId="49" applyFont="1"/>
    <xf numFmtId="0" fontId="41" fillId="0" borderId="25" xfId="49" applyFont="1" applyBorder="1"/>
    <xf numFmtId="0" fontId="41" fillId="0" borderId="20" xfId="49" applyFont="1" applyBorder="1"/>
    <xf numFmtId="3" fontId="41" fillId="0" borderId="20" xfId="49" applyNumberFormat="1" applyFont="1" applyBorder="1"/>
    <xf numFmtId="3" fontId="41" fillId="0" borderId="26" xfId="49" applyNumberFormat="1" applyFont="1" applyBorder="1"/>
    <xf numFmtId="0" fontId="40" fillId="0" borderId="25" xfId="49" applyFont="1" applyBorder="1" applyAlignment="1">
      <alignment horizontal="left" indent="1"/>
    </xf>
    <xf numFmtId="0" fontId="40" fillId="0" borderId="20" xfId="49" applyFont="1" applyBorder="1"/>
    <xf numFmtId="3" fontId="40" fillId="0" borderId="20" xfId="49" applyNumberFormat="1" applyFont="1" applyBorder="1"/>
    <xf numFmtId="3" fontId="40" fillId="0" borderId="26" xfId="49" applyNumberFormat="1" applyFont="1" applyBorder="1"/>
    <xf numFmtId="0" fontId="40" fillId="0" borderId="0" xfId="49" applyFont="1"/>
    <xf numFmtId="0" fontId="40" fillId="0" borderId="25" xfId="49" applyFont="1" applyBorder="1"/>
    <xf numFmtId="0" fontId="41" fillId="0" borderId="26" xfId="49" applyFont="1" applyBorder="1"/>
    <xf numFmtId="0" fontId="40" fillId="0" borderId="27" xfId="49" applyFont="1" applyBorder="1" applyAlignment="1">
      <alignment horizontal="left" indent="1"/>
    </xf>
    <xf numFmtId="0" fontId="40" fillId="0" borderId="28" xfId="49" applyFont="1" applyBorder="1"/>
    <xf numFmtId="3" fontId="40" fillId="0" borderId="28" xfId="49" applyNumberFormat="1" applyFont="1" applyBorder="1"/>
    <xf numFmtId="3" fontId="40" fillId="0" borderId="29" xfId="49" applyNumberFormat="1" applyFont="1" applyBorder="1"/>
    <xf numFmtId="0" fontId="41" fillId="0" borderId="0" xfId="49" applyFont="1" applyFill="1"/>
    <xf numFmtId="0" fontId="62" fillId="0" borderId="22" xfId="0" applyNumberFormat="1" applyFont="1" applyFill="1" applyBorder="1" applyAlignment="1" applyProtection="1">
      <alignment vertical="center"/>
    </xf>
    <xf numFmtId="0" fontId="63" fillId="0" borderId="0" xfId="0" applyNumberFormat="1" applyFont="1" applyFill="1" applyBorder="1" applyAlignment="1" applyProtection="1">
      <alignment vertical="center" wrapText="1"/>
    </xf>
    <xf numFmtId="0" fontId="64" fillId="0" borderId="25" xfId="53" applyFont="1" applyFill="1" applyBorder="1" applyAlignment="1">
      <alignment horizontal="left" indent="1"/>
    </xf>
    <xf numFmtId="4" fontId="41" fillId="0" borderId="20" xfId="49" applyNumberFormat="1" applyFont="1" applyBorder="1"/>
    <xf numFmtId="4" fontId="41" fillId="0" borderId="26" xfId="49" applyNumberFormat="1" applyFont="1" applyBorder="1"/>
    <xf numFmtId="0" fontId="65" fillId="0" borderId="25" xfId="53" applyFont="1" applyFill="1" applyBorder="1" applyAlignment="1">
      <alignment horizontal="left" indent="1"/>
    </xf>
    <xf numFmtId="0" fontId="40" fillId="0" borderId="27" xfId="49" applyFont="1" applyFill="1" applyBorder="1"/>
    <xf numFmtId="0" fontId="41" fillId="0" borderId="28" xfId="49" applyFont="1" applyBorder="1"/>
    <xf numFmtId="4" fontId="40" fillId="0" borderId="28" xfId="49" applyNumberFormat="1" applyFont="1" applyBorder="1"/>
    <xf numFmtId="4" fontId="40" fillId="0" borderId="29" xfId="49" applyNumberFormat="1" applyFont="1" applyBorder="1"/>
    <xf numFmtId="0" fontId="63" fillId="0" borderId="20" xfId="0" applyNumberFormat="1" applyFont="1" applyFill="1" applyBorder="1" applyAlignment="1" applyProtection="1">
      <alignment vertical="center" wrapText="1"/>
    </xf>
    <xf numFmtId="4" fontId="40" fillId="0" borderId="20" xfId="49" applyNumberFormat="1" applyFont="1" applyBorder="1"/>
    <xf numFmtId="168" fontId="41" fillId="0" borderId="20" xfId="49" applyNumberFormat="1" applyFont="1" applyBorder="1"/>
    <xf numFmtId="0" fontId="40" fillId="0" borderId="23" xfId="49" applyFont="1" applyBorder="1"/>
    <xf numFmtId="0" fontId="40" fillId="0" borderId="24" xfId="49" applyFont="1" applyBorder="1"/>
    <xf numFmtId="168" fontId="41" fillId="0" borderId="26" xfId="49" applyNumberFormat="1" applyFont="1" applyBorder="1"/>
    <xf numFmtId="0" fontId="40" fillId="0" borderId="27" xfId="49" applyFont="1" applyBorder="1"/>
    <xf numFmtId="0" fontId="40" fillId="0" borderId="35" xfId="49" applyFont="1" applyBorder="1"/>
    <xf numFmtId="0" fontId="40" fillId="0" borderId="36" xfId="49" applyFont="1" applyBorder="1"/>
    <xf numFmtId="165" fontId="40" fillId="0" borderId="36" xfId="49" applyNumberFormat="1" applyFont="1" applyBorder="1"/>
    <xf numFmtId="0" fontId="40" fillId="0" borderId="35" xfId="49" applyFont="1" applyBorder="1" applyAlignment="1">
      <alignment horizontal="left"/>
    </xf>
    <xf numFmtId="43" fontId="40" fillId="0" borderId="36" xfId="49" applyNumberFormat="1" applyFont="1" applyBorder="1"/>
    <xf numFmtId="0" fontId="41" fillId="0" borderId="22" xfId="49" applyFont="1" applyBorder="1"/>
    <xf numFmtId="4" fontId="41" fillId="0" borderId="24" xfId="49" applyNumberFormat="1" applyFont="1" applyBorder="1"/>
    <xf numFmtId="0" fontId="40" fillId="0" borderId="0" xfId="49" applyFont="1" applyBorder="1"/>
    <xf numFmtId="4" fontId="40" fillId="0" borderId="0" xfId="49" applyNumberFormat="1" applyFont="1" applyBorder="1"/>
    <xf numFmtId="43" fontId="41" fillId="0" borderId="20" xfId="50" applyNumberFormat="1" applyFont="1" applyBorder="1" applyAlignment="1">
      <alignment vertical="top" wrapText="1"/>
    </xf>
    <xf numFmtId="0" fontId="48" fillId="0" borderId="20" xfId="0" applyFont="1" applyBorder="1" applyAlignment="1">
      <alignment horizontal="center" vertical="center" wrapText="1"/>
    </xf>
    <xf numFmtId="0" fontId="48" fillId="0" borderId="20" xfId="0" applyFont="1" applyBorder="1" applyAlignment="1">
      <alignment horizontal="left"/>
    </xf>
    <xf numFmtId="0" fontId="9" fillId="0" borderId="20" xfId="0" applyFont="1" applyBorder="1" applyAlignment="1">
      <alignment horizontal="center"/>
    </xf>
    <xf numFmtId="0" fontId="9" fillId="0" borderId="20" xfId="0" applyFont="1" applyBorder="1"/>
    <xf numFmtId="0" fontId="0" fillId="0" borderId="20" xfId="0" applyBorder="1"/>
    <xf numFmtId="0" fontId="48" fillId="0" borderId="20" xfId="0" applyFont="1" applyBorder="1"/>
    <xf numFmtId="165" fontId="0" fillId="0" borderId="20" xfId="54" applyNumberFormat="1" applyFont="1" applyBorder="1"/>
    <xf numFmtId="165" fontId="48" fillId="0" borderId="20" xfId="0" applyNumberFormat="1" applyFont="1" applyBorder="1"/>
    <xf numFmtId="4" fontId="40" fillId="26" borderId="37" xfId="49" applyNumberFormat="1" applyFont="1" applyFill="1" applyBorder="1"/>
    <xf numFmtId="4" fontId="40" fillId="0" borderId="37" xfId="49" applyNumberFormat="1" applyFont="1" applyFill="1" applyBorder="1"/>
    <xf numFmtId="4" fontId="40" fillId="0" borderId="37" xfId="49" applyNumberFormat="1" applyFont="1" applyBorder="1"/>
    <xf numFmtId="0" fontId="40" fillId="0" borderId="13" xfId="49" applyFont="1" applyBorder="1"/>
    <xf numFmtId="0" fontId="40" fillId="0" borderId="11" xfId="49" applyFont="1" applyBorder="1"/>
    <xf numFmtId="17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31" fillId="0" borderId="18" xfId="0" applyFont="1" applyBorder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24" borderId="13" xfId="0" applyFont="1" applyFill="1" applyBorder="1" applyAlignment="1">
      <alignment horizontal="center"/>
    </xf>
    <xf numFmtId="0" fontId="35" fillId="24" borderId="11" xfId="0" applyFont="1" applyFill="1" applyBorder="1" applyAlignment="1">
      <alignment horizontal="center"/>
    </xf>
    <xf numFmtId="0" fontId="35" fillId="24" borderId="12" xfId="0" applyFont="1" applyFill="1" applyBorder="1" applyAlignment="1">
      <alignment horizontal="center"/>
    </xf>
    <xf numFmtId="0" fontId="35" fillId="24" borderId="17" xfId="0" applyFont="1" applyFill="1" applyBorder="1" applyAlignment="1">
      <alignment horizontal="center" vertical="center"/>
    </xf>
    <xf numFmtId="0" fontId="35" fillId="24" borderId="18" xfId="0" applyFont="1" applyFill="1" applyBorder="1" applyAlignment="1">
      <alignment horizontal="center" vertical="center"/>
    </xf>
    <xf numFmtId="0" fontId="35" fillId="24" borderId="19" xfId="0" applyFont="1" applyFill="1" applyBorder="1" applyAlignment="1">
      <alignment horizontal="center" vertical="center"/>
    </xf>
    <xf numFmtId="0" fontId="2" fillId="0" borderId="53" xfId="57" applyBorder="1" applyAlignment="1">
      <alignment horizontal="left" vertical="center"/>
    </xf>
    <xf numFmtId="0" fontId="2" fillId="0" borderId="49" xfId="57" applyFont="1" applyBorder="1" applyAlignment="1">
      <alignment horizontal="left" vertical="center"/>
    </xf>
    <xf numFmtId="0" fontId="38" fillId="37" borderId="58" xfId="57" applyFont="1" applyFill="1" applyBorder="1" applyAlignment="1">
      <alignment horizontal="center"/>
    </xf>
    <xf numFmtId="0" fontId="38" fillId="37" borderId="59" xfId="57" applyFont="1" applyFill="1" applyBorder="1" applyAlignment="1">
      <alignment horizontal="center"/>
    </xf>
    <xf numFmtId="0" fontId="2" fillId="0" borderId="62" xfId="57" applyBorder="1" applyAlignment="1">
      <alignment horizontal="left" vertical="center" wrapText="1"/>
    </xf>
    <xf numFmtId="0" fontId="2" fillId="0" borderId="47" xfId="57" applyBorder="1" applyAlignment="1">
      <alignment horizontal="left" vertical="center"/>
    </xf>
    <xf numFmtId="0" fontId="2" fillId="0" borderId="48" xfId="57" applyFont="1" applyBorder="1" applyAlignment="1">
      <alignment horizontal="left" vertical="center"/>
    </xf>
    <xf numFmtId="0" fontId="51" fillId="36" borderId="20" xfId="53" applyFont="1" applyFill="1" applyBorder="1" applyAlignment="1">
      <alignment horizontal="center"/>
    </xf>
    <xf numFmtId="0" fontId="51" fillId="35" borderId="20" xfId="53" applyFont="1" applyFill="1" applyBorder="1" applyAlignment="1">
      <alignment horizontal="center"/>
    </xf>
    <xf numFmtId="0" fontId="51" fillId="31" borderId="20" xfId="53" applyFont="1" applyFill="1" applyBorder="1" applyAlignment="1">
      <alignment horizontal="center"/>
    </xf>
    <xf numFmtId="0" fontId="51" fillId="0" borderId="0" xfId="53" applyFont="1" applyFill="1" applyBorder="1" applyAlignment="1">
      <alignment horizontal="center"/>
    </xf>
    <xf numFmtId="0" fontId="56" fillId="29" borderId="38" xfId="53" applyFont="1" applyFill="1" applyBorder="1" applyAlignment="1">
      <alignment horizontal="left" vertical="center" wrapText="1"/>
    </xf>
    <xf numFmtId="0" fontId="56" fillId="29" borderId="21" xfId="53" applyFont="1" applyFill="1" applyBorder="1" applyAlignment="1">
      <alignment horizontal="left" vertical="center" wrapText="1"/>
    </xf>
    <xf numFmtId="167" fontId="52" fillId="29" borderId="38" xfId="56" applyNumberFormat="1" applyFont="1" applyFill="1" applyBorder="1" applyAlignment="1">
      <alignment horizontal="center" vertical="center" wrapText="1"/>
    </xf>
    <xf numFmtId="167" fontId="52" fillId="29" borderId="21" xfId="56" applyNumberFormat="1" applyFont="1" applyFill="1" applyBorder="1" applyAlignment="1">
      <alignment horizontal="center" vertical="center" wrapText="1"/>
    </xf>
    <xf numFmtId="0" fontId="56" fillId="34" borderId="38" xfId="53" applyFont="1" applyFill="1" applyBorder="1" applyAlignment="1">
      <alignment horizontal="left" vertical="center" wrapText="1"/>
    </xf>
    <xf numFmtId="0" fontId="56" fillId="34" borderId="21" xfId="53" applyFont="1" applyFill="1" applyBorder="1" applyAlignment="1">
      <alignment horizontal="left" vertical="center" wrapText="1"/>
    </xf>
    <xf numFmtId="167" fontId="52" fillId="34" borderId="38" xfId="56" applyNumberFormat="1" applyFont="1" applyFill="1" applyBorder="1" applyAlignment="1">
      <alignment horizontal="center" vertical="center" wrapText="1"/>
    </xf>
    <xf numFmtId="167" fontId="52" fillId="34" borderId="21" xfId="56" applyNumberFormat="1" applyFont="1" applyFill="1" applyBorder="1" applyAlignment="1">
      <alignment horizontal="center" vertical="center" wrapText="1"/>
    </xf>
    <xf numFmtId="167" fontId="52" fillId="26" borderId="39" xfId="56" applyNumberFormat="1" applyFont="1" applyFill="1" applyBorder="1" applyAlignment="1">
      <alignment horizontal="center"/>
    </xf>
    <xf numFmtId="167" fontId="52" fillId="26" borderId="40" xfId="56" applyNumberFormat="1" applyFont="1" applyFill="1" applyBorder="1" applyAlignment="1">
      <alignment horizontal="center"/>
    </xf>
    <xf numFmtId="167" fontId="52" fillId="29" borderId="39" xfId="56" applyNumberFormat="1" applyFont="1" applyFill="1" applyBorder="1" applyAlignment="1">
      <alignment horizontal="center"/>
    </xf>
    <xf numFmtId="167" fontId="52" fillId="29" borderId="40" xfId="56" applyNumberFormat="1" applyFont="1" applyFill="1" applyBorder="1" applyAlignment="1">
      <alignment horizontal="center"/>
    </xf>
    <xf numFmtId="167" fontId="52" fillId="34" borderId="39" xfId="56" applyNumberFormat="1" applyFont="1" applyFill="1" applyBorder="1" applyAlignment="1">
      <alignment horizontal="center"/>
    </xf>
    <xf numFmtId="167" fontId="52" fillId="34" borderId="40" xfId="56" applyNumberFormat="1" applyFont="1" applyFill="1" applyBorder="1" applyAlignment="1">
      <alignment horizontal="center"/>
    </xf>
    <xf numFmtId="167" fontId="52" fillId="26" borderId="38" xfId="56" applyNumberFormat="1" applyFont="1" applyFill="1" applyBorder="1" applyAlignment="1">
      <alignment horizontal="center" vertical="center" wrapText="1"/>
    </xf>
    <xf numFmtId="167" fontId="52" fillId="26" borderId="21" xfId="56" applyNumberFormat="1" applyFont="1" applyFill="1" applyBorder="1" applyAlignment="1">
      <alignment horizontal="center" vertical="center" wrapText="1"/>
    </xf>
    <xf numFmtId="0" fontId="55" fillId="26" borderId="38" xfId="53" applyFont="1" applyFill="1" applyBorder="1" applyAlignment="1">
      <alignment horizontal="left" vertical="center" wrapText="1"/>
    </xf>
    <xf numFmtId="0" fontId="55" fillId="26" borderId="21" xfId="53" applyFont="1" applyFill="1" applyBorder="1" applyAlignment="1">
      <alignment horizontal="left" vertical="center" wrapText="1"/>
    </xf>
    <xf numFmtId="0" fontId="61" fillId="0" borderId="38" xfId="58" applyFont="1" applyBorder="1" applyAlignment="1">
      <alignment horizontal="center" vertical="center" wrapText="1"/>
    </xf>
    <xf numFmtId="0" fontId="61" fillId="0" borderId="21" xfId="58" applyFont="1" applyBorder="1" applyAlignment="1">
      <alignment horizontal="center" vertical="center" wrapText="1"/>
    </xf>
    <xf numFmtId="0" fontId="57" fillId="38" borderId="0" xfId="58" applyFont="1" applyFill="1" applyAlignment="1">
      <alignment horizontal="center" vertical="center" wrapText="1"/>
    </xf>
    <xf numFmtId="0" fontId="57" fillId="38" borderId="0" xfId="58" applyFont="1" applyFill="1" applyAlignment="1">
      <alignment horizontal="center" vertical="center"/>
    </xf>
    <xf numFmtId="0" fontId="37" fillId="39" borderId="41" xfId="58" applyFont="1" applyFill="1" applyBorder="1" applyAlignment="1">
      <alignment horizontal="center" vertical="center"/>
    </xf>
    <xf numFmtId="0" fontId="37" fillId="39" borderId="39" xfId="58" applyFont="1" applyFill="1" applyBorder="1" applyAlignment="1">
      <alignment horizontal="center" vertical="center"/>
    </xf>
    <xf numFmtId="0" fontId="37" fillId="39" borderId="40" xfId="58" applyFont="1" applyFill="1" applyBorder="1" applyAlignment="1">
      <alignment horizontal="center" vertical="center"/>
    </xf>
    <xf numFmtId="0" fontId="37" fillId="39" borderId="20" xfId="58" applyFont="1" applyFill="1" applyBorder="1" applyAlignment="1">
      <alignment horizontal="center" vertical="center" wrapText="1"/>
    </xf>
    <xf numFmtId="0" fontId="37" fillId="39" borderId="38" xfId="58" applyFont="1" applyFill="1" applyBorder="1" applyAlignment="1">
      <alignment horizontal="center" vertical="center"/>
    </xf>
    <xf numFmtId="0" fontId="37" fillId="39" borderId="21" xfId="58" applyFont="1" applyFill="1" applyBorder="1" applyAlignment="1">
      <alignment horizontal="center" vertical="center"/>
    </xf>
    <xf numFmtId="9" fontId="39" fillId="0" borderId="38" xfId="59" applyFont="1" applyBorder="1" applyAlignment="1">
      <alignment horizontal="center" vertical="center"/>
    </xf>
    <xf numFmtId="9" fontId="39" fillId="0" borderId="21" xfId="59" applyFont="1" applyBorder="1" applyAlignment="1">
      <alignment horizontal="center" vertical="center"/>
    </xf>
    <xf numFmtId="9" fontId="39" fillId="0" borderId="20" xfId="59" applyFont="1" applyBorder="1" applyAlignment="1">
      <alignment horizontal="center" vertical="center"/>
    </xf>
    <xf numFmtId="0" fontId="61" fillId="0" borderId="20" xfId="58" applyFont="1" applyBorder="1" applyAlignment="1">
      <alignment horizontal="center" vertical="center"/>
    </xf>
    <xf numFmtId="9" fontId="1" fillId="0" borderId="38" xfId="58" applyNumberFormat="1" applyBorder="1" applyAlignment="1">
      <alignment horizontal="center" vertical="center" wrapText="1"/>
    </xf>
    <xf numFmtId="9" fontId="1" fillId="0" borderId="21" xfId="58" applyNumberFormat="1" applyBorder="1" applyAlignment="1">
      <alignment horizontal="center" vertical="center" wrapText="1"/>
    </xf>
    <xf numFmtId="0" fontId="37" fillId="39" borderId="20" xfId="58" applyFont="1" applyFill="1" applyBorder="1" applyAlignment="1">
      <alignment horizontal="center" vertical="center"/>
    </xf>
    <xf numFmtId="0" fontId="48" fillId="0" borderId="20" xfId="0" applyFont="1" applyBorder="1" applyAlignment="1">
      <alignment horizontal="center"/>
    </xf>
    <xf numFmtId="0" fontId="48" fillId="0" borderId="20" xfId="0" applyFont="1" applyBorder="1" applyAlignment="1">
      <alignment horizontal="center" vertical="center"/>
    </xf>
  </cellXfs>
  <cellStyles count="6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Millares" xfId="54" builtinId="3"/>
    <cellStyle name="Millares 2" xfId="50"/>
    <cellStyle name="Millares 21" xfId="56"/>
    <cellStyle name="Moneda 2" xfId="33"/>
    <cellStyle name="Neutral" xfId="34" builtinId="28" customBuiltin="1"/>
    <cellStyle name="Normal" xfId="0" builtinId="0"/>
    <cellStyle name="Normal 2" xfId="35"/>
    <cellStyle name="Normal 2 2" xfId="36"/>
    <cellStyle name="Normal 2 3" xfId="53"/>
    <cellStyle name="Normal 3" xfId="37"/>
    <cellStyle name="Normal 4" xfId="38"/>
    <cellStyle name="Normal 5" xfId="39"/>
    <cellStyle name="Normal 6" xfId="49"/>
    <cellStyle name="Normal 7" xfId="52"/>
    <cellStyle name="Normal 8" xfId="57"/>
    <cellStyle name="Normal 9" xfId="58"/>
    <cellStyle name="Notas" xfId="40" builtinId="10" customBuiltin="1"/>
    <cellStyle name="Porcentual" xfId="55" builtinId="5"/>
    <cellStyle name="Porcentual 2" xfId="51"/>
    <cellStyle name="Porcentual 3" xfId="59"/>
    <cellStyle name="Salida" xfId="41" builtinId="21" customBuiltin="1"/>
    <cellStyle name="Texto de advertencia" xfId="42" builtinId="11" customBuiltin="1"/>
    <cellStyle name="Texto explicativo" xfId="43" builtinId="53" customBuiltin="1"/>
    <cellStyle name="Título" xfId="44" builtinId="15" customBuiltin="1"/>
    <cellStyle name="Título 1" xfId="45" builtinId="16" customBuiltin="1"/>
    <cellStyle name="Título 2" xfId="46" builtinId="17" customBuiltin="1"/>
    <cellStyle name="Título 3" xfId="47" builtinId="18" customBuiltin="1"/>
    <cellStyle name="Total" xfId="48" builtinId="25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2400"/>
            </a:pPr>
            <a:r>
              <a:rPr lang="es-PE" sz="2400"/>
              <a:t>Desarrollo del Mercado a traves de la Red de Ventas</a:t>
            </a:r>
          </a:p>
        </c:rich>
      </c:tx>
    </c:title>
    <c:plotArea>
      <c:layout>
        <c:manualLayout>
          <c:layoutTarget val="inner"/>
          <c:xMode val="edge"/>
          <c:yMode val="edge"/>
          <c:x val="5.4473052860969505E-2"/>
          <c:y val="0.11619050559508649"/>
          <c:w val="0.70302314849608682"/>
          <c:h val="0.78093126347241071"/>
        </c:manualLayout>
      </c:layout>
      <c:lineChart>
        <c:grouping val="standard"/>
        <c:ser>
          <c:idx val="0"/>
          <c:order val="0"/>
          <c:tx>
            <c:strRef>
              <c:f>'SUPUESTOS Y CORRIDOS'!$B$5:$D$5</c:f>
              <c:strCache>
                <c:ptCount val="1"/>
                <c:pt idx="0">
                  <c:v>Lamparas pico PV Red Rural C, D y E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CORRIDOS'!$E$5:$AS$5</c:f>
              <c:numCache>
                <c:formatCode>0.00%</c:formatCode>
                <c:ptCount val="41"/>
                <c:pt idx="0" formatCode="_ * #,##0_ ;_ * \-#,##0_ ;_ * &quot;-&quot;??_ ;_ @_ ">
                  <c:v>29796</c:v>
                </c:pt>
                <c:pt idx="1">
                  <c:v>0.04</c:v>
                </c:pt>
                <c:pt idx="2">
                  <c:v>4.4999999999999998E-2</c:v>
                </c:pt>
                <c:pt idx="3">
                  <c:v>4.2499999999999996E-2</c:v>
                </c:pt>
                <c:pt idx="4">
                  <c:v>4.0999999999999995E-2</c:v>
                </c:pt>
                <c:pt idx="5">
                  <c:v>3.9499999999999993E-2</c:v>
                </c:pt>
                <c:pt idx="6">
                  <c:v>3.7999999999999992E-2</c:v>
                </c:pt>
                <c:pt idx="7">
                  <c:v>3.6499999999999991E-2</c:v>
                </c:pt>
                <c:pt idx="8">
                  <c:v>3.4999999999999989E-2</c:v>
                </c:pt>
                <c:pt idx="9">
                  <c:v>3.3499999999999988E-2</c:v>
                </c:pt>
                <c:pt idx="10">
                  <c:v>3.1999999999999987E-2</c:v>
                </c:pt>
                <c:pt idx="11">
                  <c:v>2.9999999999999985E-2</c:v>
                </c:pt>
                <c:pt idx="12">
                  <c:v>2.7999999999999983E-2</c:v>
                </c:pt>
                <c:pt idx="13">
                  <c:v>2.5999999999999981E-2</c:v>
                </c:pt>
                <c:pt idx="14">
                  <c:v>2.399999999999998E-2</c:v>
                </c:pt>
                <c:pt idx="15">
                  <c:v>2.1999999999999978E-2</c:v>
                </c:pt>
                <c:pt idx="16">
                  <c:v>1.9999999999999976E-2</c:v>
                </c:pt>
                <c:pt idx="17">
                  <c:v>1.7999999999999974E-2</c:v>
                </c:pt>
                <c:pt idx="18">
                  <c:v>1.5999999999999973E-2</c:v>
                </c:pt>
                <c:pt idx="19">
                  <c:v>1.3999999999999973E-2</c:v>
                </c:pt>
                <c:pt idx="20">
                  <c:v>1.2999999999999973E-2</c:v>
                </c:pt>
                <c:pt idx="21">
                  <c:v>1.1999999999999972E-2</c:v>
                </c:pt>
                <c:pt idx="22">
                  <c:v>1.0999999999999972E-2</c:v>
                </c:pt>
                <c:pt idx="23">
                  <c:v>9.9999999999999707E-3</c:v>
                </c:pt>
                <c:pt idx="24">
                  <c:v>8.9999999999999698E-3</c:v>
                </c:pt>
                <c:pt idx="25">
                  <c:v>7.9999999999999689E-3</c:v>
                </c:pt>
                <c:pt idx="26">
                  <c:v>6.9999999999999689E-3</c:v>
                </c:pt>
                <c:pt idx="27">
                  <c:v>5.9999999999999689E-3</c:v>
                </c:pt>
                <c:pt idx="28">
                  <c:v>4.9999999999999689E-3</c:v>
                </c:pt>
                <c:pt idx="29">
                  <c:v>3.9999999999999689E-3</c:v>
                </c:pt>
                <c:pt idx="30">
                  <c:v>3.899999999999969E-3</c:v>
                </c:pt>
                <c:pt idx="31">
                  <c:v>3.7999999999999692E-3</c:v>
                </c:pt>
                <c:pt idx="32">
                  <c:v>3.6999999999999694E-3</c:v>
                </c:pt>
                <c:pt idx="33">
                  <c:v>3.5999999999999695E-3</c:v>
                </c:pt>
                <c:pt idx="34">
                  <c:v>3.4999999999999697E-3</c:v>
                </c:pt>
                <c:pt idx="35">
                  <c:v>3.3999999999999699E-3</c:v>
                </c:pt>
                <c:pt idx="36">
                  <c:v>3.2999999999999701E-3</c:v>
                </c:pt>
                <c:pt idx="37">
                  <c:v>3.1999999999999702E-3</c:v>
                </c:pt>
                <c:pt idx="38">
                  <c:v>3.0999999999999704E-3</c:v>
                </c:pt>
                <c:pt idx="39">
                  <c:v>2.9999999999999706E-3</c:v>
                </c:pt>
                <c:pt idx="40">
                  <c:v>2.8999999999999707E-3</c:v>
                </c:pt>
              </c:numCache>
            </c:numRef>
          </c:val>
        </c:ser>
        <c:ser>
          <c:idx val="1"/>
          <c:order val="1"/>
          <c:tx>
            <c:strRef>
              <c:f>'SUPUESTOS Y CORRIDOS'!$B$6:$D$6</c:f>
              <c:strCache>
                <c:ptCount val="1"/>
                <c:pt idx="0">
                  <c:v>Kits fotovoltaico domiciliario de 200W plug&amp;play Red Rural C, D y E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CORRIDOS'!$E$6:$AS$6</c:f>
              <c:numCache>
                <c:formatCode>0.00%</c:formatCode>
                <c:ptCount val="41"/>
                <c:pt idx="0" formatCode="_ * #,##0_ ;_ * \-#,##0_ ;_ * &quot;-&quot;??_ ;_ @_ ">
                  <c:v>29796</c:v>
                </c:pt>
                <c:pt idx="1">
                  <c:v>0.02</c:v>
                </c:pt>
                <c:pt idx="2">
                  <c:v>2.1000000000000001E-2</c:v>
                </c:pt>
                <c:pt idx="3">
                  <c:v>2.2000000000000002E-2</c:v>
                </c:pt>
                <c:pt idx="4">
                  <c:v>2.3000000000000003E-2</c:v>
                </c:pt>
                <c:pt idx="5">
                  <c:v>2.4000000000000004E-2</c:v>
                </c:pt>
                <c:pt idx="6">
                  <c:v>2.3500000000000004E-2</c:v>
                </c:pt>
                <c:pt idx="7">
                  <c:v>2.3000000000000003E-2</c:v>
                </c:pt>
                <c:pt idx="8">
                  <c:v>2.2500000000000003E-2</c:v>
                </c:pt>
                <c:pt idx="9">
                  <c:v>2.2000000000000002E-2</c:v>
                </c:pt>
                <c:pt idx="10">
                  <c:v>2.1500000000000002E-2</c:v>
                </c:pt>
                <c:pt idx="11">
                  <c:v>2.1400000000000002E-2</c:v>
                </c:pt>
                <c:pt idx="12">
                  <c:v>2.1300000000000003E-2</c:v>
                </c:pt>
                <c:pt idx="13">
                  <c:v>2.1200000000000004E-2</c:v>
                </c:pt>
                <c:pt idx="14">
                  <c:v>2.1100000000000004E-2</c:v>
                </c:pt>
                <c:pt idx="15">
                  <c:v>2.1000000000000005E-2</c:v>
                </c:pt>
                <c:pt idx="16">
                  <c:v>2.0900000000000005E-2</c:v>
                </c:pt>
                <c:pt idx="17">
                  <c:v>2.0800000000000006E-2</c:v>
                </c:pt>
                <c:pt idx="18">
                  <c:v>2.0700000000000007E-2</c:v>
                </c:pt>
                <c:pt idx="19">
                  <c:v>2.0600000000000007E-2</c:v>
                </c:pt>
                <c:pt idx="20">
                  <c:v>2.0500000000000008E-2</c:v>
                </c:pt>
                <c:pt idx="21">
                  <c:v>2.0400000000000008E-2</c:v>
                </c:pt>
                <c:pt idx="22">
                  <c:v>2.0300000000000009E-2</c:v>
                </c:pt>
                <c:pt idx="23">
                  <c:v>2.020000000000001E-2</c:v>
                </c:pt>
                <c:pt idx="24">
                  <c:v>2.010000000000001E-2</c:v>
                </c:pt>
                <c:pt idx="25">
                  <c:v>2.0000000000000011E-2</c:v>
                </c:pt>
                <c:pt idx="26">
                  <c:v>1.9900000000000011E-2</c:v>
                </c:pt>
                <c:pt idx="27">
                  <c:v>1.9800000000000012E-2</c:v>
                </c:pt>
                <c:pt idx="28">
                  <c:v>1.9700000000000013E-2</c:v>
                </c:pt>
                <c:pt idx="29">
                  <c:v>1.9600000000000013E-2</c:v>
                </c:pt>
                <c:pt idx="30">
                  <c:v>1.9500000000000014E-2</c:v>
                </c:pt>
                <c:pt idx="31">
                  <c:v>1.9400000000000014E-2</c:v>
                </c:pt>
                <c:pt idx="32">
                  <c:v>1.9300000000000015E-2</c:v>
                </c:pt>
                <c:pt idx="33">
                  <c:v>1.9200000000000016E-2</c:v>
                </c:pt>
                <c:pt idx="34">
                  <c:v>1.9100000000000016E-2</c:v>
                </c:pt>
                <c:pt idx="35">
                  <c:v>1.9000000000000017E-2</c:v>
                </c:pt>
                <c:pt idx="36">
                  <c:v>1.8900000000000017E-2</c:v>
                </c:pt>
                <c:pt idx="37">
                  <c:v>1.8800000000000018E-2</c:v>
                </c:pt>
                <c:pt idx="38">
                  <c:v>1.8700000000000019E-2</c:v>
                </c:pt>
                <c:pt idx="39">
                  <c:v>1.8600000000000019E-2</c:v>
                </c:pt>
                <c:pt idx="40">
                  <c:v>1.850000000000002E-2</c:v>
                </c:pt>
              </c:numCache>
            </c:numRef>
          </c:val>
        </c:ser>
        <c:ser>
          <c:idx val="2"/>
          <c:order val="2"/>
          <c:tx>
            <c:strRef>
              <c:f>'SUPUESTOS Y CORRIDOS'!$B$7:$D$7</c:f>
              <c:strCache>
                <c:ptCount val="1"/>
                <c:pt idx="0">
                  <c:v>Utilitarios fotovoltaicos (cargadores, gorros, linternas, etc) Red Rural A, B, C, D Y E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CORRIDOS'!$E$7:$AS$7</c:f>
              <c:numCache>
                <c:formatCode>0.00%</c:formatCode>
                <c:ptCount val="41"/>
                <c:pt idx="0" formatCode="_ * #,##0_ ;_ * \-#,##0_ ;_ * &quot;-&quot;??_ ;_ @_ ">
                  <c:v>44872</c:v>
                </c:pt>
                <c:pt idx="1">
                  <c:v>0.05</c:v>
                </c:pt>
                <c:pt idx="2">
                  <c:v>5.5E-2</c:v>
                </c:pt>
                <c:pt idx="3">
                  <c:v>5.2499999999999998E-2</c:v>
                </c:pt>
                <c:pt idx="4">
                  <c:v>5.0999999999999997E-2</c:v>
                </c:pt>
                <c:pt idx="5">
                  <c:v>4.9499999999999995E-2</c:v>
                </c:pt>
                <c:pt idx="6">
                  <c:v>4.7999999999999994E-2</c:v>
                </c:pt>
                <c:pt idx="7">
                  <c:v>4.6499999999999993E-2</c:v>
                </c:pt>
                <c:pt idx="8">
                  <c:v>4.4999999999999991E-2</c:v>
                </c:pt>
                <c:pt idx="9">
                  <c:v>4.349999999999999E-2</c:v>
                </c:pt>
                <c:pt idx="10">
                  <c:v>4.1499999999999988E-2</c:v>
                </c:pt>
                <c:pt idx="11">
                  <c:v>3.9499999999999987E-2</c:v>
                </c:pt>
                <c:pt idx="12">
                  <c:v>3.7499999999999985E-2</c:v>
                </c:pt>
                <c:pt idx="13">
                  <c:v>3.5499999999999983E-2</c:v>
                </c:pt>
                <c:pt idx="14">
                  <c:v>3.3499999999999981E-2</c:v>
                </c:pt>
                <c:pt idx="15">
                  <c:v>3.1499999999999979E-2</c:v>
                </c:pt>
                <c:pt idx="16">
                  <c:v>2.9499999999999978E-2</c:v>
                </c:pt>
                <c:pt idx="17">
                  <c:v>2.7499999999999976E-2</c:v>
                </c:pt>
                <c:pt idx="18">
                  <c:v>2.5499999999999974E-2</c:v>
                </c:pt>
                <c:pt idx="19">
                  <c:v>2.3499999999999972E-2</c:v>
                </c:pt>
                <c:pt idx="20">
                  <c:v>2.1499999999999971E-2</c:v>
                </c:pt>
                <c:pt idx="21">
                  <c:v>1.9499999999999969E-2</c:v>
                </c:pt>
                <c:pt idx="22">
                  <c:v>1.7499999999999967E-2</c:v>
                </c:pt>
                <c:pt idx="23">
                  <c:v>1.5499999999999967E-2</c:v>
                </c:pt>
                <c:pt idx="24">
                  <c:v>1.3499999999999967E-2</c:v>
                </c:pt>
                <c:pt idx="25">
                  <c:v>1.1499999999999967E-2</c:v>
                </c:pt>
                <c:pt idx="26">
                  <c:v>9.4999999999999668E-3</c:v>
                </c:pt>
                <c:pt idx="27">
                  <c:v>7.4999999999999668E-3</c:v>
                </c:pt>
                <c:pt idx="28">
                  <c:v>5.4999999999999667E-3</c:v>
                </c:pt>
                <c:pt idx="29">
                  <c:v>3.4999999999999667E-3</c:v>
                </c:pt>
                <c:pt idx="30">
                  <c:v>3.3999999999999669E-3</c:v>
                </c:pt>
                <c:pt idx="31">
                  <c:v>3.299999999999967E-3</c:v>
                </c:pt>
                <c:pt idx="32">
                  <c:v>3.1999999999999672E-3</c:v>
                </c:pt>
                <c:pt idx="33">
                  <c:v>3.0999999999999674E-3</c:v>
                </c:pt>
                <c:pt idx="34">
                  <c:v>2.9999999999999675E-3</c:v>
                </c:pt>
                <c:pt idx="35">
                  <c:v>2.8999999999999677E-3</c:v>
                </c:pt>
                <c:pt idx="36">
                  <c:v>2.7999999999999679E-3</c:v>
                </c:pt>
                <c:pt idx="37">
                  <c:v>2.6999999999999681E-3</c:v>
                </c:pt>
                <c:pt idx="38">
                  <c:v>2.5999999999999682E-3</c:v>
                </c:pt>
                <c:pt idx="39">
                  <c:v>2.4999999999999684E-3</c:v>
                </c:pt>
                <c:pt idx="40">
                  <c:v>2.3999999999999686E-3</c:v>
                </c:pt>
              </c:numCache>
            </c:numRef>
          </c:val>
        </c:ser>
        <c:ser>
          <c:idx val="3"/>
          <c:order val="3"/>
          <c:tx>
            <c:strRef>
              <c:f>'SUPUESTOS Y CORRIDOS'!$B$8:$D$8</c:f>
              <c:strCache>
                <c:ptCount val="1"/>
                <c:pt idx="0">
                  <c:v>Termas solares de tubios al vacio de 100 Litros Red Rural A, B, C, D Y E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CORRIDOS'!$E$8:$AS$8</c:f>
              <c:numCache>
                <c:formatCode>0.00%</c:formatCode>
                <c:ptCount val="41"/>
                <c:pt idx="0" formatCode="_ * #,##0_ ;_ * \-#,##0_ ;_ * &quot;-&quot;??_ ;_ @_ ">
                  <c:v>44872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1.5000000000000001E-2</c:v>
                </c:pt>
                <c:pt idx="5">
                  <c:v>1.7500000000000002E-2</c:v>
                </c:pt>
                <c:pt idx="6">
                  <c:v>1.7500000000000002E-2</c:v>
                </c:pt>
                <c:pt idx="7">
                  <c:v>1.7500000000000002E-2</c:v>
                </c:pt>
                <c:pt idx="8">
                  <c:v>1.7500000000000002E-2</c:v>
                </c:pt>
                <c:pt idx="9">
                  <c:v>1.7500000000000002E-2</c:v>
                </c:pt>
                <c:pt idx="10">
                  <c:v>1.7500000000000002E-2</c:v>
                </c:pt>
                <c:pt idx="11">
                  <c:v>1.7500000000000002E-2</c:v>
                </c:pt>
                <c:pt idx="12">
                  <c:v>1.7500000000000002E-2</c:v>
                </c:pt>
                <c:pt idx="13">
                  <c:v>1.7500000000000002E-2</c:v>
                </c:pt>
                <c:pt idx="14">
                  <c:v>1.7500000000000002E-2</c:v>
                </c:pt>
                <c:pt idx="15">
                  <c:v>1.7500000000000002E-2</c:v>
                </c:pt>
                <c:pt idx="16">
                  <c:v>1.7500000000000002E-2</c:v>
                </c:pt>
                <c:pt idx="17">
                  <c:v>1.7500000000000002E-2</c:v>
                </c:pt>
                <c:pt idx="18">
                  <c:v>1.7500000000000002E-2</c:v>
                </c:pt>
                <c:pt idx="19">
                  <c:v>1.7500000000000002E-2</c:v>
                </c:pt>
                <c:pt idx="20">
                  <c:v>1.7500000000000002E-2</c:v>
                </c:pt>
                <c:pt idx="21">
                  <c:v>1.7500000000000002E-2</c:v>
                </c:pt>
                <c:pt idx="22">
                  <c:v>1.7500000000000002E-2</c:v>
                </c:pt>
                <c:pt idx="23">
                  <c:v>1.7500000000000002E-2</c:v>
                </c:pt>
                <c:pt idx="24">
                  <c:v>1.7500000000000002E-2</c:v>
                </c:pt>
                <c:pt idx="25">
                  <c:v>1.7500000000000002E-2</c:v>
                </c:pt>
                <c:pt idx="26">
                  <c:v>1.7500000000000002E-2</c:v>
                </c:pt>
                <c:pt idx="27">
                  <c:v>1.7500000000000002E-2</c:v>
                </c:pt>
                <c:pt idx="28">
                  <c:v>1.7500000000000002E-2</c:v>
                </c:pt>
                <c:pt idx="29">
                  <c:v>1.7500000000000002E-2</c:v>
                </c:pt>
                <c:pt idx="30">
                  <c:v>1.7500000000000002E-2</c:v>
                </c:pt>
                <c:pt idx="31">
                  <c:v>1.7500000000000002E-2</c:v>
                </c:pt>
                <c:pt idx="32">
                  <c:v>1.7500000000000002E-2</c:v>
                </c:pt>
                <c:pt idx="33">
                  <c:v>1.7500000000000002E-2</c:v>
                </c:pt>
                <c:pt idx="34">
                  <c:v>1.7500000000000002E-2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1.7500000000000002E-2</c:v>
                </c:pt>
                <c:pt idx="39">
                  <c:v>1.7500000000000002E-2</c:v>
                </c:pt>
                <c:pt idx="40">
                  <c:v>1.7500000000000002E-2</c:v>
                </c:pt>
              </c:numCache>
            </c:numRef>
          </c:val>
        </c:ser>
        <c:ser>
          <c:idx val="4"/>
          <c:order val="4"/>
          <c:tx>
            <c:strRef>
              <c:f>'SUPUESTOS Y CORRIDOS'!$B$9:$D$9</c:f>
              <c:strCache>
                <c:ptCount val="1"/>
                <c:pt idx="0">
                  <c:v>Hiladoras de lana de alpaca fotovoltaicas 12V Red Rural C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CORRIDOS'!$E$9:$AS$9</c:f>
              <c:numCache>
                <c:formatCode>0.00%</c:formatCode>
                <c:ptCount val="41"/>
                <c:pt idx="0" formatCode="_ * #,##0_ ;_ * \-#,##0_ ;_ * &quot;-&quot;??_ ;_ @_ ">
                  <c:v>10428.599999999999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3.0000000000000002E-2</c:v>
                </c:pt>
                <c:pt idx="6">
                  <c:v>2.7500000000000004E-2</c:v>
                </c:pt>
                <c:pt idx="7">
                  <c:v>2.5000000000000005E-2</c:v>
                </c:pt>
                <c:pt idx="8">
                  <c:v>2.2500000000000006E-2</c:v>
                </c:pt>
                <c:pt idx="9">
                  <c:v>2.0000000000000007E-2</c:v>
                </c:pt>
                <c:pt idx="10">
                  <c:v>1.9900000000000008E-2</c:v>
                </c:pt>
                <c:pt idx="11">
                  <c:v>1.9800000000000009E-2</c:v>
                </c:pt>
                <c:pt idx="12">
                  <c:v>1.9700000000000009E-2</c:v>
                </c:pt>
                <c:pt idx="13">
                  <c:v>1.960000000000001E-2</c:v>
                </c:pt>
                <c:pt idx="14">
                  <c:v>1.950000000000001E-2</c:v>
                </c:pt>
                <c:pt idx="15">
                  <c:v>1.9400000000000011E-2</c:v>
                </c:pt>
                <c:pt idx="16">
                  <c:v>1.9300000000000012E-2</c:v>
                </c:pt>
                <c:pt idx="17">
                  <c:v>1.9200000000000012E-2</c:v>
                </c:pt>
                <c:pt idx="18">
                  <c:v>1.9100000000000013E-2</c:v>
                </c:pt>
                <c:pt idx="19">
                  <c:v>1.9000000000000013E-2</c:v>
                </c:pt>
                <c:pt idx="20">
                  <c:v>1.8900000000000014E-2</c:v>
                </c:pt>
                <c:pt idx="21">
                  <c:v>1.8800000000000015E-2</c:v>
                </c:pt>
                <c:pt idx="22">
                  <c:v>1.8700000000000015E-2</c:v>
                </c:pt>
                <c:pt idx="23">
                  <c:v>1.8600000000000016E-2</c:v>
                </c:pt>
                <c:pt idx="24">
                  <c:v>1.8500000000000016E-2</c:v>
                </c:pt>
                <c:pt idx="25">
                  <c:v>1.8400000000000017E-2</c:v>
                </c:pt>
                <c:pt idx="26">
                  <c:v>1.8300000000000018E-2</c:v>
                </c:pt>
                <c:pt idx="27">
                  <c:v>1.8200000000000018E-2</c:v>
                </c:pt>
                <c:pt idx="28">
                  <c:v>1.8100000000000019E-2</c:v>
                </c:pt>
                <c:pt idx="29">
                  <c:v>1.8000000000000019E-2</c:v>
                </c:pt>
                <c:pt idx="30">
                  <c:v>1.7850000000000019E-2</c:v>
                </c:pt>
                <c:pt idx="31">
                  <c:v>1.7700000000000018E-2</c:v>
                </c:pt>
                <c:pt idx="32">
                  <c:v>1.7550000000000017E-2</c:v>
                </c:pt>
                <c:pt idx="33">
                  <c:v>1.7400000000000016E-2</c:v>
                </c:pt>
                <c:pt idx="34">
                  <c:v>1.7250000000000015E-2</c:v>
                </c:pt>
                <c:pt idx="35">
                  <c:v>1.7100000000000014E-2</c:v>
                </c:pt>
                <c:pt idx="36">
                  <c:v>1.6950000000000014E-2</c:v>
                </c:pt>
                <c:pt idx="37">
                  <c:v>1.6800000000000013E-2</c:v>
                </c:pt>
                <c:pt idx="38">
                  <c:v>1.6650000000000012E-2</c:v>
                </c:pt>
                <c:pt idx="39">
                  <c:v>1.6500000000000011E-2</c:v>
                </c:pt>
                <c:pt idx="40">
                  <c:v>1.635000000000001E-2</c:v>
                </c:pt>
              </c:numCache>
            </c:numRef>
          </c:val>
        </c:ser>
        <c:ser>
          <c:idx val="5"/>
          <c:order val="5"/>
          <c:tx>
            <c:strRef>
              <c:f>'SUPUESTOS Y CORRIDOS'!$B$10:$D$10</c:f>
              <c:strCache>
                <c:ptCount val="1"/>
                <c:pt idx="0">
                  <c:v>Cercos fotovoltaicos portatiles para ganado Red Rural C Y E</c:v>
                </c:pt>
              </c:strCache>
            </c:strRef>
          </c:tx>
          <c:marker>
            <c:symbol val="none"/>
          </c:marker>
          <c:cat>
            <c:strRef>
              <c:f>'SUPUESTOS Y CORRIDOS'!$E$4:$AS$4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CORRIDOS'!$E$10:$AS$10</c:f>
              <c:numCache>
                <c:formatCode>0.00%</c:formatCode>
                <c:ptCount val="41"/>
                <c:pt idx="0" formatCode="_ * #,##0_ ;_ * \-#,##0_ ;_ * &quot;-&quot;??_ ;_ @_ ">
                  <c:v>16387.8</c:v>
                </c:pt>
                <c:pt idx="1">
                  <c:v>4.0000000000000001E-3</c:v>
                </c:pt>
                <c:pt idx="2">
                  <c:v>5.4999999999999997E-3</c:v>
                </c:pt>
                <c:pt idx="3">
                  <c:v>6.4999999999999997E-3</c:v>
                </c:pt>
                <c:pt idx="4">
                  <c:v>7.4999999999999997E-3</c:v>
                </c:pt>
                <c:pt idx="5">
                  <c:v>8.5000000000000006E-3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8.5000000000000006E-3</c:v>
                </c:pt>
                <c:pt idx="9">
                  <c:v>8.5000000000000006E-3</c:v>
                </c:pt>
                <c:pt idx="10">
                  <c:v>8.5000000000000006E-3</c:v>
                </c:pt>
                <c:pt idx="11">
                  <c:v>8.5000000000000006E-3</c:v>
                </c:pt>
                <c:pt idx="12">
                  <c:v>8.5000000000000006E-3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8.5000000000000006E-3</c:v>
                </c:pt>
                <c:pt idx="17">
                  <c:v>8.5000000000000006E-3</c:v>
                </c:pt>
                <c:pt idx="18">
                  <c:v>8.5000000000000006E-3</c:v>
                </c:pt>
                <c:pt idx="19">
                  <c:v>8.5000000000000006E-3</c:v>
                </c:pt>
                <c:pt idx="20">
                  <c:v>8.5000000000000006E-3</c:v>
                </c:pt>
                <c:pt idx="21">
                  <c:v>8.3000000000000001E-3</c:v>
                </c:pt>
                <c:pt idx="22">
                  <c:v>8.0999999999999996E-3</c:v>
                </c:pt>
                <c:pt idx="23">
                  <c:v>7.899999999999999E-3</c:v>
                </c:pt>
                <c:pt idx="24">
                  <c:v>7.6999999999999994E-3</c:v>
                </c:pt>
                <c:pt idx="25">
                  <c:v>7.4999999999999997E-3</c:v>
                </c:pt>
                <c:pt idx="26">
                  <c:v>7.3000000000000001E-3</c:v>
                </c:pt>
                <c:pt idx="27">
                  <c:v>7.1000000000000004E-3</c:v>
                </c:pt>
                <c:pt idx="28">
                  <c:v>6.9000000000000008E-3</c:v>
                </c:pt>
                <c:pt idx="29">
                  <c:v>6.7000000000000011E-3</c:v>
                </c:pt>
                <c:pt idx="30">
                  <c:v>6.5000000000000014E-3</c:v>
                </c:pt>
                <c:pt idx="31">
                  <c:v>6.3000000000000018E-3</c:v>
                </c:pt>
                <c:pt idx="32">
                  <c:v>6.1000000000000021E-3</c:v>
                </c:pt>
                <c:pt idx="33">
                  <c:v>5.9000000000000025E-3</c:v>
                </c:pt>
                <c:pt idx="34">
                  <c:v>5.7000000000000028E-3</c:v>
                </c:pt>
                <c:pt idx="35">
                  <c:v>5.5000000000000032E-3</c:v>
                </c:pt>
                <c:pt idx="36">
                  <c:v>5.3000000000000035E-3</c:v>
                </c:pt>
                <c:pt idx="37">
                  <c:v>5.1000000000000038E-3</c:v>
                </c:pt>
                <c:pt idx="38">
                  <c:v>4.9000000000000042E-3</c:v>
                </c:pt>
                <c:pt idx="39">
                  <c:v>4.7000000000000045E-3</c:v>
                </c:pt>
                <c:pt idx="40">
                  <c:v>4.5000000000000049E-3</c:v>
                </c:pt>
              </c:numCache>
            </c:numRef>
          </c:val>
        </c:ser>
        <c:marker val="1"/>
        <c:axId val="103913344"/>
        <c:axId val="103914880"/>
      </c:lineChart>
      <c:catAx>
        <c:axId val="103913344"/>
        <c:scaling>
          <c:orientation val="minMax"/>
        </c:scaling>
        <c:axPos val="b"/>
        <c:majorTickMark val="none"/>
        <c:tickLblPos val="nextTo"/>
        <c:crossAx val="103914880"/>
        <c:crosses val="autoZero"/>
        <c:auto val="1"/>
        <c:lblAlgn val="ctr"/>
        <c:lblOffset val="100"/>
      </c:catAx>
      <c:valAx>
        <c:axId val="103914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PE" sz="1400"/>
                  <a:t>%</a:t>
                </a:r>
                <a:r>
                  <a:rPr lang="es-PE" sz="1400" baseline="0"/>
                  <a:t> de penetración</a:t>
                </a:r>
                <a:endParaRPr lang="es-PE" sz="1400"/>
              </a:p>
            </c:rich>
          </c:tx>
          <c:layout>
            <c:manualLayout>
              <c:xMode val="edge"/>
              <c:yMode val="edge"/>
              <c:x val="6.1635217683941338E-3"/>
              <c:y val="0.43201012172949604"/>
            </c:manualLayout>
          </c:layout>
        </c:title>
        <c:numFmt formatCode="_ * #,##0_ ;_ * \-#,##0_ ;_ * &quot;-&quot;??_ ;_ @_ " sourceLinked="1"/>
        <c:majorTickMark val="none"/>
        <c:tickLblPos val="nextTo"/>
        <c:crossAx val="1039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20000870796669"/>
          <c:y val="8.6458033916230026E-2"/>
          <c:w val="0.21451697263340871"/>
          <c:h val="0.87381080483010898"/>
        </c:manualLayout>
      </c:layout>
      <c:txPr>
        <a:bodyPr/>
        <a:lstStyle/>
        <a:p>
          <a:pPr>
            <a:defRPr sz="1600"/>
          </a:pPr>
          <a:endParaRPr lang="es-P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/>
              <a:t>Desarrollo del Mercado a traves de</a:t>
            </a:r>
            <a:r>
              <a:rPr lang="es-PE" baseline="0"/>
              <a:t> tecnologias de valor agregado desde los Yachaywasis</a:t>
            </a:r>
            <a:endParaRPr lang="es-PE"/>
          </a:p>
        </c:rich>
      </c:tx>
    </c:title>
    <c:plotArea>
      <c:layout>
        <c:manualLayout>
          <c:layoutTarget val="inner"/>
          <c:xMode val="edge"/>
          <c:yMode val="edge"/>
          <c:x val="6.033596131480224E-2"/>
          <c:y val="0.14177755951627671"/>
          <c:w val="0.6436598427204363"/>
          <c:h val="0.71818319055688262"/>
        </c:manualLayout>
      </c:layout>
      <c:lineChart>
        <c:grouping val="standard"/>
        <c:ser>
          <c:idx val="0"/>
          <c:order val="0"/>
          <c:tx>
            <c:strRef>
              <c:f>'SUPUESTOS Y CORRIDOS'!$B$12:$D$12</c:f>
              <c:strCache>
                <c:ptCount val="1"/>
                <c:pt idx="0">
                  <c:v>Kit lavado, secado, cardado e hilado de fibra de Alpaca Yachaywasi Asoc. Alpaqueros</c:v>
                </c:pt>
              </c:strCache>
            </c:strRef>
          </c:tx>
          <c:marker>
            <c:symbol val="none"/>
          </c:marker>
          <c:cat>
            <c:strRef>
              <c:f>'SUPUESTOS Y CORRIDOS'!$E$11:$AS$11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CORRIDOS'!$E$12:$AS$12</c:f>
              <c:numCache>
                <c:formatCode>0.00%</c:formatCode>
                <c:ptCount val="41"/>
                <c:pt idx="0" formatCode="_ * #,##0_ ;_ * \-#,##0_ ;_ * &quot;-&quot;??_ ;_ @_ ">
                  <c:v>2085.7199999999998</c:v>
                </c:pt>
                <c:pt idx="1">
                  <c:v>1.4999999999999999E-2</c:v>
                </c:pt>
                <c:pt idx="2">
                  <c:v>1.7499999999999998E-2</c:v>
                </c:pt>
                <c:pt idx="3">
                  <c:v>1.9999999999999997E-2</c:v>
                </c:pt>
                <c:pt idx="4">
                  <c:v>2.2499999999999996E-2</c:v>
                </c:pt>
                <c:pt idx="5">
                  <c:v>2.4999999999999994E-2</c:v>
                </c:pt>
                <c:pt idx="6">
                  <c:v>2.4499999999999994E-2</c:v>
                </c:pt>
                <c:pt idx="7">
                  <c:v>2.3999999999999994E-2</c:v>
                </c:pt>
                <c:pt idx="8">
                  <c:v>2.3499999999999993E-2</c:v>
                </c:pt>
                <c:pt idx="9">
                  <c:v>2.2999999999999993E-2</c:v>
                </c:pt>
                <c:pt idx="10">
                  <c:v>2.2499999999999992E-2</c:v>
                </c:pt>
                <c:pt idx="11">
                  <c:v>2.1999999999999992E-2</c:v>
                </c:pt>
                <c:pt idx="12">
                  <c:v>2.1499999999999991E-2</c:v>
                </c:pt>
                <c:pt idx="13">
                  <c:v>2.0999999999999991E-2</c:v>
                </c:pt>
                <c:pt idx="14">
                  <c:v>2.049999999999999E-2</c:v>
                </c:pt>
                <c:pt idx="15">
                  <c:v>1.999999999999999E-2</c:v>
                </c:pt>
                <c:pt idx="16">
                  <c:v>1.949999999999999E-2</c:v>
                </c:pt>
                <c:pt idx="17">
                  <c:v>1.8999999999999989E-2</c:v>
                </c:pt>
                <c:pt idx="18">
                  <c:v>1.8499999999999989E-2</c:v>
                </c:pt>
                <c:pt idx="19">
                  <c:v>1.7999999999999988E-2</c:v>
                </c:pt>
                <c:pt idx="20">
                  <c:v>1.7499999999999988E-2</c:v>
                </c:pt>
                <c:pt idx="21">
                  <c:v>1.7399999999999988E-2</c:v>
                </c:pt>
                <c:pt idx="22">
                  <c:v>1.7299999999999989E-2</c:v>
                </c:pt>
                <c:pt idx="23">
                  <c:v>1.719999999999999E-2</c:v>
                </c:pt>
                <c:pt idx="24">
                  <c:v>1.709999999999999E-2</c:v>
                </c:pt>
                <c:pt idx="25">
                  <c:v>1.6999999999999991E-2</c:v>
                </c:pt>
                <c:pt idx="26">
                  <c:v>1.6899999999999991E-2</c:v>
                </c:pt>
                <c:pt idx="27">
                  <c:v>1.6799999999999992E-2</c:v>
                </c:pt>
                <c:pt idx="28">
                  <c:v>1.6699999999999993E-2</c:v>
                </c:pt>
                <c:pt idx="29">
                  <c:v>1.6599999999999993E-2</c:v>
                </c:pt>
                <c:pt idx="30">
                  <c:v>1.6499999999999994E-2</c:v>
                </c:pt>
                <c:pt idx="31">
                  <c:v>1.6399999999999994E-2</c:v>
                </c:pt>
                <c:pt idx="32">
                  <c:v>1.6299999999999995E-2</c:v>
                </c:pt>
                <c:pt idx="33">
                  <c:v>1.6199999999999996E-2</c:v>
                </c:pt>
                <c:pt idx="34">
                  <c:v>1.6099999999999996E-2</c:v>
                </c:pt>
                <c:pt idx="35">
                  <c:v>1.5999999999999997E-2</c:v>
                </c:pt>
                <c:pt idx="36">
                  <c:v>1.5899999999999997E-2</c:v>
                </c:pt>
                <c:pt idx="37">
                  <c:v>1.5799999999999998E-2</c:v>
                </c:pt>
                <c:pt idx="38">
                  <c:v>1.5699999999999999E-2</c:v>
                </c:pt>
                <c:pt idx="39">
                  <c:v>1.5599999999999999E-2</c:v>
                </c:pt>
                <c:pt idx="40">
                  <c:v>1.55E-2</c:v>
                </c:pt>
              </c:numCache>
            </c:numRef>
          </c:val>
        </c:ser>
        <c:ser>
          <c:idx val="1"/>
          <c:order val="1"/>
          <c:tx>
            <c:strRef>
              <c:f>'SUPUESTOS Y CORRIDOS'!$B$13:$D$13</c:f>
              <c:strCache>
                <c:ptCount val="1"/>
                <c:pt idx="0">
                  <c:v>Kit producción quesos maduros Yachaywasi Asoc. Product. Lacteos</c:v>
                </c:pt>
              </c:strCache>
            </c:strRef>
          </c:tx>
          <c:marker>
            <c:symbol val="none"/>
          </c:marker>
          <c:cat>
            <c:strRef>
              <c:f>'SUPUESTOS Y CORRIDOS'!$E$11:$AS$11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CORRIDOS'!$E$13:$AS$13</c:f>
              <c:numCache>
                <c:formatCode>0.00%</c:formatCode>
                <c:ptCount val="41"/>
                <c:pt idx="0" formatCode="_ * #,##0_ ;_ * \-#,##0_ ;_ * &quot;-&quot;??_ ;_ @_ ">
                  <c:v>1191.8400000000001</c:v>
                </c:pt>
                <c:pt idx="1">
                  <c:v>1.6E-2</c:v>
                </c:pt>
                <c:pt idx="2">
                  <c:v>1.8499999999999999E-2</c:v>
                </c:pt>
                <c:pt idx="3">
                  <c:v>2.0999999999999998E-2</c:v>
                </c:pt>
                <c:pt idx="4">
                  <c:v>2.3499999999999997E-2</c:v>
                </c:pt>
                <c:pt idx="5">
                  <c:v>2.5999999999999995E-2</c:v>
                </c:pt>
                <c:pt idx="6">
                  <c:v>2.5499999999999995E-2</c:v>
                </c:pt>
                <c:pt idx="7">
                  <c:v>2.4999999999999994E-2</c:v>
                </c:pt>
                <c:pt idx="8">
                  <c:v>2.4499999999999994E-2</c:v>
                </c:pt>
                <c:pt idx="9">
                  <c:v>2.3999999999999994E-2</c:v>
                </c:pt>
                <c:pt idx="10">
                  <c:v>2.3499999999999993E-2</c:v>
                </c:pt>
                <c:pt idx="11">
                  <c:v>2.2999999999999993E-2</c:v>
                </c:pt>
                <c:pt idx="12">
                  <c:v>2.2499999999999992E-2</c:v>
                </c:pt>
                <c:pt idx="13">
                  <c:v>2.1999999999999992E-2</c:v>
                </c:pt>
                <c:pt idx="14">
                  <c:v>2.1499999999999991E-2</c:v>
                </c:pt>
                <c:pt idx="15">
                  <c:v>2.0999999999999991E-2</c:v>
                </c:pt>
                <c:pt idx="16">
                  <c:v>2.049999999999999E-2</c:v>
                </c:pt>
                <c:pt idx="17">
                  <c:v>1.999999999999999E-2</c:v>
                </c:pt>
                <c:pt idx="18">
                  <c:v>1.949999999999999E-2</c:v>
                </c:pt>
                <c:pt idx="19">
                  <c:v>1.8999999999999989E-2</c:v>
                </c:pt>
                <c:pt idx="20">
                  <c:v>1.8499999999999989E-2</c:v>
                </c:pt>
                <c:pt idx="21">
                  <c:v>1.8399999999999989E-2</c:v>
                </c:pt>
                <c:pt idx="22">
                  <c:v>1.829999999999999E-2</c:v>
                </c:pt>
                <c:pt idx="23">
                  <c:v>1.819999999999999E-2</c:v>
                </c:pt>
                <c:pt idx="24">
                  <c:v>1.8099999999999991E-2</c:v>
                </c:pt>
                <c:pt idx="25">
                  <c:v>1.7999999999999992E-2</c:v>
                </c:pt>
                <c:pt idx="26">
                  <c:v>1.7899999999999992E-2</c:v>
                </c:pt>
                <c:pt idx="27">
                  <c:v>1.7799999999999993E-2</c:v>
                </c:pt>
                <c:pt idx="28">
                  <c:v>1.7699999999999994E-2</c:v>
                </c:pt>
                <c:pt idx="29">
                  <c:v>1.7599999999999994E-2</c:v>
                </c:pt>
                <c:pt idx="30">
                  <c:v>1.7499999999999995E-2</c:v>
                </c:pt>
                <c:pt idx="31">
                  <c:v>1.7399999999999995E-2</c:v>
                </c:pt>
                <c:pt idx="32">
                  <c:v>1.7299999999999996E-2</c:v>
                </c:pt>
                <c:pt idx="33">
                  <c:v>1.7199999999999997E-2</c:v>
                </c:pt>
                <c:pt idx="34">
                  <c:v>1.7099999999999997E-2</c:v>
                </c:pt>
                <c:pt idx="35">
                  <c:v>1.6999999999999998E-2</c:v>
                </c:pt>
                <c:pt idx="36">
                  <c:v>1.6899999999999998E-2</c:v>
                </c:pt>
                <c:pt idx="37">
                  <c:v>1.6799999999999999E-2</c:v>
                </c:pt>
                <c:pt idx="38">
                  <c:v>1.67E-2</c:v>
                </c:pt>
                <c:pt idx="39">
                  <c:v>1.66E-2</c:v>
                </c:pt>
                <c:pt idx="40">
                  <c:v>1.6500000000000001E-2</c:v>
                </c:pt>
              </c:numCache>
            </c:numRef>
          </c:val>
        </c:ser>
        <c:ser>
          <c:idx val="2"/>
          <c:order val="2"/>
          <c:tx>
            <c:strRef>
              <c:f>'SUPUESTOS Y CORRIDOS'!$B$14:$D$14</c:f>
              <c:strCache>
                <c:ptCount val="1"/>
                <c:pt idx="0">
                  <c:v>Kit producción verduras hidroponicas Yachaywasi A y B</c:v>
                </c:pt>
              </c:strCache>
            </c:strRef>
          </c:tx>
          <c:marker>
            <c:symbol val="none"/>
          </c:marker>
          <c:cat>
            <c:strRef>
              <c:f>'SUPUESTOS Y CORRIDOS'!$E$11:$AS$11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CORRIDOS'!$E$14:$AS$14</c:f>
              <c:numCache>
                <c:formatCode>0.00%</c:formatCode>
                <c:ptCount val="41"/>
                <c:pt idx="0" formatCode="_ * #,##0_ ;_ * \-#,##0_ ;_ * &quot;-&quot;??_ ;_ @_ ">
                  <c:v>15076.000000000002</c:v>
                </c:pt>
                <c:pt idx="1">
                  <c:v>5.0000000000000001E-3</c:v>
                </c:pt>
                <c:pt idx="2">
                  <c:v>5.1000000000000004E-3</c:v>
                </c:pt>
                <c:pt idx="3">
                  <c:v>5.2000000000000006E-3</c:v>
                </c:pt>
                <c:pt idx="4">
                  <c:v>5.3000000000000009E-3</c:v>
                </c:pt>
                <c:pt idx="5">
                  <c:v>5.4000000000000012E-3</c:v>
                </c:pt>
                <c:pt idx="6">
                  <c:v>5.4000000000000012E-3</c:v>
                </c:pt>
                <c:pt idx="7">
                  <c:v>5.4000000000000012E-3</c:v>
                </c:pt>
                <c:pt idx="8">
                  <c:v>5.4000000000000012E-3</c:v>
                </c:pt>
                <c:pt idx="9">
                  <c:v>5.4000000000000012E-3</c:v>
                </c:pt>
                <c:pt idx="10">
                  <c:v>5.4000000000000012E-3</c:v>
                </c:pt>
                <c:pt idx="11">
                  <c:v>5.4000000000000012E-3</c:v>
                </c:pt>
                <c:pt idx="12">
                  <c:v>5.4000000000000012E-3</c:v>
                </c:pt>
                <c:pt idx="13">
                  <c:v>5.4000000000000012E-3</c:v>
                </c:pt>
                <c:pt idx="14">
                  <c:v>5.4000000000000012E-3</c:v>
                </c:pt>
                <c:pt idx="15">
                  <c:v>5.4000000000000012E-3</c:v>
                </c:pt>
                <c:pt idx="16">
                  <c:v>5.4000000000000012E-3</c:v>
                </c:pt>
                <c:pt idx="17">
                  <c:v>5.4000000000000012E-3</c:v>
                </c:pt>
                <c:pt idx="18">
                  <c:v>5.4000000000000012E-3</c:v>
                </c:pt>
                <c:pt idx="19">
                  <c:v>5.4000000000000012E-3</c:v>
                </c:pt>
                <c:pt idx="20">
                  <c:v>5.4000000000000012E-3</c:v>
                </c:pt>
                <c:pt idx="21">
                  <c:v>5.4000000000000012E-3</c:v>
                </c:pt>
                <c:pt idx="22">
                  <c:v>5.4000000000000012E-3</c:v>
                </c:pt>
                <c:pt idx="23">
                  <c:v>5.4000000000000012E-3</c:v>
                </c:pt>
                <c:pt idx="24">
                  <c:v>5.4000000000000012E-3</c:v>
                </c:pt>
                <c:pt idx="25">
                  <c:v>5.4000000000000012E-3</c:v>
                </c:pt>
                <c:pt idx="26">
                  <c:v>5.4000000000000012E-3</c:v>
                </c:pt>
                <c:pt idx="27">
                  <c:v>5.4000000000000012E-3</c:v>
                </c:pt>
                <c:pt idx="28">
                  <c:v>5.4000000000000012E-3</c:v>
                </c:pt>
                <c:pt idx="29">
                  <c:v>5.4000000000000012E-3</c:v>
                </c:pt>
                <c:pt idx="30">
                  <c:v>5.4000000000000012E-3</c:v>
                </c:pt>
                <c:pt idx="31">
                  <c:v>5.4000000000000012E-3</c:v>
                </c:pt>
                <c:pt idx="32">
                  <c:v>5.4000000000000012E-3</c:v>
                </c:pt>
                <c:pt idx="33">
                  <c:v>5.4000000000000012E-3</c:v>
                </c:pt>
                <c:pt idx="34">
                  <c:v>5.4000000000000012E-3</c:v>
                </c:pt>
                <c:pt idx="35">
                  <c:v>5.4000000000000012E-3</c:v>
                </c:pt>
                <c:pt idx="36">
                  <c:v>5.4000000000000012E-3</c:v>
                </c:pt>
                <c:pt idx="37">
                  <c:v>5.4000000000000012E-3</c:v>
                </c:pt>
                <c:pt idx="38">
                  <c:v>5.4000000000000012E-3</c:v>
                </c:pt>
                <c:pt idx="39">
                  <c:v>5.4000000000000012E-3</c:v>
                </c:pt>
                <c:pt idx="40">
                  <c:v>5.4000000000000012E-3</c:v>
                </c:pt>
              </c:numCache>
            </c:numRef>
          </c:val>
        </c:ser>
        <c:ser>
          <c:idx val="3"/>
          <c:order val="3"/>
          <c:tx>
            <c:strRef>
              <c:f>'SUPUESTOS Y CORRIDOS'!$B$15:$D$15</c:f>
              <c:strCache>
                <c:ptCount val="1"/>
                <c:pt idx="0">
                  <c:v>Kit sistemas de riego tecnificado (1 hectarea) Yachaywasi D y E</c:v>
                </c:pt>
              </c:strCache>
            </c:strRef>
          </c:tx>
          <c:marker>
            <c:symbol val="none"/>
          </c:marker>
          <c:cat>
            <c:strRef>
              <c:f>'SUPUESTOS Y CORRIDOS'!$E$11:$AS$11</c:f>
              <c:strCache>
                <c:ptCount val="41"/>
                <c:pt idx="0">
                  <c:v>Mercado potencial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  <c:pt idx="13">
                  <c:v>Año 13</c:v>
                </c:pt>
                <c:pt idx="14">
                  <c:v>Año 14</c:v>
                </c:pt>
                <c:pt idx="15">
                  <c:v>Año 15</c:v>
                </c:pt>
                <c:pt idx="16">
                  <c:v>Año 16</c:v>
                </c:pt>
                <c:pt idx="17">
                  <c:v>Año 17</c:v>
                </c:pt>
                <c:pt idx="18">
                  <c:v>Año 18</c:v>
                </c:pt>
                <c:pt idx="19">
                  <c:v>Año 19</c:v>
                </c:pt>
                <c:pt idx="20">
                  <c:v>Año 20</c:v>
                </c:pt>
                <c:pt idx="21">
                  <c:v>Año 21</c:v>
                </c:pt>
                <c:pt idx="22">
                  <c:v>Año 22</c:v>
                </c:pt>
                <c:pt idx="23">
                  <c:v>Año 23</c:v>
                </c:pt>
                <c:pt idx="24">
                  <c:v>Año 24</c:v>
                </c:pt>
                <c:pt idx="25">
                  <c:v>Año 25</c:v>
                </c:pt>
                <c:pt idx="26">
                  <c:v>Año 26</c:v>
                </c:pt>
                <c:pt idx="27">
                  <c:v>Año 27</c:v>
                </c:pt>
                <c:pt idx="28">
                  <c:v>Año 28</c:v>
                </c:pt>
                <c:pt idx="29">
                  <c:v>Año 29</c:v>
                </c:pt>
                <c:pt idx="30">
                  <c:v>Año 30</c:v>
                </c:pt>
                <c:pt idx="31">
                  <c:v>Año 31</c:v>
                </c:pt>
                <c:pt idx="32">
                  <c:v>Año 32</c:v>
                </c:pt>
                <c:pt idx="33">
                  <c:v>Año 33</c:v>
                </c:pt>
                <c:pt idx="34">
                  <c:v>Año 34</c:v>
                </c:pt>
                <c:pt idx="35">
                  <c:v>Año 35</c:v>
                </c:pt>
                <c:pt idx="36">
                  <c:v>Año 36</c:v>
                </c:pt>
                <c:pt idx="37">
                  <c:v>Año 37</c:v>
                </c:pt>
                <c:pt idx="38">
                  <c:v>Año 38</c:v>
                </c:pt>
                <c:pt idx="39">
                  <c:v>Año 39</c:v>
                </c:pt>
                <c:pt idx="40">
                  <c:v>Año 40</c:v>
                </c:pt>
              </c:strCache>
            </c:strRef>
          </c:cat>
          <c:val>
            <c:numRef>
              <c:f>'SUPUESTOS Y CORRIDOS'!$E$15:$AS$15</c:f>
              <c:numCache>
                <c:formatCode>0.00%</c:formatCode>
                <c:ptCount val="41"/>
                <c:pt idx="0" formatCode="_ * #,##0_ ;_ * \-#,##0_ ;_ * &quot;-&quot;??_ ;_ @_ ">
                  <c:v>19367.400000000001</c:v>
                </c:pt>
                <c:pt idx="1">
                  <c:v>7.0000000000000001E-3</c:v>
                </c:pt>
                <c:pt idx="2">
                  <c:v>7.1000000000000004E-3</c:v>
                </c:pt>
                <c:pt idx="3">
                  <c:v>7.2000000000000007E-3</c:v>
                </c:pt>
                <c:pt idx="4">
                  <c:v>7.3000000000000009E-3</c:v>
                </c:pt>
                <c:pt idx="5">
                  <c:v>7.4000000000000012E-3</c:v>
                </c:pt>
                <c:pt idx="6">
                  <c:v>7.4000000000000012E-3</c:v>
                </c:pt>
                <c:pt idx="7">
                  <c:v>7.4000000000000012E-3</c:v>
                </c:pt>
                <c:pt idx="8">
                  <c:v>7.4000000000000012E-3</c:v>
                </c:pt>
                <c:pt idx="9">
                  <c:v>7.4000000000000012E-3</c:v>
                </c:pt>
                <c:pt idx="10">
                  <c:v>7.4000000000000012E-3</c:v>
                </c:pt>
                <c:pt idx="11">
                  <c:v>7.4000000000000012E-3</c:v>
                </c:pt>
                <c:pt idx="12">
                  <c:v>7.4000000000000012E-3</c:v>
                </c:pt>
                <c:pt idx="13">
                  <c:v>7.4000000000000012E-3</c:v>
                </c:pt>
                <c:pt idx="14">
                  <c:v>7.4000000000000012E-3</c:v>
                </c:pt>
                <c:pt idx="15">
                  <c:v>7.4000000000000012E-3</c:v>
                </c:pt>
                <c:pt idx="16">
                  <c:v>7.4000000000000012E-3</c:v>
                </c:pt>
                <c:pt idx="17">
                  <c:v>7.4000000000000012E-3</c:v>
                </c:pt>
                <c:pt idx="18">
                  <c:v>7.4000000000000012E-3</c:v>
                </c:pt>
                <c:pt idx="19">
                  <c:v>7.4000000000000012E-3</c:v>
                </c:pt>
                <c:pt idx="20">
                  <c:v>7.4000000000000012E-3</c:v>
                </c:pt>
                <c:pt idx="21">
                  <c:v>7.4000000000000012E-3</c:v>
                </c:pt>
                <c:pt idx="22">
                  <c:v>7.4000000000000012E-3</c:v>
                </c:pt>
                <c:pt idx="23">
                  <c:v>7.4000000000000012E-3</c:v>
                </c:pt>
                <c:pt idx="24">
                  <c:v>7.4000000000000012E-3</c:v>
                </c:pt>
                <c:pt idx="25">
                  <c:v>7.4000000000000012E-3</c:v>
                </c:pt>
                <c:pt idx="26">
                  <c:v>7.4000000000000012E-3</c:v>
                </c:pt>
                <c:pt idx="27">
                  <c:v>7.4000000000000012E-3</c:v>
                </c:pt>
                <c:pt idx="28">
                  <c:v>7.4000000000000012E-3</c:v>
                </c:pt>
                <c:pt idx="29">
                  <c:v>7.4000000000000012E-3</c:v>
                </c:pt>
                <c:pt idx="30">
                  <c:v>7.4000000000000012E-3</c:v>
                </c:pt>
                <c:pt idx="31">
                  <c:v>7.4000000000000012E-3</c:v>
                </c:pt>
                <c:pt idx="32">
                  <c:v>7.4000000000000012E-3</c:v>
                </c:pt>
                <c:pt idx="33">
                  <c:v>7.4000000000000012E-3</c:v>
                </c:pt>
                <c:pt idx="34">
                  <c:v>7.4000000000000012E-3</c:v>
                </c:pt>
                <c:pt idx="35">
                  <c:v>7.4000000000000012E-3</c:v>
                </c:pt>
                <c:pt idx="36">
                  <c:v>7.4000000000000012E-3</c:v>
                </c:pt>
                <c:pt idx="37">
                  <c:v>7.4000000000000012E-3</c:v>
                </c:pt>
                <c:pt idx="38">
                  <c:v>7.4000000000000012E-3</c:v>
                </c:pt>
                <c:pt idx="39">
                  <c:v>7.4000000000000012E-3</c:v>
                </c:pt>
                <c:pt idx="40">
                  <c:v>7.4000000000000012E-3</c:v>
                </c:pt>
              </c:numCache>
            </c:numRef>
          </c:val>
        </c:ser>
        <c:marker val="1"/>
        <c:axId val="103575936"/>
        <c:axId val="103577472"/>
      </c:lineChart>
      <c:catAx>
        <c:axId val="103575936"/>
        <c:scaling>
          <c:orientation val="minMax"/>
        </c:scaling>
        <c:axPos val="b"/>
        <c:majorTickMark val="none"/>
        <c:tickLblPos val="nextTo"/>
        <c:crossAx val="103577472"/>
        <c:crosses val="autoZero"/>
        <c:auto val="1"/>
        <c:lblAlgn val="ctr"/>
        <c:lblOffset val="100"/>
      </c:catAx>
      <c:valAx>
        <c:axId val="10357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PE" sz="1600"/>
                  <a:t>% penetracion</a:t>
                </a:r>
              </a:p>
            </c:rich>
          </c:tx>
        </c:title>
        <c:numFmt formatCode="_ * #,##0_ ;_ * \-#,##0_ ;_ * &quot;-&quot;??_ ;_ @_ " sourceLinked="1"/>
        <c:majorTickMark val="none"/>
        <c:tickLblPos val="nextTo"/>
        <c:crossAx val="10357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732704988122056"/>
          <c:y val="0.11304026685917541"/>
          <c:w val="0.24682133015308291"/>
          <c:h val="0.82100743955115962"/>
        </c:manualLayout>
      </c:layout>
      <c:txPr>
        <a:bodyPr/>
        <a:lstStyle/>
        <a:p>
          <a:pPr>
            <a:defRPr sz="1600"/>
          </a:pPr>
          <a:endParaRPr lang="es-P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476250</xdr:colOff>
      <xdr:row>2</xdr:row>
      <xdr:rowOff>163286</xdr:rowOff>
    </xdr:from>
    <xdr:to>
      <xdr:col>64</xdr:col>
      <xdr:colOff>421822</xdr:colOff>
      <xdr:row>26</xdr:row>
      <xdr:rowOff>176893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517071</xdr:colOff>
      <xdr:row>29</xdr:row>
      <xdr:rowOff>176892</xdr:rowOff>
    </xdr:from>
    <xdr:to>
      <xdr:col>62</xdr:col>
      <xdr:colOff>585106</xdr:colOff>
      <xdr:row>55</xdr:row>
      <xdr:rowOff>136071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opLeftCell="A4" workbookViewId="0">
      <selection activeCell="Q200" sqref="Q200"/>
    </sheetView>
  </sheetViews>
  <sheetFormatPr baseColWidth="10" defaultRowHeight="9"/>
  <cols>
    <col min="1" max="1" width="6.85546875" style="1" bestFit="1" customWidth="1"/>
    <col min="2" max="2" width="28.28515625" style="1" customWidth="1"/>
    <col min="3" max="3" width="8.140625" style="1" bestFit="1" customWidth="1"/>
    <col min="4" max="4" width="8.5703125" style="1" bestFit="1" customWidth="1"/>
    <col min="5" max="5" width="8.7109375" style="1" customWidth="1"/>
    <col min="6" max="6" width="9" style="1" bestFit="1" customWidth="1"/>
    <col min="7" max="7" width="8.5703125" style="1" bestFit="1" customWidth="1"/>
    <col min="8" max="8" width="8.7109375" style="1" customWidth="1"/>
    <col min="9" max="9" width="8.140625" style="1" bestFit="1" customWidth="1"/>
    <col min="10" max="10" width="8.5703125" style="1" bestFit="1" customWidth="1"/>
    <col min="11" max="11" width="7.85546875" style="1" bestFit="1" customWidth="1"/>
    <col min="12" max="16384" width="11.42578125" style="1"/>
  </cols>
  <sheetData>
    <row r="1" spans="1:11" s="8" customFormat="1" ht="12.75">
      <c r="A1" s="380" t="s">
        <v>86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 spans="1:11" s="8" customFormat="1" ht="12.75">
      <c r="A2" s="380" t="s">
        <v>87</v>
      </c>
      <c r="B2" s="380"/>
      <c r="C2" s="380"/>
      <c r="D2" s="380"/>
      <c r="E2" s="380"/>
      <c r="F2" s="380"/>
      <c r="G2" s="380"/>
      <c r="H2" s="380"/>
      <c r="I2" s="381"/>
      <c r="J2" s="380"/>
      <c r="K2" s="380"/>
    </row>
    <row r="3" spans="1:11" ht="9.75" thickBo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s="2" customFormat="1" ht="13.5" customHeight="1" thickBot="1">
      <c r="A4" s="9" t="s">
        <v>0</v>
      </c>
      <c r="B4" s="10" t="s">
        <v>92</v>
      </c>
      <c r="C4" s="382" t="s">
        <v>85</v>
      </c>
      <c r="D4" s="383"/>
      <c r="E4" s="383"/>
      <c r="F4" s="383"/>
      <c r="G4" s="383"/>
      <c r="H4" s="383"/>
      <c r="I4" s="383"/>
      <c r="J4" s="383"/>
      <c r="K4" s="384"/>
    </row>
    <row r="5" spans="1:11" s="2" customFormat="1" ht="9.75" customHeight="1" thickBot="1">
      <c r="A5" s="11"/>
      <c r="B5" s="12" t="s">
        <v>64</v>
      </c>
      <c r="C5" s="385" t="s">
        <v>1</v>
      </c>
      <c r="D5" s="386"/>
      <c r="E5" s="386"/>
      <c r="F5" s="385" t="s">
        <v>2</v>
      </c>
      <c r="G5" s="386"/>
      <c r="H5" s="386"/>
      <c r="I5" s="385" t="s">
        <v>3</v>
      </c>
      <c r="J5" s="386"/>
      <c r="K5" s="387"/>
    </row>
    <row r="6" spans="1:11" s="7" customFormat="1" ht="10.5" customHeight="1" thickBot="1">
      <c r="A6" s="13"/>
      <c r="B6" s="14" t="s">
        <v>65</v>
      </c>
      <c r="C6" s="20" t="s">
        <v>4</v>
      </c>
      <c r="D6" s="21" t="s">
        <v>5</v>
      </c>
      <c r="E6" s="22" t="s">
        <v>6</v>
      </c>
      <c r="F6" s="20" t="s">
        <v>4</v>
      </c>
      <c r="G6" s="21" t="s">
        <v>5</v>
      </c>
      <c r="H6" s="22" t="s">
        <v>6</v>
      </c>
      <c r="I6" s="23" t="s">
        <v>4</v>
      </c>
      <c r="J6" s="21" t="s">
        <v>5</v>
      </c>
      <c r="K6" s="22" t="s">
        <v>6</v>
      </c>
    </row>
    <row r="7" spans="1:11">
      <c r="A7" s="18" t="s">
        <v>8</v>
      </c>
      <c r="B7" s="3" t="s">
        <v>89</v>
      </c>
      <c r="C7" s="6">
        <f>+C8+C11</f>
        <v>36358</v>
      </c>
      <c r="D7" s="6">
        <f t="shared" ref="D7:K7" si="0">+D8+D11</f>
        <v>17844</v>
      </c>
      <c r="E7" s="6">
        <f t="shared" si="0"/>
        <v>18514</v>
      </c>
      <c r="F7" s="6">
        <f t="shared" si="0"/>
        <v>5830</v>
      </c>
      <c r="G7" s="6">
        <f t="shared" si="0"/>
        <v>2859</v>
      </c>
      <c r="H7" s="6">
        <f t="shared" si="0"/>
        <v>2971</v>
      </c>
      <c r="I7" s="6">
        <f t="shared" si="0"/>
        <v>30528</v>
      </c>
      <c r="J7" s="6">
        <f t="shared" si="0"/>
        <v>14985</v>
      </c>
      <c r="K7" s="6">
        <f t="shared" si="0"/>
        <v>15543</v>
      </c>
    </row>
    <row r="8" spans="1:11">
      <c r="A8" s="18" t="s">
        <v>19</v>
      </c>
      <c r="B8" s="3" t="s">
        <v>20</v>
      </c>
      <c r="C8" s="6">
        <f>SUM(C9:C10)</f>
        <v>23818</v>
      </c>
      <c r="D8" s="6">
        <f t="shared" ref="D8:K8" si="1">SUM(D9:D10)</f>
        <v>11657</v>
      </c>
      <c r="E8" s="6">
        <f t="shared" si="1"/>
        <v>12161</v>
      </c>
      <c r="F8" s="6">
        <f t="shared" si="1"/>
        <v>1704</v>
      </c>
      <c r="G8" s="6">
        <f t="shared" si="1"/>
        <v>816</v>
      </c>
      <c r="H8" s="6">
        <f t="shared" si="1"/>
        <v>888</v>
      </c>
      <c r="I8" s="6">
        <f t="shared" si="1"/>
        <v>22114</v>
      </c>
      <c r="J8" s="6">
        <f t="shared" si="1"/>
        <v>10841</v>
      </c>
      <c r="K8" s="6">
        <f t="shared" si="1"/>
        <v>11273</v>
      </c>
    </row>
    <row r="9" spans="1:11">
      <c r="A9" s="16" t="s">
        <v>9</v>
      </c>
      <c r="B9" s="16" t="s">
        <v>10</v>
      </c>
      <c r="C9" s="17">
        <v>7108</v>
      </c>
      <c r="D9" s="17">
        <v>3396</v>
      </c>
      <c r="E9" s="17">
        <v>3712</v>
      </c>
      <c r="F9" s="17">
        <v>1060</v>
      </c>
      <c r="G9" s="17">
        <v>494</v>
      </c>
      <c r="H9" s="17">
        <v>566</v>
      </c>
      <c r="I9" s="17">
        <v>6048</v>
      </c>
      <c r="J9" s="17">
        <v>2902</v>
      </c>
      <c r="K9" s="17">
        <v>3146</v>
      </c>
    </row>
    <row r="10" spans="1:11">
      <c r="A10" s="16" t="s">
        <v>11</v>
      </c>
      <c r="B10" s="16" t="s">
        <v>12</v>
      </c>
      <c r="C10" s="17">
        <v>16710</v>
      </c>
      <c r="D10" s="17">
        <v>8261</v>
      </c>
      <c r="E10" s="17">
        <v>8449</v>
      </c>
      <c r="F10" s="17">
        <v>644</v>
      </c>
      <c r="G10" s="17">
        <v>322</v>
      </c>
      <c r="H10" s="17">
        <v>322</v>
      </c>
      <c r="I10" s="17">
        <v>16066</v>
      </c>
      <c r="J10" s="17">
        <v>7939</v>
      </c>
      <c r="K10" s="17">
        <v>8127</v>
      </c>
    </row>
    <row r="11" spans="1:11">
      <c r="A11" s="18" t="s">
        <v>21</v>
      </c>
      <c r="B11" s="18" t="s">
        <v>13</v>
      </c>
      <c r="C11" s="6">
        <f>SUM(C12:C13)</f>
        <v>12540</v>
      </c>
      <c r="D11" s="6">
        <f t="shared" ref="D11:K11" si="2">SUM(D12:D13)</f>
        <v>6187</v>
      </c>
      <c r="E11" s="6">
        <f t="shared" si="2"/>
        <v>6353</v>
      </c>
      <c r="F11" s="6">
        <f t="shared" si="2"/>
        <v>4126</v>
      </c>
      <c r="G11" s="6">
        <f t="shared" si="2"/>
        <v>2043</v>
      </c>
      <c r="H11" s="6">
        <f t="shared" si="2"/>
        <v>2083</v>
      </c>
      <c r="I11" s="6">
        <f t="shared" si="2"/>
        <v>8414</v>
      </c>
      <c r="J11" s="6">
        <f t="shared" si="2"/>
        <v>4144</v>
      </c>
      <c r="K11" s="6">
        <f t="shared" si="2"/>
        <v>4270</v>
      </c>
    </row>
    <row r="12" spans="1:11">
      <c r="A12" s="16" t="s">
        <v>16</v>
      </c>
      <c r="B12" s="16" t="s">
        <v>17</v>
      </c>
      <c r="C12" s="17">
        <v>4575</v>
      </c>
      <c r="D12" s="17">
        <v>2354</v>
      </c>
      <c r="E12" s="17">
        <v>2221</v>
      </c>
      <c r="F12" s="17">
        <v>881</v>
      </c>
      <c r="G12" s="17">
        <v>458</v>
      </c>
      <c r="H12" s="17">
        <v>423</v>
      </c>
      <c r="I12" s="17">
        <v>3694</v>
      </c>
      <c r="J12" s="17">
        <v>1896</v>
      </c>
      <c r="K12" s="17">
        <v>1798</v>
      </c>
    </row>
    <row r="13" spans="1:11">
      <c r="A13" s="16" t="s">
        <v>14</v>
      </c>
      <c r="B13" s="16" t="s">
        <v>15</v>
      </c>
      <c r="C13" s="17">
        <v>7965</v>
      </c>
      <c r="D13" s="17">
        <v>3833</v>
      </c>
      <c r="E13" s="17">
        <v>4132</v>
      </c>
      <c r="F13" s="17">
        <v>3245</v>
      </c>
      <c r="G13" s="17">
        <v>1585</v>
      </c>
      <c r="H13" s="17">
        <v>1660</v>
      </c>
      <c r="I13" s="17">
        <v>4720</v>
      </c>
      <c r="J13" s="17">
        <v>2248</v>
      </c>
      <c r="K13" s="17">
        <v>2472</v>
      </c>
    </row>
    <row r="14" spans="1:11">
      <c r="A14" s="16"/>
      <c r="B14" s="16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4" t="s">
        <v>24</v>
      </c>
      <c r="B15" s="4" t="s">
        <v>90</v>
      </c>
      <c r="C15" s="19">
        <f>+C16+C20+C28</f>
        <v>81686</v>
      </c>
      <c r="D15" s="19">
        <f t="shared" ref="D15:K15" si="3">+D16+D20+D28</f>
        <v>40884</v>
      </c>
      <c r="E15" s="19">
        <f t="shared" si="3"/>
        <v>40802</v>
      </c>
      <c r="F15" s="19">
        <f t="shared" si="3"/>
        <v>40830</v>
      </c>
      <c r="G15" s="19">
        <f t="shared" si="3"/>
        <v>20022</v>
      </c>
      <c r="H15" s="19">
        <f t="shared" si="3"/>
        <v>20808</v>
      </c>
      <c r="I15" s="19">
        <f t="shared" si="3"/>
        <v>40856</v>
      </c>
      <c r="J15" s="19">
        <f t="shared" si="3"/>
        <v>20862</v>
      </c>
      <c r="K15" s="19">
        <f t="shared" si="3"/>
        <v>19994</v>
      </c>
    </row>
    <row r="16" spans="1:11">
      <c r="A16" s="18" t="s">
        <v>61</v>
      </c>
      <c r="B16" s="3" t="s">
        <v>23</v>
      </c>
      <c r="C16" s="6">
        <f>SUM(C17:C19)</f>
        <v>55480</v>
      </c>
      <c r="D16" s="6">
        <f t="shared" ref="D16:K16" si="4">SUM(D17:D19)</f>
        <v>27135</v>
      </c>
      <c r="E16" s="6">
        <f t="shared" si="4"/>
        <v>28345</v>
      </c>
      <c r="F16" s="6">
        <f t="shared" si="4"/>
        <v>35347</v>
      </c>
      <c r="G16" s="6">
        <f t="shared" si="4"/>
        <v>16992</v>
      </c>
      <c r="H16" s="6">
        <f t="shared" si="4"/>
        <v>18355</v>
      </c>
      <c r="I16" s="6">
        <f t="shared" si="4"/>
        <v>20133</v>
      </c>
      <c r="J16" s="6">
        <f t="shared" si="4"/>
        <v>10143</v>
      </c>
      <c r="K16" s="6">
        <f t="shared" si="4"/>
        <v>9990</v>
      </c>
    </row>
    <row r="17" spans="1:11">
      <c r="A17" s="16" t="s">
        <v>25</v>
      </c>
      <c r="B17" s="16" t="s">
        <v>23</v>
      </c>
      <c r="C17" s="17">
        <v>40345</v>
      </c>
      <c r="D17" s="17">
        <v>19469</v>
      </c>
      <c r="E17" s="17">
        <v>20876</v>
      </c>
      <c r="F17" s="17">
        <v>25679</v>
      </c>
      <c r="G17" s="17">
        <v>12189</v>
      </c>
      <c r="H17" s="17">
        <v>13490</v>
      </c>
      <c r="I17" s="17">
        <v>14666</v>
      </c>
      <c r="J17" s="17">
        <v>7280</v>
      </c>
      <c r="K17" s="17">
        <v>7386</v>
      </c>
    </row>
    <row r="18" spans="1:11">
      <c r="A18" s="16" t="s">
        <v>26</v>
      </c>
      <c r="B18" s="16" t="s">
        <v>27</v>
      </c>
      <c r="C18" s="17">
        <v>2883</v>
      </c>
      <c r="D18" s="17">
        <v>1608</v>
      </c>
      <c r="E18" s="17">
        <v>1275</v>
      </c>
      <c r="F18" s="17">
        <v>1257</v>
      </c>
      <c r="G18" s="17">
        <v>716</v>
      </c>
      <c r="H18" s="17">
        <v>541</v>
      </c>
      <c r="I18" s="17">
        <v>1626</v>
      </c>
      <c r="J18" s="17">
        <v>892</v>
      </c>
      <c r="K18" s="17">
        <v>734</v>
      </c>
    </row>
    <row r="19" spans="1:11">
      <c r="A19" s="16" t="s">
        <v>28</v>
      </c>
      <c r="B19" s="16" t="s">
        <v>29</v>
      </c>
      <c r="C19" s="17">
        <v>12252</v>
      </c>
      <c r="D19" s="17">
        <v>6058</v>
      </c>
      <c r="E19" s="17">
        <v>6194</v>
      </c>
      <c r="F19" s="17">
        <v>8411</v>
      </c>
      <c r="G19" s="17">
        <v>4087</v>
      </c>
      <c r="H19" s="17">
        <v>4324</v>
      </c>
      <c r="I19" s="17">
        <v>3841</v>
      </c>
      <c r="J19" s="17">
        <v>1971</v>
      </c>
      <c r="K19" s="17">
        <v>1870</v>
      </c>
    </row>
    <row r="20" spans="1:11">
      <c r="A20" s="18" t="s">
        <v>62</v>
      </c>
      <c r="B20" s="18" t="s">
        <v>31</v>
      </c>
      <c r="C20" s="19">
        <f>SUM(C21:C27)</f>
        <v>12709</v>
      </c>
      <c r="D20" s="19">
        <f t="shared" ref="D20:K20" si="5">SUM(D21:D27)</f>
        <v>7038</v>
      </c>
      <c r="E20" s="19">
        <f t="shared" si="5"/>
        <v>5671</v>
      </c>
      <c r="F20" s="19">
        <f t="shared" si="5"/>
        <v>3122</v>
      </c>
      <c r="G20" s="19">
        <f t="shared" si="5"/>
        <v>1836</v>
      </c>
      <c r="H20" s="19">
        <f t="shared" si="5"/>
        <v>1286</v>
      </c>
      <c r="I20" s="19">
        <f t="shared" si="5"/>
        <v>9587</v>
      </c>
      <c r="J20" s="19">
        <f t="shared" si="5"/>
        <v>5202</v>
      </c>
      <c r="K20" s="19">
        <f t="shared" si="5"/>
        <v>4385</v>
      </c>
    </row>
    <row r="21" spans="1:11">
      <c r="A21" s="16" t="s">
        <v>30</v>
      </c>
      <c r="B21" s="16" t="s">
        <v>31</v>
      </c>
      <c r="C21" s="17">
        <v>3248</v>
      </c>
      <c r="D21" s="17">
        <v>1604</v>
      </c>
      <c r="E21" s="17">
        <v>1644</v>
      </c>
      <c r="F21" s="17">
        <v>915</v>
      </c>
      <c r="G21" s="17">
        <v>442</v>
      </c>
      <c r="H21" s="17">
        <v>473</v>
      </c>
      <c r="I21" s="17">
        <v>2333</v>
      </c>
      <c r="J21" s="17">
        <v>1162</v>
      </c>
      <c r="K21" s="17">
        <v>1171</v>
      </c>
    </row>
    <row r="22" spans="1:11">
      <c r="A22" s="16" t="s">
        <v>32</v>
      </c>
      <c r="B22" s="16" t="s">
        <v>33</v>
      </c>
      <c r="C22" s="17">
        <v>1440</v>
      </c>
      <c r="D22" s="17">
        <v>685</v>
      </c>
      <c r="E22" s="17">
        <v>755</v>
      </c>
      <c r="F22" s="17">
        <v>85</v>
      </c>
      <c r="G22" s="17">
        <v>35</v>
      </c>
      <c r="H22" s="17">
        <v>50</v>
      </c>
      <c r="I22" s="17">
        <v>1355</v>
      </c>
      <c r="J22" s="17">
        <v>650</v>
      </c>
      <c r="K22" s="17">
        <v>705</v>
      </c>
    </row>
    <row r="23" spans="1:11">
      <c r="A23" s="16" t="s">
        <v>34</v>
      </c>
      <c r="B23" s="16" t="s">
        <v>35</v>
      </c>
      <c r="C23" s="17">
        <v>912</v>
      </c>
      <c r="D23" s="17">
        <v>449</v>
      </c>
      <c r="E23" s="17">
        <v>463</v>
      </c>
      <c r="F23" s="17">
        <v>112</v>
      </c>
      <c r="G23" s="17">
        <v>50</v>
      </c>
      <c r="H23" s="17">
        <v>62</v>
      </c>
      <c r="I23" s="17">
        <v>800</v>
      </c>
      <c r="J23" s="17">
        <v>399</v>
      </c>
      <c r="K23" s="17">
        <v>401</v>
      </c>
    </row>
    <row r="24" spans="1:11">
      <c r="A24" s="16" t="s">
        <v>36</v>
      </c>
      <c r="B24" s="16" t="s">
        <v>37</v>
      </c>
      <c r="C24" s="17">
        <v>1676</v>
      </c>
      <c r="D24" s="17">
        <v>867</v>
      </c>
      <c r="E24" s="17">
        <v>809</v>
      </c>
      <c r="F24" s="17">
        <v>524</v>
      </c>
      <c r="G24" s="17">
        <v>274</v>
      </c>
      <c r="H24" s="17">
        <v>250</v>
      </c>
      <c r="I24" s="17">
        <v>1152</v>
      </c>
      <c r="J24" s="17">
        <v>593</v>
      </c>
      <c r="K24" s="17">
        <v>559</v>
      </c>
    </row>
    <row r="25" spans="1:11">
      <c r="A25" s="16" t="s">
        <v>38</v>
      </c>
      <c r="B25" s="16" t="s">
        <v>39</v>
      </c>
      <c r="C25" s="17">
        <v>1659</v>
      </c>
      <c r="D25" s="17">
        <v>835</v>
      </c>
      <c r="E25" s="17">
        <v>824</v>
      </c>
      <c r="F25" s="17">
        <v>111</v>
      </c>
      <c r="G25" s="17">
        <v>49</v>
      </c>
      <c r="H25" s="17">
        <v>62</v>
      </c>
      <c r="I25" s="17">
        <v>1548</v>
      </c>
      <c r="J25" s="17">
        <v>786</v>
      </c>
      <c r="K25" s="17">
        <v>762</v>
      </c>
    </row>
    <row r="26" spans="1:11">
      <c r="A26" s="16" t="s">
        <v>40</v>
      </c>
      <c r="B26" s="16" t="s">
        <v>22</v>
      </c>
      <c r="C26" s="17">
        <v>2157</v>
      </c>
      <c r="D26" s="17">
        <v>1776</v>
      </c>
      <c r="E26" s="17">
        <v>381</v>
      </c>
      <c r="F26" s="17">
        <v>772</v>
      </c>
      <c r="G26" s="17">
        <v>700</v>
      </c>
      <c r="H26" s="17">
        <v>72</v>
      </c>
      <c r="I26" s="17">
        <v>1385</v>
      </c>
      <c r="J26" s="17">
        <v>1076</v>
      </c>
      <c r="K26" s="17">
        <v>309</v>
      </c>
    </row>
    <row r="27" spans="1:11">
      <c r="A27" s="16" t="s">
        <v>41</v>
      </c>
      <c r="B27" s="16" t="s">
        <v>42</v>
      </c>
      <c r="C27" s="17">
        <v>1617</v>
      </c>
      <c r="D27" s="17">
        <v>822</v>
      </c>
      <c r="E27" s="17">
        <v>795</v>
      </c>
      <c r="F27" s="17">
        <v>603</v>
      </c>
      <c r="G27" s="17">
        <v>286</v>
      </c>
      <c r="H27" s="17">
        <v>317</v>
      </c>
      <c r="I27" s="17">
        <v>1014</v>
      </c>
      <c r="J27" s="17">
        <v>536</v>
      </c>
      <c r="K27" s="17">
        <v>478</v>
      </c>
    </row>
    <row r="28" spans="1:11">
      <c r="A28" s="18" t="s">
        <v>63</v>
      </c>
      <c r="B28" s="18" t="s">
        <v>45</v>
      </c>
      <c r="C28" s="19">
        <f>SUM(C29:C37)</f>
        <v>13497</v>
      </c>
      <c r="D28" s="19">
        <f t="shared" ref="D28:K28" si="6">SUM(D29:D37)</f>
        <v>6711</v>
      </c>
      <c r="E28" s="19">
        <f t="shared" si="6"/>
        <v>6786</v>
      </c>
      <c r="F28" s="19">
        <f t="shared" si="6"/>
        <v>2361</v>
      </c>
      <c r="G28" s="19">
        <f t="shared" si="6"/>
        <v>1194</v>
      </c>
      <c r="H28" s="19">
        <f t="shared" si="6"/>
        <v>1167</v>
      </c>
      <c r="I28" s="19">
        <f t="shared" si="6"/>
        <v>11136</v>
      </c>
      <c r="J28" s="19">
        <f t="shared" si="6"/>
        <v>5517</v>
      </c>
      <c r="K28" s="19">
        <f t="shared" si="6"/>
        <v>5619</v>
      </c>
    </row>
    <row r="29" spans="1:11">
      <c r="A29" s="16" t="s">
        <v>44</v>
      </c>
      <c r="B29" s="16" t="s">
        <v>45</v>
      </c>
      <c r="C29" s="17">
        <v>2100</v>
      </c>
      <c r="D29" s="17">
        <v>995</v>
      </c>
      <c r="E29" s="17">
        <v>1105</v>
      </c>
      <c r="F29" s="17">
        <v>562</v>
      </c>
      <c r="G29" s="17">
        <v>261</v>
      </c>
      <c r="H29" s="17">
        <v>301</v>
      </c>
      <c r="I29" s="17">
        <v>1538</v>
      </c>
      <c r="J29" s="17">
        <v>734</v>
      </c>
      <c r="K29" s="17">
        <v>804</v>
      </c>
    </row>
    <row r="30" spans="1:11">
      <c r="A30" s="16" t="s">
        <v>46</v>
      </c>
      <c r="B30" s="16" t="s">
        <v>47</v>
      </c>
      <c r="C30" s="17">
        <v>617</v>
      </c>
      <c r="D30" s="17">
        <v>313</v>
      </c>
      <c r="E30" s="17">
        <v>304</v>
      </c>
      <c r="F30" s="17">
        <v>115</v>
      </c>
      <c r="G30" s="17">
        <v>56</v>
      </c>
      <c r="H30" s="17">
        <v>59</v>
      </c>
      <c r="I30" s="17">
        <v>502</v>
      </c>
      <c r="J30" s="17">
        <v>257</v>
      </c>
      <c r="K30" s="17">
        <v>245</v>
      </c>
    </row>
    <row r="31" spans="1:11">
      <c r="A31" s="16" t="s">
        <v>48</v>
      </c>
      <c r="B31" s="16" t="s">
        <v>49</v>
      </c>
      <c r="C31" s="17">
        <v>467</v>
      </c>
      <c r="D31" s="17">
        <v>246</v>
      </c>
      <c r="E31" s="17">
        <v>221</v>
      </c>
      <c r="F31" s="17">
        <v>191</v>
      </c>
      <c r="G31" s="17">
        <v>104</v>
      </c>
      <c r="H31" s="17">
        <v>87</v>
      </c>
      <c r="I31" s="17">
        <v>276</v>
      </c>
      <c r="J31" s="17">
        <v>142</v>
      </c>
      <c r="K31" s="17">
        <v>134</v>
      </c>
    </row>
    <row r="32" spans="1:11">
      <c r="A32" s="16" t="s">
        <v>50</v>
      </c>
      <c r="B32" s="16" t="s">
        <v>51</v>
      </c>
      <c r="C32" s="17">
        <v>3688</v>
      </c>
      <c r="D32" s="17">
        <v>1787</v>
      </c>
      <c r="E32" s="17">
        <v>1901</v>
      </c>
      <c r="F32" s="17">
        <v>488</v>
      </c>
      <c r="G32" s="17">
        <v>248</v>
      </c>
      <c r="H32" s="17">
        <v>240</v>
      </c>
      <c r="I32" s="17">
        <v>3200</v>
      </c>
      <c r="J32" s="17">
        <v>1539</v>
      </c>
      <c r="K32" s="17">
        <v>1661</v>
      </c>
    </row>
    <row r="33" spans="1:11">
      <c r="A33" s="16" t="s">
        <v>52</v>
      </c>
      <c r="B33" s="16" t="s">
        <v>53</v>
      </c>
      <c r="C33" s="17">
        <v>775</v>
      </c>
      <c r="D33" s="17">
        <v>396</v>
      </c>
      <c r="E33" s="17">
        <v>379</v>
      </c>
      <c r="F33" s="17">
        <v>98</v>
      </c>
      <c r="G33" s="17">
        <v>50</v>
      </c>
      <c r="H33" s="17">
        <v>48</v>
      </c>
      <c r="I33" s="17">
        <v>677</v>
      </c>
      <c r="J33" s="17">
        <v>346</v>
      </c>
      <c r="K33" s="17">
        <v>331</v>
      </c>
    </row>
    <row r="34" spans="1:11">
      <c r="A34" s="16" t="s">
        <v>54</v>
      </c>
      <c r="B34" s="16" t="s">
        <v>55</v>
      </c>
      <c r="C34" s="17">
        <v>1658</v>
      </c>
      <c r="D34" s="17">
        <v>810</v>
      </c>
      <c r="E34" s="17">
        <v>848</v>
      </c>
      <c r="F34" s="17">
        <v>142</v>
      </c>
      <c r="G34" s="17">
        <v>71</v>
      </c>
      <c r="H34" s="17">
        <v>71</v>
      </c>
      <c r="I34" s="17">
        <v>1516</v>
      </c>
      <c r="J34" s="17">
        <v>739</v>
      </c>
      <c r="K34" s="17">
        <v>777</v>
      </c>
    </row>
    <row r="35" spans="1:11">
      <c r="A35" s="16" t="s">
        <v>56</v>
      </c>
      <c r="B35" s="16" t="s">
        <v>57</v>
      </c>
      <c r="C35" s="17">
        <v>2887</v>
      </c>
      <c r="D35" s="17">
        <v>1460</v>
      </c>
      <c r="E35" s="17">
        <v>1427</v>
      </c>
      <c r="F35" s="17">
        <v>480</v>
      </c>
      <c r="G35" s="17">
        <v>251</v>
      </c>
      <c r="H35" s="17">
        <v>229</v>
      </c>
      <c r="I35" s="17">
        <v>2407</v>
      </c>
      <c r="J35" s="17">
        <v>1209</v>
      </c>
      <c r="K35" s="17">
        <v>1198</v>
      </c>
    </row>
    <row r="36" spans="1:11">
      <c r="A36" s="16" t="s">
        <v>58</v>
      </c>
      <c r="B36" s="16" t="s">
        <v>59</v>
      </c>
      <c r="C36" s="17">
        <v>983</v>
      </c>
      <c r="D36" s="17">
        <v>541</v>
      </c>
      <c r="E36" s="17">
        <v>442</v>
      </c>
      <c r="F36" s="17">
        <v>146</v>
      </c>
      <c r="G36" s="17">
        <v>83</v>
      </c>
      <c r="H36" s="17">
        <v>63</v>
      </c>
      <c r="I36" s="17">
        <v>837</v>
      </c>
      <c r="J36" s="17">
        <v>458</v>
      </c>
      <c r="K36" s="17">
        <v>379</v>
      </c>
    </row>
    <row r="37" spans="1:11">
      <c r="A37" s="16" t="s">
        <v>60</v>
      </c>
      <c r="B37" s="16" t="s">
        <v>18</v>
      </c>
      <c r="C37" s="17">
        <v>322</v>
      </c>
      <c r="D37" s="17">
        <v>163</v>
      </c>
      <c r="E37" s="17">
        <v>159</v>
      </c>
      <c r="F37" s="17">
        <v>139</v>
      </c>
      <c r="G37" s="17">
        <v>70</v>
      </c>
      <c r="H37" s="17">
        <v>69</v>
      </c>
      <c r="I37" s="17">
        <v>183</v>
      </c>
      <c r="J37" s="17">
        <v>93</v>
      </c>
      <c r="K37" s="17">
        <v>90</v>
      </c>
    </row>
    <row r="38" spans="1:11">
      <c r="A38" s="16"/>
      <c r="B38" s="16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4" t="s">
        <v>66</v>
      </c>
      <c r="B39" s="4" t="s">
        <v>91</v>
      </c>
      <c r="C39" s="19">
        <f>+C40+C45</f>
        <v>100704</v>
      </c>
      <c r="D39" s="19">
        <f t="shared" ref="D39:K39" si="7">+D40+D45</f>
        <v>50998</v>
      </c>
      <c r="E39" s="19">
        <f t="shared" si="7"/>
        <v>49706</v>
      </c>
      <c r="F39" s="19">
        <f t="shared" si="7"/>
        <v>75571</v>
      </c>
      <c r="G39" s="19">
        <f t="shared" si="7"/>
        <v>37954</v>
      </c>
      <c r="H39" s="19">
        <f t="shared" si="7"/>
        <v>37617</v>
      </c>
      <c r="I39" s="19">
        <f t="shared" si="7"/>
        <v>25133</v>
      </c>
      <c r="J39" s="19">
        <f t="shared" si="7"/>
        <v>13044</v>
      </c>
      <c r="K39" s="19">
        <f t="shared" si="7"/>
        <v>12089</v>
      </c>
    </row>
    <row r="40" spans="1:11">
      <c r="A40" s="4" t="s">
        <v>82</v>
      </c>
      <c r="B40" s="4" t="s">
        <v>83</v>
      </c>
      <c r="C40" s="4">
        <f>SUM(C41:C44)</f>
        <v>57055</v>
      </c>
      <c r="D40" s="4">
        <f t="shared" ref="D40:K40" si="8">SUM(D41:D44)</f>
        <v>28618</v>
      </c>
      <c r="E40" s="4">
        <f t="shared" si="8"/>
        <v>28437</v>
      </c>
      <c r="F40" s="4">
        <f t="shared" si="8"/>
        <v>42478</v>
      </c>
      <c r="G40" s="4">
        <f t="shared" si="8"/>
        <v>21189</v>
      </c>
      <c r="H40" s="4">
        <f t="shared" si="8"/>
        <v>21289</v>
      </c>
      <c r="I40" s="4">
        <f t="shared" si="8"/>
        <v>14577</v>
      </c>
      <c r="J40" s="4">
        <f t="shared" si="8"/>
        <v>7429</v>
      </c>
      <c r="K40" s="4">
        <f t="shared" si="8"/>
        <v>7148</v>
      </c>
    </row>
    <row r="41" spans="1:11">
      <c r="A41" s="5" t="s">
        <v>67</v>
      </c>
      <c r="B41" s="5" t="s">
        <v>68</v>
      </c>
      <c r="C41" s="5">
        <v>7387</v>
      </c>
      <c r="D41" s="5">
        <v>3776</v>
      </c>
      <c r="E41" s="5">
        <v>3611</v>
      </c>
      <c r="F41" s="5">
        <v>5177</v>
      </c>
      <c r="G41" s="5">
        <v>2646</v>
      </c>
      <c r="H41" s="5">
        <v>2531</v>
      </c>
      <c r="I41" s="5">
        <v>2210</v>
      </c>
      <c r="J41" s="5">
        <v>1130</v>
      </c>
      <c r="K41" s="5">
        <v>1080</v>
      </c>
    </row>
    <row r="42" spans="1:11">
      <c r="A42" s="5" t="s">
        <v>69</v>
      </c>
      <c r="B42" s="5" t="s">
        <v>70</v>
      </c>
      <c r="C42" s="5">
        <v>12323</v>
      </c>
      <c r="D42" s="5">
        <v>6306</v>
      </c>
      <c r="E42" s="5">
        <v>6017</v>
      </c>
      <c r="F42" s="5">
        <v>7067</v>
      </c>
      <c r="G42" s="5">
        <v>3580</v>
      </c>
      <c r="H42" s="5">
        <v>3487</v>
      </c>
      <c r="I42" s="5">
        <v>5256</v>
      </c>
      <c r="J42" s="5">
        <v>2726</v>
      </c>
      <c r="K42" s="5">
        <v>2530</v>
      </c>
    </row>
    <row r="43" spans="1:11">
      <c r="A43" s="5" t="s">
        <v>71</v>
      </c>
      <c r="B43" s="5" t="s">
        <v>43</v>
      </c>
      <c r="C43" s="5">
        <v>13296</v>
      </c>
      <c r="D43" s="5">
        <v>6691</v>
      </c>
      <c r="E43" s="5">
        <v>6605</v>
      </c>
      <c r="F43" s="5">
        <v>7771</v>
      </c>
      <c r="G43" s="5">
        <v>3896</v>
      </c>
      <c r="H43" s="5">
        <v>3875</v>
      </c>
      <c r="I43" s="5">
        <v>5525</v>
      </c>
      <c r="J43" s="5">
        <v>2795</v>
      </c>
      <c r="K43" s="5">
        <v>2730</v>
      </c>
    </row>
    <row r="44" spans="1:11">
      <c r="A44" s="5" t="s">
        <v>72</v>
      </c>
      <c r="B44" s="5" t="s">
        <v>73</v>
      </c>
      <c r="C44" s="5">
        <v>24049</v>
      </c>
      <c r="D44" s="5">
        <v>11845</v>
      </c>
      <c r="E44" s="5">
        <v>12204</v>
      </c>
      <c r="F44" s="5">
        <v>22463</v>
      </c>
      <c r="G44" s="5">
        <v>11067</v>
      </c>
      <c r="H44" s="5">
        <v>11396</v>
      </c>
      <c r="I44" s="5">
        <v>1586</v>
      </c>
      <c r="J44" s="5">
        <v>778</v>
      </c>
      <c r="K44" s="5">
        <v>808</v>
      </c>
    </row>
    <row r="45" spans="1:11">
      <c r="A45" s="4" t="s">
        <v>84</v>
      </c>
      <c r="B45" s="4" t="s">
        <v>74</v>
      </c>
      <c r="C45" s="4">
        <f>SUM(C46:C49)</f>
        <v>43649</v>
      </c>
      <c r="D45" s="4">
        <f t="shared" ref="D45:K45" si="9">SUM(D46:D49)</f>
        <v>22380</v>
      </c>
      <c r="E45" s="4">
        <f t="shared" si="9"/>
        <v>21269</v>
      </c>
      <c r="F45" s="4">
        <f t="shared" si="9"/>
        <v>33093</v>
      </c>
      <c r="G45" s="4">
        <f t="shared" si="9"/>
        <v>16765</v>
      </c>
      <c r="H45" s="4">
        <f t="shared" si="9"/>
        <v>16328</v>
      </c>
      <c r="I45" s="4">
        <f t="shared" si="9"/>
        <v>10556</v>
      </c>
      <c r="J45" s="4">
        <f t="shared" si="9"/>
        <v>5615</v>
      </c>
      <c r="K45" s="4">
        <f t="shared" si="9"/>
        <v>4941</v>
      </c>
    </row>
    <row r="46" spans="1:11">
      <c r="A46" s="5" t="s">
        <v>75</v>
      </c>
      <c r="B46" s="5" t="s">
        <v>76</v>
      </c>
      <c r="C46" s="5">
        <v>1594</v>
      </c>
      <c r="D46" s="5">
        <v>719</v>
      </c>
      <c r="E46" s="5">
        <v>875</v>
      </c>
      <c r="F46" s="5">
        <v>660</v>
      </c>
      <c r="G46" s="5">
        <v>303</v>
      </c>
      <c r="H46" s="5">
        <v>357</v>
      </c>
      <c r="I46" s="5">
        <v>934</v>
      </c>
      <c r="J46" s="5">
        <v>416</v>
      </c>
      <c r="K46" s="5">
        <v>518</v>
      </c>
    </row>
    <row r="47" spans="1:11">
      <c r="A47" s="5" t="s">
        <v>77</v>
      </c>
      <c r="B47" s="5" t="s">
        <v>78</v>
      </c>
      <c r="C47" s="5">
        <v>5869</v>
      </c>
      <c r="D47" s="5">
        <v>3050</v>
      </c>
      <c r="E47" s="5">
        <v>2819</v>
      </c>
      <c r="F47" s="5">
        <v>4015</v>
      </c>
      <c r="G47" s="5">
        <v>2064</v>
      </c>
      <c r="H47" s="5">
        <v>1951</v>
      </c>
      <c r="I47" s="5">
        <v>1854</v>
      </c>
      <c r="J47" s="5">
        <v>986</v>
      </c>
      <c r="K47" s="5">
        <v>868</v>
      </c>
    </row>
    <row r="48" spans="1:11">
      <c r="A48" s="5" t="s">
        <v>79</v>
      </c>
      <c r="B48" s="5" t="s">
        <v>7</v>
      </c>
      <c r="C48" s="5">
        <v>14390</v>
      </c>
      <c r="D48" s="5">
        <v>7721</v>
      </c>
      <c r="E48" s="5">
        <v>6669</v>
      </c>
      <c r="F48" s="5">
        <v>7016</v>
      </c>
      <c r="G48" s="5">
        <v>3718</v>
      </c>
      <c r="H48" s="5">
        <v>3298</v>
      </c>
      <c r="I48" s="5">
        <v>7374</v>
      </c>
      <c r="J48" s="5">
        <v>4003</v>
      </c>
      <c r="K48" s="5">
        <v>3371</v>
      </c>
    </row>
    <row r="49" spans="1:11" ht="9.75" thickBot="1">
      <c r="A49" s="5" t="s">
        <v>80</v>
      </c>
      <c r="B49" s="5" t="s">
        <v>81</v>
      </c>
      <c r="C49" s="5">
        <v>21796</v>
      </c>
      <c r="D49" s="5">
        <v>10890</v>
      </c>
      <c r="E49" s="5">
        <v>10906</v>
      </c>
      <c r="F49" s="5">
        <v>21402</v>
      </c>
      <c r="G49" s="5">
        <v>10680</v>
      </c>
      <c r="H49" s="5">
        <v>10722</v>
      </c>
      <c r="I49" s="5">
        <v>394</v>
      </c>
      <c r="J49" s="5">
        <v>210</v>
      </c>
      <c r="K49" s="5">
        <v>184</v>
      </c>
    </row>
    <row r="50" spans="1:11" ht="9.75" thickBot="1">
      <c r="A50" s="26"/>
      <c r="B50" s="27" t="s">
        <v>93</v>
      </c>
      <c r="C50" s="24">
        <f>+C7+C15+C39</f>
        <v>218748</v>
      </c>
      <c r="D50" s="24">
        <f t="shared" ref="D50:K50" si="10">+D7+D15+D39</f>
        <v>109726</v>
      </c>
      <c r="E50" s="24">
        <f t="shared" si="10"/>
        <v>109022</v>
      </c>
      <c r="F50" s="24">
        <f t="shared" si="10"/>
        <v>122231</v>
      </c>
      <c r="G50" s="24">
        <f t="shared" si="10"/>
        <v>60835</v>
      </c>
      <c r="H50" s="24">
        <f t="shared" si="10"/>
        <v>61396</v>
      </c>
      <c r="I50" s="24">
        <f t="shared" si="10"/>
        <v>96517</v>
      </c>
      <c r="J50" s="24">
        <f t="shared" si="10"/>
        <v>48891</v>
      </c>
      <c r="K50" s="25">
        <f t="shared" si="10"/>
        <v>47626</v>
      </c>
    </row>
    <row r="51" spans="1:11" ht="20.25" customHeight="1">
      <c r="A51" s="379" t="s">
        <v>88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</row>
  </sheetData>
  <mergeCells count="7">
    <mergeCell ref="A51:K51"/>
    <mergeCell ref="A1:K1"/>
    <mergeCell ref="A2:K2"/>
    <mergeCell ref="C4:K4"/>
    <mergeCell ref="C5:E5"/>
    <mergeCell ref="F5:H5"/>
    <mergeCell ref="I5:K5"/>
  </mergeCells>
  <phoneticPr fontId="30" type="noConversion"/>
  <pageMargins left="7.874015748031496E-2" right="7.874015748031496E-2" top="0.15748031496062992" bottom="0.31496062992125984" header="0.15748031496062992" footer="0"/>
  <pageSetup paperSize="9" scale="77" orientation="landscape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F49"/>
  <sheetViews>
    <sheetView topLeftCell="A20" workbookViewId="0">
      <selection activeCell="A41" sqref="A41"/>
    </sheetView>
  </sheetViews>
  <sheetFormatPr baseColWidth="10" defaultRowHeight="15"/>
  <cols>
    <col min="1" max="1" width="42" style="34" customWidth="1"/>
    <col min="2" max="3" width="11.42578125" style="34"/>
    <col min="4" max="4" width="14.5703125" style="34" customWidth="1"/>
    <col min="5" max="16384" width="11.42578125" style="34"/>
  </cols>
  <sheetData>
    <row r="2" spans="1:6">
      <c r="A2" s="29" t="s">
        <v>160</v>
      </c>
    </row>
    <row r="3" spans="1:6" ht="15.75">
      <c r="A3" s="45" t="s">
        <v>161</v>
      </c>
      <c r="B3" s="46" t="s">
        <v>162</v>
      </c>
      <c r="C3" s="47" t="s">
        <v>95</v>
      </c>
      <c r="D3" s="46" t="s">
        <v>163</v>
      </c>
      <c r="E3" s="47" t="s">
        <v>95</v>
      </c>
    </row>
    <row r="4" spans="1:6" ht="15.75">
      <c r="A4" s="48" t="s">
        <v>164</v>
      </c>
      <c r="B4" s="49">
        <v>65</v>
      </c>
      <c r="C4" s="50">
        <v>0.06</v>
      </c>
      <c r="D4" s="51">
        <v>17475</v>
      </c>
      <c r="E4" s="52">
        <v>9.06E-2</v>
      </c>
    </row>
    <row r="5" spans="1:6" ht="15.75">
      <c r="A5" s="48" t="s">
        <v>165</v>
      </c>
      <c r="B5" s="49">
        <v>76</v>
      </c>
      <c r="C5" s="50">
        <v>7.0000000000000007E-2</v>
      </c>
      <c r="D5" s="51">
        <v>18686</v>
      </c>
      <c r="E5" s="52">
        <v>9.69E-2</v>
      </c>
    </row>
    <row r="6" spans="1:6" ht="15.75">
      <c r="A6" s="48" t="s">
        <v>166</v>
      </c>
      <c r="B6" s="53">
        <v>347</v>
      </c>
      <c r="C6" s="50">
        <v>0.3</v>
      </c>
      <c r="D6" s="51">
        <v>32997.440000000002</v>
      </c>
      <c r="E6" s="52">
        <v>0.1711</v>
      </c>
    </row>
    <row r="7" spans="1:6" ht="15.75">
      <c r="A7" s="48" t="s">
        <v>167</v>
      </c>
      <c r="B7" s="53">
        <v>136</v>
      </c>
      <c r="C7" s="50">
        <v>0.12</v>
      </c>
      <c r="D7" s="51">
        <v>55348.36</v>
      </c>
      <c r="E7" s="52">
        <v>0.28689999999999999</v>
      </c>
    </row>
    <row r="8" spans="1:6" ht="15.75">
      <c r="A8" s="48" t="s">
        <v>168</v>
      </c>
      <c r="B8" s="49">
        <v>268</v>
      </c>
      <c r="C8" s="50">
        <v>0.23</v>
      </c>
      <c r="D8" s="51">
        <v>8463.3799999999992</v>
      </c>
      <c r="E8" s="52">
        <v>4.3900000000000002E-2</v>
      </c>
    </row>
    <row r="9" spans="1:6" ht="15.75">
      <c r="A9" s="48" t="s">
        <v>169</v>
      </c>
      <c r="B9" s="49">
        <v>68</v>
      </c>
      <c r="C9" s="50">
        <v>0.06</v>
      </c>
      <c r="D9" s="51">
        <v>39739.35</v>
      </c>
      <c r="E9" s="52">
        <v>0.20599999999999999</v>
      </c>
    </row>
    <row r="10" spans="1:6" ht="15.75">
      <c r="A10" s="48" t="s">
        <v>170</v>
      </c>
      <c r="B10" s="49">
        <v>14</v>
      </c>
      <c r="C10" s="50">
        <v>0.01</v>
      </c>
      <c r="D10" s="51">
        <v>2853</v>
      </c>
      <c r="E10" s="52">
        <v>1.4800000000000001E-2</v>
      </c>
    </row>
    <row r="11" spans="1:6" ht="15.75">
      <c r="A11" s="48" t="s">
        <v>171</v>
      </c>
      <c r="B11" s="49">
        <v>35</v>
      </c>
      <c r="C11" s="50">
        <v>0.03</v>
      </c>
      <c r="D11" s="51">
        <v>11930.04</v>
      </c>
      <c r="E11" s="52">
        <v>6.1899999999999997E-2</v>
      </c>
    </row>
    <row r="12" spans="1:6" ht="15.75">
      <c r="A12" s="48" t="s">
        <v>172</v>
      </c>
      <c r="B12" s="49">
        <v>26</v>
      </c>
      <c r="C12" s="50">
        <v>0.02</v>
      </c>
      <c r="D12" s="51">
        <v>1655.04</v>
      </c>
      <c r="E12" s="52">
        <v>8.6E-3</v>
      </c>
    </row>
    <row r="13" spans="1:6" ht="15.75">
      <c r="A13" s="48" t="s">
        <v>173</v>
      </c>
      <c r="B13" s="49">
        <v>41</v>
      </c>
      <c r="C13" s="50">
        <v>0.04</v>
      </c>
      <c r="D13" s="51">
        <v>183.5</v>
      </c>
      <c r="E13" s="52">
        <v>1E-3</v>
      </c>
    </row>
    <row r="14" spans="1:6" ht="15.75">
      <c r="A14" s="48" t="s">
        <v>174</v>
      </c>
      <c r="B14" s="49">
        <v>86</v>
      </c>
      <c r="C14" s="50">
        <v>7.0000000000000007E-2</v>
      </c>
      <c r="D14" s="51">
        <v>3554.9</v>
      </c>
      <c r="E14" s="52">
        <v>1.84E-2</v>
      </c>
    </row>
    <row r="15" spans="1:6" ht="15.75">
      <c r="A15" s="46" t="s">
        <v>175</v>
      </c>
      <c r="B15" s="46">
        <v>1162</v>
      </c>
      <c r="C15" s="54">
        <v>1</v>
      </c>
      <c r="D15" s="55">
        <v>192886.01</v>
      </c>
      <c r="E15" s="54">
        <v>1</v>
      </c>
      <c r="F15" s="226"/>
    </row>
    <row r="16" spans="1:6" ht="15.75">
      <c r="A16" s="46" t="s">
        <v>176</v>
      </c>
      <c r="B16" s="46">
        <v>1162</v>
      </c>
      <c r="C16" s="54">
        <v>1</v>
      </c>
      <c r="D16" s="55">
        <v>67925.16</v>
      </c>
      <c r="E16" s="54">
        <v>1</v>
      </c>
      <c r="F16" s="34">
        <f>+D15/D16</f>
        <v>2.8396842937138462</v>
      </c>
    </row>
    <row r="17" spans="1:6" ht="15.75">
      <c r="A17" s="46" t="s">
        <v>372</v>
      </c>
      <c r="B17" s="46"/>
      <c r="C17" s="54"/>
      <c r="D17" s="55">
        <v>30067.11</v>
      </c>
      <c r="E17" s="54">
        <f>+D17/D16</f>
        <v>0.44265055834980732</v>
      </c>
    </row>
    <row r="19" spans="1:6">
      <c r="A19" s="29" t="s">
        <v>177</v>
      </c>
    </row>
    <row r="20" spans="1:6" ht="15.75">
      <c r="A20" s="45" t="s">
        <v>161</v>
      </c>
      <c r="B20" s="46" t="s">
        <v>162</v>
      </c>
      <c r="C20" s="46" t="s">
        <v>95</v>
      </c>
      <c r="D20" s="46" t="s">
        <v>163</v>
      </c>
      <c r="E20" s="46" t="s">
        <v>95</v>
      </c>
    </row>
    <row r="21" spans="1:6" ht="15.75">
      <c r="A21" s="48" t="s">
        <v>164</v>
      </c>
      <c r="B21" s="49">
        <v>74</v>
      </c>
      <c r="C21" s="52">
        <v>0.19839999999999999</v>
      </c>
      <c r="D21" s="51">
        <v>22333.5</v>
      </c>
      <c r="E21" s="52">
        <v>0.1295</v>
      </c>
    </row>
    <row r="22" spans="1:6" ht="15.75">
      <c r="A22" s="48" t="s">
        <v>165</v>
      </c>
      <c r="B22" s="49">
        <v>42</v>
      </c>
      <c r="C22" s="52">
        <v>0.11260000000000001</v>
      </c>
      <c r="D22" s="51">
        <v>16306</v>
      </c>
      <c r="E22" s="52">
        <v>9.4600000000000004E-2</v>
      </c>
    </row>
    <row r="23" spans="1:6" ht="15.75">
      <c r="A23" s="48" t="s">
        <v>166</v>
      </c>
      <c r="B23" s="53">
        <v>65</v>
      </c>
      <c r="C23" s="52">
        <v>0.17430000000000001</v>
      </c>
      <c r="D23" s="51">
        <v>11017.5</v>
      </c>
      <c r="E23" s="52">
        <v>6.3899999999999998E-2</v>
      </c>
    </row>
    <row r="24" spans="1:6" ht="15.75">
      <c r="A24" s="48" t="s">
        <v>167</v>
      </c>
      <c r="B24" s="53">
        <v>31</v>
      </c>
      <c r="C24" s="52">
        <v>8.3099999999999993E-2</v>
      </c>
      <c r="D24" s="51">
        <v>1241.5999999999999</v>
      </c>
      <c r="E24" s="52">
        <v>7.1999999999999998E-3</v>
      </c>
    </row>
    <row r="25" spans="1:6" ht="15" customHeight="1">
      <c r="A25" s="48" t="s">
        <v>168</v>
      </c>
      <c r="B25" s="49">
        <v>0</v>
      </c>
      <c r="C25" s="52">
        <v>0</v>
      </c>
      <c r="D25" s="51">
        <v>0</v>
      </c>
      <c r="E25" s="52">
        <v>0</v>
      </c>
    </row>
    <row r="26" spans="1:6" ht="15.75">
      <c r="A26" s="48" t="s">
        <v>169</v>
      </c>
      <c r="B26" s="49">
        <v>84</v>
      </c>
      <c r="C26" s="52">
        <v>0.22520000000000001</v>
      </c>
      <c r="D26" s="51">
        <v>84164.86</v>
      </c>
      <c r="E26" s="52">
        <v>0.48809999999999998</v>
      </c>
    </row>
    <row r="27" spans="1:6" ht="15.75">
      <c r="A27" s="48" t="s">
        <v>170</v>
      </c>
      <c r="B27" s="49">
        <v>10</v>
      </c>
      <c r="C27" s="52">
        <v>2.6800000000000001E-2</v>
      </c>
      <c r="D27" s="51">
        <v>23561.27</v>
      </c>
      <c r="E27" s="52">
        <v>0.1366</v>
      </c>
    </row>
    <row r="28" spans="1:6" ht="15.75">
      <c r="A28" s="48" t="s">
        <v>171</v>
      </c>
      <c r="B28" s="49">
        <v>4</v>
      </c>
      <c r="C28" s="52">
        <v>1.0699999999999999E-2</v>
      </c>
      <c r="D28" s="51">
        <v>9000</v>
      </c>
      <c r="E28" s="52">
        <v>5.2200000000000003E-2</v>
      </c>
    </row>
    <row r="29" spans="1:6" ht="15.75">
      <c r="A29" s="48" t="s">
        <v>172</v>
      </c>
      <c r="B29" s="49">
        <v>32</v>
      </c>
      <c r="C29" s="52">
        <v>8.5800000000000001E-2</v>
      </c>
      <c r="D29" s="51">
        <v>2317.5</v>
      </c>
      <c r="E29" s="52">
        <v>1.34E-2</v>
      </c>
    </row>
    <row r="30" spans="1:6" ht="15.75">
      <c r="A30" s="48" t="s">
        <v>173</v>
      </c>
      <c r="B30" s="49">
        <v>18</v>
      </c>
      <c r="C30" s="52">
        <v>4.8300000000000003E-2</v>
      </c>
      <c r="D30" s="51">
        <v>919</v>
      </c>
      <c r="E30" s="52">
        <v>5.3E-3</v>
      </c>
    </row>
    <row r="31" spans="1:6" ht="15.75">
      <c r="A31" s="48" t="s">
        <v>174</v>
      </c>
      <c r="B31" s="49">
        <v>13</v>
      </c>
      <c r="C31" s="52">
        <v>3.49E-2</v>
      </c>
      <c r="D31" s="51">
        <v>1573.5</v>
      </c>
      <c r="E31" s="52">
        <v>9.1000000000000004E-3</v>
      </c>
    </row>
    <row r="32" spans="1:6" ht="15.75">
      <c r="A32" s="46" t="s">
        <v>178</v>
      </c>
      <c r="B32" s="46">
        <v>373</v>
      </c>
      <c r="C32" s="54">
        <v>1</v>
      </c>
      <c r="D32" s="55">
        <v>172434.73</v>
      </c>
      <c r="E32" s="54">
        <v>1</v>
      </c>
      <c r="F32" s="226"/>
    </row>
    <row r="33" spans="1:6" ht="15.75">
      <c r="A33" s="46" t="s">
        <v>179</v>
      </c>
      <c r="B33" s="46">
        <v>373</v>
      </c>
      <c r="C33" s="54">
        <v>1</v>
      </c>
      <c r="D33" s="55">
        <v>59836.3</v>
      </c>
      <c r="E33" s="54">
        <v>1</v>
      </c>
      <c r="F33" s="34">
        <f>+D32/D33</f>
        <v>2.8817746083898905</v>
      </c>
    </row>
    <row r="34" spans="1:6" ht="15.75">
      <c r="A34" s="46" t="s">
        <v>372</v>
      </c>
      <c r="B34" s="46"/>
      <c r="C34" s="54"/>
      <c r="D34" s="55">
        <v>24010.93</v>
      </c>
      <c r="E34" s="54">
        <f>+D34/D33</f>
        <v>0.40127698403811729</v>
      </c>
    </row>
    <row r="36" spans="1:6" ht="15.75">
      <c r="A36" s="45" t="s">
        <v>189</v>
      </c>
      <c r="B36" s="46" t="s">
        <v>162</v>
      </c>
      <c r="C36" s="46" t="s">
        <v>95</v>
      </c>
      <c r="D36" s="46" t="s">
        <v>163</v>
      </c>
      <c r="E36" s="46" t="s">
        <v>95</v>
      </c>
    </row>
    <row r="37" spans="1:6" ht="15.75">
      <c r="A37" s="48" t="s">
        <v>164</v>
      </c>
      <c r="B37" s="49">
        <f t="shared" ref="B37:B47" si="0">+B21+B4</f>
        <v>139</v>
      </c>
      <c r="C37" s="52">
        <f>+B37/$B$48</f>
        <v>9.0553745928338758E-2</v>
      </c>
      <c r="D37" s="56">
        <f>(D21/$F$33+D4/$F$16)</f>
        <v>13903.765234410981</v>
      </c>
      <c r="E37" s="52">
        <f>+D37/$D$48</f>
        <v>0.10882597329751069</v>
      </c>
    </row>
    <row r="38" spans="1:6" ht="15.75">
      <c r="A38" s="48" t="s">
        <v>165</v>
      </c>
      <c r="B38" s="49">
        <f t="shared" si="0"/>
        <v>118</v>
      </c>
      <c r="C38" s="52">
        <f t="shared" ref="C38:C48" si="1">+B38/$B$48</f>
        <v>7.6872964169381108E-2</v>
      </c>
      <c r="D38" s="56">
        <f t="shared" ref="D38:D47" si="2">(D22/$F$33+D5/$F$16)</f>
        <v>12238.627952404418</v>
      </c>
      <c r="E38" s="52">
        <f t="shared" ref="E38:E48" si="3">+D38/$D$48</f>
        <v>9.579279974105194E-2</v>
      </c>
    </row>
    <row r="39" spans="1:6" ht="15.75">
      <c r="A39" s="48" t="s">
        <v>166</v>
      </c>
      <c r="B39" s="49">
        <f t="shared" si="0"/>
        <v>412</v>
      </c>
      <c r="C39" s="52">
        <f t="shared" si="1"/>
        <v>0.26840390879478826</v>
      </c>
      <c r="D39" s="56">
        <f t="shared" si="2"/>
        <v>15443.273703542092</v>
      </c>
      <c r="E39" s="52">
        <f t="shared" si="3"/>
        <v>0.12087583926750753</v>
      </c>
    </row>
    <row r="40" spans="1:6" ht="15.75">
      <c r="A40" s="48" t="s">
        <v>167</v>
      </c>
      <c r="B40" s="49">
        <f t="shared" si="0"/>
        <v>167</v>
      </c>
      <c r="C40" s="52">
        <f t="shared" si="1"/>
        <v>0.10879478827361563</v>
      </c>
      <c r="D40" s="56">
        <f t="shared" si="2"/>
        <v>19921.8714900948</v>
      </c>
      <c r="E40" s="52">
        <f t="shared" si="3"/>
        <v>0.15593021158410994</v>
      </c>
    </row>
    <row r="41" spans="1:6" ht="15.75">
      <c r="A41" s="48" t="s">
        <v>168</v>
      </c>
      <c r="B41" s="49">
        <f t="shared" si="0"/>
        <v>268</v>
      </c>
      <c r="C41" s="52">
        <f t="shared" si="1"/>
        <v>0.17459283387622149</v>
      </c>
      <c r="D41" s="56">
        <f t="shared" si="2"/>
        <v>2980.3946934295545</v>
      </c>
      <c r="E41" s="52">
        <f t="shared" si="3"/>
        <v>2.3327807097927297E-2</v>
      </c>
    </row>
    <row r="42" spans="1:6" ht="15.75">
      <c r="A42" s="48" t="s">
        <v>169</v>
      </c>
      <c r="B42" s="49">
        <f t="shared" si="0"/>
        <v>152</v>
      </c>
      <c r="C42" s="52">
        <f t="shared" si="1"/>
        <v>9.902280130293159E-2</v>
      </c>
      <c r="D42" s="56">
        <f t="shared" si="2"/>
        <v>43200.198057600181</v>
      </c>
      <c r="E42" s="52">
        <f t="shared" si="3"/>
        <v>0.33813168742436239</v>
      </c>
    </row>
    <row r="43" spans="1:6" ht="15.75">
      <c r="A43" s="48" t="s">
        <v>170</v>
      </c>
      <c r="B43" s="49">
        <f t="shared" si="0"/>
        <v>24</v>
      </c>
      <c r="C43" s="52">
        <f t="shared" si="1"/>
        <v>1.5635179153094463E-2</v>
      </c>
      <c r="D43" s="56">
        <f t="shared" si="2"/>
        <v>9180.6477874642114</v>
      </c>
      <c r="E43" s="52">
        <f t="shared" si="3"/>
        <v>7.1857724445730436E-2</v>
      </c>
    </row>
    <row r="44" spans="1:6" ht="15.75">
      <c r="A44" s="48" t="s">
        <v>171</v>
      </c>
      <c r="B44" s="49">
        <f t="shared" si="0"/>
        <v>39</v>
      </c>
      <c r="C44" s="52">
        <f t="shared" si="1"/>
        <v>2.5407166123778503E-2</v>
      </c>
      <c r="D44" s="56">
        <f t="shared" si="2"/>
        <v>7324.260943639727</v>
      </c>
      <c r="E44" s="52">
        <f t="shared" si="3"/>
        <v>5.7327624024018878E-2</v>
      </c>
    </row>
    <row r="45" spans="1:6" ht="15.75">
      <c r="A45" s="48" t="s">
        <v>172</v>
      </c>
      <c r="B45" s="49">
        <f t="shared" si="0"/>
        <v>58</v>
      </c>
      <c r="C45" s="52">
        <f t="shared" si="1"/>
        <v>3.7785016286644948E-2</v>
      </c>
      <c r="D45" s="56">
        <f t="shared" si="2"/>
        <v>1387.0173228880553</v>
      </c>
      <c r="E45" s="52">
        <f t="shared" si="3"/>
        <v>1.0856304576419644E-2</v>
      </c>
    </row>
    <row r="46" spans="1:6" ht="15.75">
      <c r="A46" s="48" t="s">
        <v>173</v>
      </c>
      <c r="B46" s="49">
        <f t="shared" si="0"/>
        <v>59</v>
      </c>
      <c r="C46" s="52">
        <f t="shared" si="1"/>
        <v>3.8436482084690554E-2</v>
      </c>
      <c r="D46" s="56">
        <f t="shared" si="2"/>
        <v>383.52058034022986</v>
      </c>
      <c r="E46" s="52">
        <f t="shared" si="3"/>
        <v>3.0018487604965521E-3</v>
      </c>
    </row>
    <row r="47" spans="1:6" ht="15.75">
      <c r="A47" s="48" t="s">
        <v>174</v>
      </c>
      <c r="B47" s="49">
        <f t="shared" si="0"/>
        <v>99</v>
      </c>
      <c r="C47" s="52">
        <f t="shared" si="1"/>
        <v>6.4495114006514656E-2</v>
      </c>
      <c r="D47" s="56">
        <f t="shared" si="2"/>
        <v>1797.8822341857467</v>
      </c>
      <c r="E47" s="52">
        <f t="shared" si="3"/>
        <v>1.4072179780864641E-2</v>
      </c>
    </row>
    <row r="48" spans="1:6" ht="15.75">
      <c r="A48" s="46" t="s">
        <v>180</v>
      </c>
      <c r="B48" s="46">
        <f>SUM(B37:B47)</f>
        <v>1535</v>
      </c>
      <c r="C48" s="52">
        <f t="shared" si="1"/>
        <v>1</v>
      </c>
      <c r="D48" s="57">
        <f>SUM(D37:D47)</f>
        <v>127761.46</v>
      </c>
      <c r="E48" s="52">
        <f t="shared" si="3"/>
        <v>1</v>
      </c>
      <c r="F48" s="226">
        <f>+D33+D16</f>
        <v>127761.46</v>
      </c>
    </row>
    <row r="49" spans="1:5" ht="15.75">
      <c r="A49" s="46" t="s">
        <v>372</v>
      </c>
      <c r="B49" s="46"/>
      <c r="C49" s="54"/>
      <c r="D49" s="55">
        <f>+D17+D34</f>
        <v>54078.04</v>
      </c>
      <c r="E49" s="54">
        <f>+D49/D48</f>
        <v>0.42327349734419129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showGridLines="0" zoomScale="90" zoomScaleNormal="90" workbookViewId="0">
      <selection activeCell="H32" sqref="H32"/>
    </sheetView>
  </sheetViews>
  <sheetFormatPr baseColWidth="10" defaultRowHeight="15"/>
  <cols>
    <col min="1" max="1" width="14.7109375" style="284" customWidth="1"/>
    <col min="2" max="2" width="17" style="284" bestFit="1" customWidth="1"/>
    <col min="3" max="3" width="30.140625" style="284" bestFit="1" customWidth="1"/>
    <col min="4" max="4" width="14.28515625" style="284" customWidth="1"/>
    <col min="5" max="5" width="14.140625" style="284" customWidth="1"/>
    <col min="6" max="6" width="15.5703125" style="284" customWidth="1"/>
    <col min="7" max="7" width="15.85546875" style="284" customWidth="1"/>
    <col min="8" max="8" width="11.7109375" style="284" customWidth="1"/>
    <col min="9" max="9" width="11.42578125" style="284" hidden="1" customWidth="1"/>
    <col min="10" max="10" width="13.28515625" style="299" hidden="1" customWidth="1"/>
    <col min="11" max="11" width="12.140625" style="299" hidden="1" customWidth="1"/>
    <col min="12" max="12" width="15.28515625" style="284" hidden="1" customWidth="1"/>
    <col min="13" max="16384" width="11.42578125" style="284"/>
  </cols>
  <sheetData>
    <row r="1" spans="1:12" ht="90.75" customHeight="1">
      <c r="A1" s="280" t="s">
        <v>443</v>
      </c>
      <c r="B1" s="280" t="s">
        <v>444</v>
      </c>
      <c r="C1" s="280" t="s">
        <v>445</v>
      </c>
      <c r="D1" s="280" t="s">
        <v>446</v>
      </c>
      <c r="E1" s="280" t="s">
        <v>447</v>
      </c>
      <c r="F1" s="280" t="s">
        <v>448</v>
      </c>
      <c r="G1" s="280" t="s">
        <v>449</v>
      </c>
      <c r="H1" s="280" t="s">
        <v>450</v>
      </c>
      <c r="I1" s="281" t="s">
        <v>451</v>
      </c>
      <c r="J1" s="282" t="s">
        <v>452</v>
      </c>
      <c r="K1" s="282" t="s">
        <v>453</v>
      </c>
      <c r="L1" s="283" t="s">
        <v>454</v>
      </c>
    </row>
    <row r="2" spans="1:12" ht="15" customHeight="1">
      <c r="A2" s="393" t="s">
        <v>455</v>
      </c>
      <c r="B2" s="394" t="s">
        <v>13</v>
      </c>
      <c r="C2" s="285" t="s">
        <v>15</v>
      </c>
      <c r="D2" s="286">
        <v>459</v>
      </c>
      <c r="E2" s="286">
        <v>2409</v>
      </c>
      <c r="F2" s="286">
        <v>1517</v>
      </c>
      <c r="G2" s="287">
        <f>E2+(IF(D2&lt;500,D2,0))</f>
        <v>2868</v>
      </c>
      <c r="H2" s="287">
        <f>+F2+G2</f>
        <v>4385</v>
      </c>
      <c r="I2" s="288">
        <f t="shared" ref="I2:I32" si="0">+G2/D2</f>
        <v>6.2483660130718954</v>
      </c>
      <c r="J2" s="289">
        <v>0.8</v>
      </c>
      <c r="K2" s="290">
        <f>1-J2</f>
        <v>0.19999999999999996</v>
      </c>
      <c r="L2" s="290">
        <v>0.98907820008737435</v>
      </c>
    </row>
    <row r="3" spans="1:12">
      <c r="A3" s="388"/>
      <c r="B3" s="389"/>
      <c r="C3" s="291" t="s">
        <v>17</v>
      </c>
      <c r="D3" s="287">
        <v>247</v>
      </c>
      <c r="E3" s="287">
        <v>283</v>
      </c>
      <c r="F3" s="287">
        <v>2235</v>
      </c>
      <c r="G3" s="287">
        <f>E3+(IF(D3&lt;500,D3,0))</f>
        <v>530</v>
      </c>
      <c r="H3" s="287">
        <f>+F3+G3</f>
        <v>2765</v>
      </c>
      <c r="I3" s="288">
        <f t="shared" si="0"/>
        <v>2.1457489878542511</v>
      </c>
      <c r="J3" s="292">
        <v>0.65</v>
      </c>
      <c r="K3" s="293">
        <f t="shared" ref="K3:K31" si="1">1-J3</f>
        <v>0.35</v>
      </c>
      <c r="L3" s="293">
        <v>0.93714285714285717</v>
      </c>
    </row>
    <row r="4" spans="1:12">
      <c r="A4" s="388"/>
      <c r="B4" s="389" t="s">
        <v>20</v>
      </c>
      <c r="C4" s="291" t="s">
        <v>10</v>
      </c>
      <c r="D4" s="287">
        <v>319</v>
      </c>
      <c r="E4" s="287">
        <v>475</v>
      </c>
      <c r="F4" s="287">
        <v>1218</v>
      </c>
      <c r="G4" s="287">
        <f t="shared" ref="G4:G31" si="2">E4+(IF(D4&lt;500,D4,0))</f>
        <v>794</v>
      </c>
      <c r="H4" s="287">
        <f t="shared" ref="H4:H31" si="3">+F4+G4</f>
        <v>2012</v>
      </c>
      <c r="I4" s="288">
        <f t="shared" si="0"/>
        <v>2.4890282131661441</v>
      </c>
      <c r="J4" s="292">
        <v>0.76</v>
      </c>
      <c r="K4" s="293">
        <f t="shared" si="1"/>
        <v>0.24</v>
      </c>
      <c r="L4" s="293">
        <v>0.98902368573079147</v>
      </c>
    </row>
    <row r="5" spans="1:12">
      <c r="A5" s="388"/>
      <c r="B5" s="389"/>
      <c r="C5" s="291" t="s">
        <v>12</v>
      </c>
      <c r="D5" s="287">
        <v>242</v>
      </c>
      <c r="E5" s="287">
        <v>1002</v>
      </c>
      <c r="F5" s="287">
        <v>4982</v>
      </c>
      <c r="G5" s="287">
        <f t="shared" si="2"/>
        <v>1244</v>
      </c>
      <c r="H5" s="287">
        <f t="shared" si="3"/>
        <v>6226</v>
      </c>
      <c r="I5" s="288">
        <f t="shared" si="0"/>
        <v>5.1404958677685952</v>
      </c>
      <c r="J5" s="292">
        <v>0.64</v>
      </c>
      <c r="K5" s="293">
        <f t="shared" si="1"/>
        <v>0.36</v>
      </c>
      <c r="L5" s="293">
        <v>0.99123685528292438</v>
      </c>
    </row>
    <row r="6" spans="1:12">
      <c r="A6" s="388" t="s">
        <v>23</v>
      </c>
      <c r="B6" s="389" t="s">
        <v>31</v>
      </c>
      <c r="C6" s="291" t="s">
        <v>33</v>
      </c>
      <c r="D6" s="287">
        <v>85</v>
      </c>
      <c r="E6" s="287">
        <v>123</v>
      </c>
      <c r="F6" s="287">
        <v>644</v>
      </c>
      <c r="G6" s="287">
        <f t="shared" si="2"/>
        <v>208</v>
      </c>
      <c r="H6" s="287">
        <f t="shared" si="3"/>
        <v>852</v>
      </c>
      <c r="I6" s="288">
        <f t="shared" si="0"/>
        <v>2.447058823529412</v>
      </c>
      <c r="J6" s="292">
        <v>0.77</v>
      </c>
      <c r="K6" s="293">
        <f t="shared" si="1"/>
        <v>0.22999999999999998</v>
      </c>
      <c r="L6" s="293">
        <v>0.92173913043478262</v>
      </c>
    </row>
    <row r="7" spans="1:12">
      <c r="A7" s="388"/>
      <c r="B7" s="389"/>
      <c r="C7" s="291" t="s">
        <v>31</v>
      </c>
      <c r="D7" s="287">
        <v>605</v>
      </c>
      <c r="E7" s="287">
        <v>223</v>
      </c>
      <c r="F7" s="287">
        <v>928</v>
      </c>
      <c r="G7" s="287">
        <f t="shared" si="2"/>
        <v>223</v>
      </c>
      <c r="H7" s="287">
        <f t="shared" si="3"/>
        <v>1151</v>
      </c>
      <c r="I7" s="288">
        <f t="shared" si="0"/>
        <v>0.36859504132231408</v>
      </c>
      <c r="J7" s="292">
        <v>0.36</v>
      </c>
      <c r="K7" s="293">
        <f t="shared" si="1"/>
        <v>0.64</v>
      </c>
      <c r="L7" s="293">
        <v>0.72470076169749731</v>
      </c>
    </row>
    <row r="8" spans="1:12">
      <c r="A8" s="388"/>
      <c r="B8" s="389"/>
      <c r="C8" s="291" t="s">
        <v>37</v>
      </c>
      <c r="D8" s="287">
        <v>299</v>
      </c>
      <c r="E8" s="287"/>
      <c r="F8" s="287">
        <v>551</v>
      </c>
      <c r="G8" s="287">
        <f t="shared" si="2"/>
        <v>299</v>
      </c>
      <c r="H8" s="287">
        <f t="shared" si="3"/>
        <v>850</v>
      </c>
      <c r="I8" s="288">
        <f t="shared" si="0"/>
        <v>1</v>
      </c>
      <c r="J8" s="292">
        <v>0.68</v>
      </c>
      <c r="K8" s="293">
        <f t="shared" si="1"/>
        <v>0.31999999999999995</v>
      </c>
      <c r="L8" s="293">
        <v>0.81730769230769229</v>
      </c>
    </row>
    <row r="9" spans="1:12">
      <c r="A9" s="388"/>
      <c r="B9" s="389"/>
      <c r="C9" s="291" t="s">
        <v>39</v>
      </c>
      <c r="D9" s="287">
        <v>98</v>
      </c>
      <c r="E9" s="287"/>
      <c r="F9" s="287">
        <v>662</v>
      </c>
      <c r="G9" s="287">
        <f t="shared" si="2"/>
        <v>98</v>
      </c>
      <c r="H9" s="287">
        <f t="shared" si="3"/>
        <v>760</v>
      </c>
      <c r="I9" s="288">
        <f t="shared" si="0"/>
        <v>1</v>
      </c>
      <c r="J9" s="292">
        <v>0.74</v>
      </c>
      <c r="K9" s="293">
        <f t="shared" si="1"/>
        <v>0.26</v>
      </c>
      <c r="L9" s="293">
        <v>0.94130925507900676</v>
      </c>
    </row>
    <row r="10" spans="1:12">
      <c r="A10" s="388"/>
      <c r="B10" s="389"/>
      <c r="C10" s="291" t="s">
        <v>22</v>
      </c>
      <c r="D10" s="287">
        <v>200</v>
      </c>
      <c r="E10" s="287">
        <v>394</v>
      </c>
      <c r="F10" s="287">
        <v>687</v>
      </c>
      <c r="G10" s="287">
        <f t="shared" si="2"/>
        <v>594</v>
      </c>
      <c r="H10" s="287">
        <f t="shared" si="3"/>
        <v>1281</v>
      </c>
      <c r="I10" s="288">
        <f t="shared" si="0"/>
        <v>2.97</v>
      </c>
      <c r="J10" s="292">
        <v>0.19</v>
      </c>
      <c r="K10" s="293">
        <f t="shared" si="1"/>
        <v>0.81</v>
      </c>
      <c r="L10" s="293">
        <v>0.58777120315581854</v>
      </c>
    </row>
    <row r="11" spans="1:12">
      <c r="A11" s="388"/>
      <c r="B11" s="389"/>
      <c r="C11" s="291" t="s">
        <v>42</v>
      </c>
      <c r="D11" s="287">
        <v>453</v>
      </c>
      <c r="E11" s="287"/>
      <c r="F11" s="287">
        <v>558</v>
      </c>
      <c r="G11" s="287">
        <f t="shared" si="2"/>
        <v>453</v>
      </c>
      <c r="H11" s="287">
        <f t="shared" si="3"/>
        <v>1011</v>
      </c>
      <c r="I11" s="288">
        <f t="shared" si="0"/>
        <v>1</v>
      </c>
      <c r="J11" s="292">
        <v>0.45</v>
      </c>
      <c r="K11" s="293">
        <f t="shared" si="1"/>
        <v>0.55000000000000004</v>
      </c>
      <c r="L11" s="293">
        <v>0.76181818181818184</v>
      </c>
    </row>
    <row r="12" spans="1:12">
      <c r="A12" s="388"/>
      <c r="B12" s="389" t="s">
        <v>23</v>
      </c>
      <c r="C12" s="291" t="s">
        <v>29</v>
      </c>
      <c r="D12" s="287">
        <v>2525</v>
      </c>
      <c r="E12" s="287"/>
      <c r="F12" s="287">
        <v>446</v>
      </c>
      <c r="G12" s="287">
        <f t="shared" si="2"/>
        <v>0</v>
      </c>
      <c r="H12" s="287">
        <f t="shared" si="3"/>
        <v>446</v>
      </c>
      <c r="I12" s="288">
        <f t="shared" si="0"/>
        <v>0</v>
      </c>
      <c r="J12" s="292">
        <v>0.11</v>
      </c>
      <c r="K12" s="293">
        <f t="shared" si="1"/>
        <v>0.89</v>
      </c>
      <c r="L12" s="293">
        <v>0.39459459459459462</v>
      </c>
    </row>
    <row r="13" spans="1:12">
      <c r="A13" s="388"/>
      <c r="B13" s="389"/>
      <c r="C13" s="291" t="s">
        <v>27</v>
      </c>
      <c r="D13" s="287">
        <v>217</v>
      </c>
      <c r="E13" s="287">
        <v>484</v>
      </c>
      <c r="F13" s="287">
        <v>798</v>
      </c>
      <c r="G13" s="287">
        <f t="shared" si="2"/>
        <v>701</v>
      </c>
      <c r="H13" s="287">
        <f t="shared" si="3"/>
        <v>1499</v>
      </c>
      <c r="I13" s="288">
        <f t="shared" si="0"/>
        <v>3.2304147465437789</v>
      </c>
      <c r="J13" s="292">
        <v>0.19</v>
      </c>
      <c r="K13" s="293">
        <f t="shared" si="1"/>
        <v>0.81</v>
      </c>
      <c r="L13" s="293">
        <v>0.44665885111371628</v>
      </c>
    </row>
    <row r="14" spans="1:12">
      <c r="A14" s="388"/>
      <c r="B14" s="389"/>
      <c r="C14" s="291" t="s">
        <v>23</v>
      </c>
      <c r="D14" s="287">
        <v>8508</v>
      </c>
      <c r="E14" s="287">
        <v>1032</v>
      </c>
      <c r="F14" s="287">
        <v>1034</v>
      </c>
      <c r="G14" s="287">
        <f t="shared" si="2"/>
        <v>1032</v>
      </c>
      <c r="H14" s="287">
        <f t="shared" si="3"/>
        <v>2066</v>
      </c>
      <c r="I14" s="288">
        <f t="shared" si="0"/>
        <v>0.12129760225669958</v>
      </c>
      <c r="J14" s="292">
        <v>0.13</v>
      </c>
      <c r="K14" s="293">
        <f t="shared" si="1"/>
        <v>0.87</v>
      </c>
      <c r="L14" s="293">
        <v>0.29644489022623427</v>
      </c>
    </row>
    <row r="15" spans="1:12">
      <c r="A15" s="388"/>
      <c r="B15" s="389" t="s">
        <v>456</v>
      </c>
      <c r="C15" s="291" t="s">
        <v>47</v>
      </c>
      <c r="D15" s="287">
        <v>222</v>
      </c>
      <c r="E15" s="287"/>
      <c r="F15" s="287">
        <v>431</v>
      </c>
      <c r="G15" s="287">
        <f t="shared" si="2"/>
        <v>222</v>
      </c>
      <c r="H15" s="287">
        <f t="shared" si="3"/>
        <v>653</v>
      </c>
      <c r="I15" s="288">
        <f t="shared" si="0"/>
        <v>1</v>
      </c>
      <c r="J15" s="292">
        <v>0.66</v>
      </c>
      <c r="K15" s="293">
        <f t="shared" si="1"/>
        <v>0.33999999999999997</v>
      </c>
      <c r="L15" s="293">
        <v>0.90333333333333332</v>
      </c>
    </row>
    <row r="16" spans="1:12">
      <c r="A16" s="388"/>
      <c r="B16" s="389"/>
      <c r="C16" s="291" t="s">
        <v>49</v>
      </c>
      <c r="D16" s="287">
        <v>122</v>
      </c>
      <c r="E16" s="287"/>
      <c r="F16" s="287">
        <v>123</v>
      </c>
      <c r="G16" s="287">
        <f t="shared" si="2"/>
        <v>122</v>
      </c>
      <c r="H16" s="287">
        <f t="shared" si="3"/>
        <v>245</v>
      </c>
      <c r="I16" s="288">
        <f t="shared" si="0"/>
        <v>1</v>
      </c>
      <c r="J16" s="292">
        <v>0.56000000000000005</v>
      </c>
      <c r="K16" s="293">
        <f t="shared" si="1"/>
        <v>0.43999999999999995</v>
      </c>
      <c r="L16" s="293">
        <v>0.77702702702702697</v>
      </c>
    </row>
    <row r="17" spans="1:12">
      <c r="A17" s="388"/>
      <c r="B17" s="389"/>
      <c r="C17" s="291" t="s">
        <v>456</v>
      </c>
      <c r="D17" s="287">
        <v>336</v>
      </c>
      <c r="E17" s="287">
        <v>159</v>
      </c>
      <c r="F17" s="287">
        <v>590</v>
      </c>
      <c r="G17" s="287">
        <f t="shared" si="2"/>
        <v>495</v>
      </c>
      <c r="H17" s="287">
        <f t="shared" si="3"/>
        <v>1085</v>
      </c>
      <c r="I17" s="288">
        <f t="shared" si="0"/>
        <v>1.4732142857142858</v>
      </c>
      <c r="J17" s="292">
        <v>0.41</v>
      </c>
      <c r="K17" s="293">
        <f t="shared" si="1"/>
        <v>0.59000000000000008</v>
      </c>
      <c r="L17" s="293">
        <v>0.52409638554216864</v>
      </c>
    </row>
    <row r="18" spans="1:12">
      <c r="A18" s="388"/>
      <c r="B18" s="389"/>
      <c r="C18" s="291" t="s">
        <v>51</v>
      </c>
      <c r="D18" s="287">
        <v>247</v>
      </c>
      <c r="E18" s="287"/>
      <c r="F18" s="287">
        <v>1903</v>
      </c>
      <c r="G18" s="287">
        <f t="shared" si="2"/>
        <v>247</v>
      </c>
      <c r="H18" s="287">
        <f t="shared" si="3"/>
        <v>2150</v>
      </c>
      <c r="I18" s="288">
        <f t="shared" si="0"/>
        <v>1</v>
      </c>
      <c r="J18" s="292">
        <v>0.65</v>
      </c>
      <c r="K18" s="293">
        <f t="shared" si="1"/>
        <v>0.35</v>
      </c>
      <c r="L18" s="293">
        <v>0.86706349206349209</v>
      </c>
    </row>
    <row r="19" spans="1:12">
      <c r="A19" s="388"/>
      <c r="B19" s="389"/>
      <c r="C19" s="291" t="s">
        <v>53</v>
      </c>
      <c r="D19" s="287">
        <v>66</v>
      </c>
      <c r="E19" s="287"/>
      <c r="F19" s="287">
        <v>444</v>
      </c>
      <c r="G19" s="287">
        <f t="shared" si="2"/>
        <v>66</v>
      </c>
      <c r="H19" s="287">
        <f t="shared" si="3"/>
        <v>510</v>
      </c>
      <c r="I19" s="288">
        <f t="shared" si="0"/>
        <v>1</v>
      </c>
      <c r="J19" s="292">
        <v>0.71</v>
      </c>
      <c r="K19" s="293">
        <f t="shared" si="1"/>
        <v>0.29000000000000004</v>
      </c>
      <c r="L19" s="293">
        <v>0.96071428571428574</v>
      </c>
    </row>
    <row r="20" spans="1:12">
      <c r="A20" s="388"/>
      <c r="B20" s="389"/>
      <c r="C20" s="291" t="s">
        <v>55</v>
      </c>
      <c r="D20" s="287">
        <v>71</v>
      </c>
      <c r="E20" s="287"/>
      <c r="F20" s="287">
        <v>830</v>
      </c>
      <c r="G20" s="287">
        <f t="shared" si="2"/>
        <v>71</v>
      </c>
      <c r="H20" s="287">
        <f t="shared" si="3"/>
        <v>901</v>
      </c>
      <c r="I20" s="288">
        <f t="shared" si="0"/>
        <v>1</v>
      </c>
      <c r="J20" s="292">
        <v>0.72</v>
      </c>
      <c r="K20" s="293">
        <f t="shared" si="1"/>
        <v>0.28000000000000003</v>
      </c>
      <c r="L20" s="293">
        <v>0.91343963553530749</v>
      </c>
    </row>
    <row r="21" spans="1:12">
      <c r="A21" s="388"/>
      <c r="B21" s="389"/>
      <c r="C21" s="291" t="s">
        <v>57</v>
      </c>
      <c r="D21" s="287">
        <v>270</v>
      </c>
      <c r="E21" s="287">
        <v>131</v>
      </c>
      <c r="F21" s="287">
        <v>1473</v>
      </c>
      <c r="G21" s="287">
        <f t="shared" si="2"/>
        <v>401</v>
      </c>
      <c r="H21" s="287">
        <f t="shared" si="3"/>
        <v>1874</v>
      </c>
      <c r="I21" s="288">
        <f t="shared" si="0"/>
        <v>1.4851851851851852</v>
      </c>
      <c r="J21" s="292">
        <v>0.76</v>
      </c>
      <c r="K21" s="293">
        <f t="shared" si="1"/>
        <v>0.24</v>
      </c>
      <c r="L21" s="293">
        <v>0.89136490250696376</v>
      </c>
    </row>
    <row r="22" spans="1:12">
      <c r="A22" s="388"/>
      <c r="B22" s="389"/>
      <c r="C22" s="291" t="s">
        <v>59</v>
      </c>
      <c r="D22" s="287">
        <v>124</v>
      </c>
      <c r="E22" s="287"/>
      <c r="F22" s="287">
        <v>428</v>
      </c>
      <c r="G22" s="287">
        <f t="shared" si="2"/>
        <v>124</v>
      </c>
      <c r="H22" s="287">
        <f t="shared" si="3"/>
        <v>552</v>
      </c>
      <c r="I22" s="288">
        <f t="shared" si="0"/>
        <v>1</v>
      </c>
      <c r="J22" s="292">
        <v>0.63</v>
      </c>
      <c r="K22" s="293">
        <f t="shared" si="1"/>
        <v>0.37</v>
      </c>
      <c r="L22" s="293">
        <v>0.89130434782608692</v>
      </c>
    </row>
    <row r="23" spans="1:12">
      <c r="A23" s="388"/>
      <c r="B23" s="389"/>
      <c r="C23" s="291" t="s">
        <v>18</v>
      </c>
      <c r="D23" s="287">
        <v>149</v>
      </c>
      <c r="E23" s="287"/>
      <c r="F23" s="287">
        <v>301</v>
      </c>
      <c r="G23" s="287">
        <f t="shared" si="2"/>
        <v>149</v>
      </c>
      <c r="H23" s="287">
        <f t="shared" si="3"/>
        <v>450</v>
      </c>
      <c r="I23" s="288">
        <f t="shared" si="0"/>
        <v>1</v>
      </c>
      <c r="J23" s="292">
        <v>0.56000000000000005</v>
      </c>
      <c r="K23" s="293">
        <f t="shared" si="1"/>
        <v>0.43999999999999995</v>
      </c>
      <c r="L23" s="293">
        <v>0.92116182572614103</v>
      </c>
    </row>
    <row r="24" spans="1:12">
      <c r="A24" s="388" t="s">
        <v>457</v>
      </c>
      <c r="B24" s="389" t="s">
        <v>83</v>
      </c>
      <c r="C24" s="291" t="s">
        <v>68</v>
      </c>
      <c r="D24" s="287">
        <v>1199</v>
      </c>
      <c r="E24" s="287"/>
      <c r="F24" s="287">
        <v>787</v>
      </c>
      <c r="G24" s="287">
        <f t="shared" si="2"/>
        <v>0</v>
      </c>
      <c r="H24" s="287">
        <f t="shared" si="3"/>
        <v>787</v>
      </c>
      <c r="I24" s="288">
        <f t="shared" si="0"/>
        <v>0</v>
      </c>
      <c r="J24" s="292">
        <v>0.49</v>
      </c>
      <c r="K24" s="293">
        <f t="shared" si="1"/>
        <v>0.51</v>
      </c>
      <c r="L24" s="293">
        <v>0.33226427196921104</v>
      </c>
    </row>
    <row r="25" spans="1:12">
      <c r="A25" s="388"/>
      <c r="B25" s="389"/>
      <c r="C25" s="291" t="s">
        <v>70</v>
      </c>
      <c r="D25" s="287">
        <v>953</v>
      </c>
      <c r="E25" s="287">
        <v>604</v>
      </c>
      <c r="F25" s="287">
        <v>1423</v>
      </c>
      <c r="G25" s="287">
        <f t="shared" si="2"/>
        <v>604</v>
      </c>
      <c r="H25" s="287">
        <f t="shared" si="3"/>
        <v>2027</v>
      </c>
      <c r="I25" s="288">
        <f t="shared" si="0"/>
        <v>0.63378803777544601</v>
      </c>
      <c r="J25" s="292">
        <v>0.44</v>
      </c>
      <c r="K25" s="293">
        <f t="shared" si="1"/>
        <v>0.56000000000000005</v>
      </c>
      <c r="L25" s="293">
        <v>0.18251584918251584</v>
      </c>
    </row>
    <row r="26" spans="1:12">
      <c r="A26" s="388"/>
      <c r="B26" s="389"/>
      <c r="C26" s="291" t="s">
        <v>43</v>
      </c>
      <c r="D26" s="287">
        <v>581</v>
      </c>
      <c r="E26" s="287">
        <v>1206</v>
      </c>
      <c r="F26" s="287">
        <v>1292</v>
      </c>
      <c r="G26" s="287">
        <f t="shared" si="2"/>
        <v>1206</v>
      </c>
      <c r="H26" s="287">
        <f t="shared" si="3"/>
        <v>2498</v>
      </c>
      <c r="I26" s="288">
        <f t="shared" si="0"/>
        <v>2.0757314974182446</v>
      </c>
      <c r="J26" s="292">
        <v>0.61</v>
      </c>
      <c r="K26" s="293">
        <f t="shared" si="1"/>
        <v>0.39</v>
      </c>
      <c r="L26" s="293">
        <v>0.2924300034566194</v>
      </c>
    </row>
    <row r="27" spans="1:12">
      <c r="A27" s="388"/>
      <c r="B27" s="389"/>
      <c r="C27" s="291" t="s">
        <v>73</v>
      </c>
      <c r="D27" s="287">
        <v>5004</v>
      </c>
      <c r="E27" s="287">
        <v>123</v>
      </c>
      <c r="F27" s="287">
        <v>554</v>
      </c>
      <c r="G27" s="287">
        <f t="shared" si="2"/>
        <v>123</v>
      </c>
      <c r="H27" s="287">
        <f t="shared" si="3"/>
        <v>677</v>
      </c>
      <c r="I27" s="288">
        <f t="shared" si="0"/>
        <v>2.4580335731414868E-2</v>
      </c>
      <c r="J27" s="292">
        <v>0.18</v>
      </c>
      <c r="K27" s="293">
        <f t="shared" si="1"/>
        <v>0.82000000000000006</v>
      </c>
      <c r="L27" s="293">
        <v>0.22011856951615988</v>
      </c>
    </row>
    <row r="28" spans="1:12">
      <c r="A28" s="388"/>
      <c r="B28" s="389" t="s">
        <v>74</v>
      </c>
      <c r="C28" s="291" t="s">
        <v>76</v>
      </c>
      <c r="D28" s="287">
        <v>155</v>
      </c>
      <c r="E28" s="287">
        <v>107</v>
      </c>
      <c r="F28" s="287">
        <v>417</v>
      </c>
      <c r="G28" s="287">
        <f t="shared" si="2"/>
        <v>262</v>
      </c>
      <c r="H28" s="287">
        <f t="shared" si="3"/>
        <v>679</v>
      </c>
      <c r="I28" s="288">
        <f t="shared" si="0"/>
        <v>1.6903225806451614</v>
      </c>
      <c r="J28" s="292">
        <v>0.66</v>
      </c>
      <c r="K28" s="293">
        <f t="shared" si="1"/>
        <v>0.33999999999999997</v>
      </c>
      <c r="L28" s="293">
        <v>0.4947589098532495</v>
      </c>
    </row>
    <row r="29" spans="1:12">
      <c r="A29" s="388"/>
      <c r="B29" s="389"/>
      <c r="C29" s="291" t="s">
        <v>78</v>
      </c>
      <c r="D29" s="287">
        <v>243</v>
      </c>
      <c r="E29" s="287">
        <v>727</v>
      </c>
      <c r="F29" s="287">
        <v>886</v>
      </c>
      <c r="G29" s="287">
        <f t="shared" si="2"/>
        <v>970</v>
      </c>
      <c r="H29" s="287">
        <f t="shared" si="3"/>
        <v>1856</v>
      </c>
      <c r="I29" s="288">
        <f t="shared" si="0"/>
        <v>3.9917695473251027</v>
      </c>
      <c r="J29" s="292">
        <v>0.74</v>
      </c>
      <c r="K29" s="293">
        <f t="shared" si="1"/>
        <v>0.26</v>
      </c>
      <c r="L29" s="293">
        <v>0.3731958762886598</v>
      </c>
    </row>
    <row r="30" spans="1:12">
      <c r="A30" s="388"/>
      <c r="B30" s="389"/>
      <c r="C30" s="291" t="s">
        <v>7</v>
      </c>
      <c r="D30" s="287">
        <v>788</v>
      </c>
      <c r="E30" s="287">
        <v>970</v>
      </c>
      <c r="F30" s="287">
        <v>1396</v>
      </c>
      <c r="G30" s="287">
        <f t="shared" si="2"/>
        <v>970</v>
      </c>
      <c r="H30" s="287">
        <f t="shared" si="3"/>
        <v>2366</v>
      </c>
      <c r="I30" s="288">
        <f t="shared" si="0"/>
        <v>1.2309644670050761</v>
      </c>
      <c r="J30" s="292">
        <v>0.72</v>
      </c>
      <c r="K30" s="293">
        <f t="shared" si="1"/>
        <v>0.28000000000000003</v>
      </c>
      <c r="L30" s="293">
        <v>0.51217228464419473</v>
      </c>
    </row>
    <row r="31" spans="1:12" ht="15" customHeight="1">
      <c r="A31" s="388"/>
      <c r="B31" s="389"/>
      <c r="C31" s="291" t="s">
        <v>81</v>
      </c>
      <c r="D31" s="287">
        <v>5579</v>
      </c>
      <c r="E31" s="287"/>
      <c r="F31" s="287">
        <v>258</v>
      </c>
      <c r="G31" s="287">
        <f t="shared" si="2"/>
        <v>0</v>
      </c>
      <c r="H31" s="287">
        <f t="shared" si="3"/>
        <v>258</v>
      </c>
      <c r="I31" s="288">
        <f t="shared" si="0"/>
        <v>0</v>
      </c>
      <c r="J31" s="294">
        <v>0.31</v>
      </c>
      <c r="K31" s="295">
        <f t="shared" si="1"/>
        <v>0.69</v>
      </c>
      <c r="L31" s="295">
        <v>0.11640519078055395</v>
      </c>
    </row>
    <row r="32" spans="1:12">
      <c r="A32" s="390" t="s">
        <v>458</v>
      </c>
      <c r="B32" s="391"/>
      <c r="C32" s="391"/>
      <c r="D32" s="296">
        <f>SUM(D2:D31)</f>
        <v>30366</v>
      </c>
      <c r="E32" s="296">
        <f t="shared" ref="E32" si="4">SUM(E2:E31)</f>
        <v>10452</v>
      </c>
      <c r="F32" s="296">
        <f>SUM(F2:F31)</f>
        <v>29796</v>
      </c>
      <c r="G32" s="296">
        <f>SUM(G2:G31)</f>
        <v>15076</v>
      </c>
      <c r="H32" s="296">
        <f>SUM(H2:H31)</f>
        <v>44872</v>
      </c>
      <c r="I32" s="297">
        <f t="shared" si="0"/>
        <v>0.49647632220246329</v>
      </c>
      <c r="J32" s="296"/>
      <c r="K32" s="296"/>
      <c r="L32" s="298"/>
    </row>
    <row r="33" spans="1:11" ht="64.5" customHeight="1">
      <c r="A33" s="392" t="s">
        <v>459</v>
      </c>
      <c r="B33" s="392"/>
      <c r="C33" s="392"/>
      <c r="D33" s="392"/>
      <c r="E33" s="392"/>
      <c r="F33" s="392"/>
      <c r="G33" s="392"/>
      <c r="H33" s="392"/>
      <c r="J33" s="284"/>
      <c r="K33" s="284"/>
    </row>
    <row r="36" spans="1:11" ht="13.5" customHeight="1"/>
  </sheetData>
  <mergeCells count="12">
    <mergeCell ref="A2:A5"/>
    <mergeCell ref="B2:B3"/>
    <mergeCell ref="B4:B5"/>
    <mergeCell ref="A6:A23"/>
    <mergeCell ref="B6:B11"/>
    <mergeCell ref="B12:B14"/>
    <mergeCell ref="B15:B23"/>
    <mergeCell ref="A24:A31"/>
    <mergeCell ref="B24:B27"/>
    <mergeCell ref="B28:B31"/>
    <mergeCell ref="A32:C32"/>
    <mergeCell ref="A33:H33"/>
  </mergeCells>
  <conditionalFormatting sqref="J2:J31">
    <cfRule type="cellIs" dxfId="1" priority="2" operator="greaterThanOrEqual">
      <formula>0.6</formula>
    </cfRule>
  </conditionalFormatting>
  <conditionalFormatting sqref="L2:L31">
    <cfRule type="cellIs" dxfId="0" priority="1" operator="greaterThan">
      <formula>0.6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24" sqref="F24"/>
    </sheetView>
  </sheetViews>
  <sheetFormatPr baseColWidth="10" defaultRowHeight="15"/>
  <cols>
    <col min="1" max="1" width="28.42578125" style="34" customWidth="1"/>
    <col min="2" max="2" width="6.140625" style="34" customWidth="1"/>
    <col min="3" max="3" width="9.7109375" style="34" customWidth="1"/>
    <col min="4" max="4" width="20" style="34" customWidth="1"/>
    <col min="5" max="16384" width="11.42578125" style="34"/>
  </cols>
  <sheetData>
    <row r="1" spans="1:7" s="29" customFormat="1" ht="25.5">
      <c r="A1" s="28" t="s">
        <v>94</v>
      </c>
      <c r="B1" s="28" t="s">
        <v>95</v>
      </c>
      <c r="C1" s="28" t="s">
        <v>96</v>
      </c>
      <c r="D1" s="28" t="s">
        <v>181</v>
      </c>
      <c r="E1" s="28" t="s">
        <v>97</v>
      </c>
      <c r="F1" s="28" t="s">
        <v>98</v>
      </c>
      <c r="G1" s="28" t="s">
        <v>99</v>
      </c>
    </row>
    <row r="2" spans="1:7">
      <c r="A2" s="60" t="s">
        <v>100</v>
      </c>
      <c r="B2" s="31">
        <v>0.2</v>
      </c>
      <c r="C2" s="32">
        <f>+B2*$C$4</f>
        <v>3015.2000000000003</v>
      </c>
      <c r="D2" s="59" t="s">
        <v>101</v>
      </c>
      <c r="E2" s="33" t="s">
        <v>102</v>
      </c>
      <c r="F2" s="153" t="s">
        <v>264</v>
      </c>
      <c r="G2" s="33" t="s">
        <v>102</v>
      </c>
    </row>
    <row r="3" spans="1:7">
      <c r="A3" s="60" t="s">
        <v>104</v>
      </c>
      <c r="B3" s="31">
        <v>0.8</v>
      </c>
      <c r="C3" s="32">
        <f>+B3*$C$4</f>
        <v>12060.800000000001</v>
      </c>
      <c r="D3" s="33" t="s">
        <v>105</v>
      </c>
      <c r="E3" s="33" t="s">
        <v>106</v>
      </c>
      <c r="F3" s="33" t="s">
        <v>103</v>
      </c>
      <c r="G3" s="33" t="s">
        <v>102</v>
      </c>
    </row>
    <row r="4" spans="1:7">
      <c r="A4" s="30"/>
      <c r="B4" s="31">
        <f>SUM(B2:B3)</f>
        <v>1</v>
      </c>
      <c r="C4" s="61">
        <f>+'HOGARES ESTIMADOS'!G32</f>
        <v>15076</v>
      </c>
      <c r="D4" s="33"/>
      <c r="E4" s="33"/>
      <c r="F4" s="33"/>
      <c r="G4" s="33"/>
    </row>
    <row r="5" spans="1:7">
      <c r="A5" s="60" t="s">
        <v>107</v>
      </c>
      <c r="B5" s="31">
        <v>0.35</v>
      </c>
      <c r="C5" s="32">
        <f>+B5*$C$8</f>
        <v>10428.599999999999</v>
      </c>
      <c r="D5" s="33" t="s">
        <v>108</v>
      </c>
      <c r="E5" s="33" t="s">
        <v>103</v>
      </c>
      <c r="F5" s="59" t="s">
        <v>102</v>
      </c>
      <c r="G5" s="33" t="s">
        <v>103</v>
      </c>
    </row>
    <row r="6" spans="1:7">
      <c r="A6" s="60" t="s">
        <v>109</v>
      </c>
      <c r="B6" s="31">
        <v>0.45</v>
      </c>
      <c r="C6" s="32">
        <f>+B6*$C$8</f>
        <v>13408.2</v>
      </c>
      <c r="D6" s="33" t="s">
        <v>110</v>
      </c>
      <c r="E6" s="153" t="s">
        <v>264</v>
      </c>
      <c r="F6" s="33" t="s">
        <v>102</v>
      </c>
      <c r="G6" s="33" t="s">
        <v>103</v>
      </c>
    </row>
    <row r="7" spans="1:7">
      <c r="A7" s="60" t="s">
        <v>111</v>
      </c>
      <c r="B7" s="31">
        <v>0.2</v>
      </c>
      <c r="C7" s="32">
        <f>+B7*$C$8</f>
        <v>5959.2000000000007</v>
      </c>
      <c r="D7" s="33" t="s">
        <v>112</v>
      </c>
      <c r="E7" s="33" t="s">
        <v>106</v>
      </c>
      <c r="F7" s="33" t="s">
        <v>103</v>
      </c>
      <c r="G7" s="33" t="s">
        <v>103</v>
      </c>
    </row>
    <row r="8" spans="1:7">
      <c r="A8" s="35" t="s">
        <v>113</v>
      </c>
      <c r="B8" s="36">
        <f>SUM(B5:B7)</f>
        <v>1</v>
      </c>
      <c r="C8" s="61">
        <f>+'HOGARES ESTIMADOS'!F32</f>
        <v>29796</v>
      </c>
      <c r="D8" s="37"/>
      <c r="E8" s="37"/>
      <c r="F8" s="37"/>
      <c r="G8" s="37"/>
    </row>
    <row r="9" spans="1:7">
      <c r="A9" s="72" t="s">
        <v>190</v>
      </c>
    </row>
    <row r="10" spans="1:7">
      <c r="C10" s="58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AS240"/>
  <sheetViews>
    <sheetView tabSelected="1" zoomScale="80" zoomScaleNormal="80" workbookViewId="0">
      <selection activeCell="D22" sqref="D22"/>
    </sheetView>
  </sheetViews>
  <sheetFormatPr baseColWidth="10" defaultRowHeight="15"/>
  <cols>
    <col min="1" max="1" width="5.28515625" style="34" customWidth="1"/>
    <col min="2" max="2" width="61.7109375" style="34" customWidth="1"/>
    <col min="3" max="3" width="29.5703125" style="34" customWidth="1"/>
    <col min="4" max="4" width="32" style="34" customWidth="1"/>
    <col min="5" max="5" width="28" style="34" customWidth="1"/>
    <col min="6" max="6" width="18.28515625" style="34" customWidth="1"/>
    <col min="7" max="7" width="14" style="34" bestFit="1" customWidth="1"/>
    <col min="8" max="8" width="13.85546875" style="34" bestFit="1" customWidth="1"/>
    <col min="9" max="9" width="14" style="34" bestFit="1" customWidth="1"/>
    <col min="10" max="11" width="13.85546875" style="34" bestFit="1" customWidth="1"/>
    <col min="12" max="13" width="13.5703125" style="34" bestFit="1" customWidth="1"/>
    <col min="14" max="16" width="13.85546875" style="34" bestFit="1" customWidth="1"/>
    <col min="17" max="17" width="14" style="34" bestFit="1" customWidth="1"/>
    <col min="18" max="19" width="13.5703125" style="34" bestFit="1" customWidth="1"/>
    <col min="20" max="20" width="13.42578125" style="34" bestFit="1" customWidth="1"/>
    <col min="21" max="21" width="14" style="34" bestFit="1" customWidth="1"/>
    <col min="22" max="23" width="13.85546875" style="34" bestFit="1" customWidth="1"/>
    <col min="24" max="24" width="14" style="34" bestFit="1" customWidth="1"/>
    <col min="25" max="25" width="13.85546875" style="34" bestFit="1" customWidth="1"/>
    <col min="26" max="28" width="13.5703125" style="34" bestFit="1" customWidth="1"/>
    <col min="29" max="30" width="13.42578125" style="34" bestFit="1" customWidth="1"/>
    <col min="31" max="31" width="13.85546875" style="34" bestFit="1" customWidth="1"/>
    <col min="32" max="32" width="13.42578125" style="34" bestFit="1" customWidth="1"/>
    <col min="33" max="34" width="13.5703125" style="34" bestFit="1" customWidth="1"/>
    <col min="35" max="36" width="13.85546875" style="34" bestFit="1" customWidth="1"/>
    <col min="37" max="37" width="13.5703125" style="34" bestFit="1" customWidth="1"/>
    <col min="38" max="38" width="14" style="34" bestFit="1" customWidth="1"/>
    <col min="39" max="39" width="13.42578125" style="34" bestFit="1" customWidth="1"/>
    <col min="40" max="41" width="13.5703125" style="34" bestFit="1" customWidth="1"/>
    <col min="42" max="42" width="13.42578125" style="34" bestFit="1" customWidth="1"/>
    <col min="43" max="43" width="13.85546875" style="34" bestFit="1" customWidth="1"/>
    <col min="44" max="44" width="13.5703125" style="34" bestFit="1" customWidth="1"/>
    <col min="45" max="45" width="13.85546875" style="34" bestFit="1" customWidth="1"/>
    <col min="46" max="16384" width="11.42578125" style="34"/>
  </cols>
  <sheetData>
    <row r="3" spans="1:45">
      <c r="B3" s="29" t="s">
        <v>114</v>
      </c>
      <c r="F3" s="44"/>
    </row>
    <row r="4" spans="1:45">
      <c r="B4" s="69" t="s">
        <v>187</v>
      </c>
      <c r="C4" s="38" t="s">
        <v>115</v>
      </c>
      <c r="D4" s="38" t="s">
        <v>116</v>
      </c>
      <c r="E4" s="38" t="s">
        <v>117</v>
      </c>
      <c r="F4" s="64" t="s">
        <v>118</v>
      </c>
      <c r="G4" s="64" t="s">
        <v>119</v>
      </c>
      <c r="H4" s="64" t="s">
        <v>120</v>
      </c>
      <c r="I4" s="64" t="s">
        <v>121</v>
      </c>
      <c r="J4" s="64" t="s">
        <v>122</v>
      </c>
      <c r="K4" s="64" t="s">
        <v>123</v>
      </c>
      <c r="L4" s="64" t="s">
        <v>124</v>
      </c>
      <c r="M4" s="64" t="s">
        <v>125</v>
      </c>
      <c r="N4" s="64" t="s">
        <v>126</v>
      </c>
      <c r="O4" s="64" t="s">
        <v>127</v>
      </c>
      <c r="P4" s="64" t="s">
        <v>128</v>
      </c>
      <c r="Q4" s="64" t="s">
        <v>193</v>
      </c>
      <c r="R4" s="64" t="s">
        <v>194</v>
      </c>
      <c r="S4" s="64" t="s">
        <v>195</v>
      </c>
      <c r="T4" s="64" t="s">
        <v>196</v>
      </c>
      <c r="U4" s="64" t="s">
        <v>197</v>
      </c>
      <c r="V4" s="64" t="s">
        <v>198</v>
      </c>
      <c r="W4" s="64" t="s">
        <v>199</v>
      </c>
      <c r="X4" s="64" t="s">
        <v>200</v>
      </c>
      <c r="Y4" s="64" t="s">
        <v>201</v>
      </c>
      <c r="Z4" s="64" t="s">
        <v>202</v>
      </c>
      <c r="AA4" s="64" t="s">
        <v>203</v>
      </c>
      <c r="AB4" s="64" t="s">
        <v>204</v>
      </c>
      <c r="AC4" s="64" t="s">
        <v>205</v>
      </c>
      <c r="AD4" s="64" t="s">
        <v>206</v>
      </c>
      <c r="AE4" s="64" t="s">
        <v>207</v>
      </c>
      <c r="AF4" s="64" t="s">
        <v>208</v>
      </c>
      <c r="AG4" s="64" t="s">
        <v>209</v>
      </c>
      <c r="AH4" s="64" t="s">
        <v>210</v>
      </c>
      <c r="AI4" s="64" t="s">
        <v>211</v>
      </c>
      <c r="AJ4" s="64" t="s">
        <v>212</v>
      </c>
      <c r="AK4" s="64" t="s">
        <v>213</v>
      </c>
      <c r="AL4" s="64" t="s">
        <v>214</v>
      </c>
      <c r="AM4" s="64" t="s">
        <v>215</v>
      </c>
      <c r="AN4" s="64" t="s">
        <v>216</v>
      </c>
      <c r="AO4" s="64" t="s">
        <v>217</v>
      </c>
      <c r="AP4" s="64" t="s">
        <v>218</v>
      </c>
      <c r="AQ4" s="64" t="s">
        <v>219</v>
      </c>
      <c r="AR4" s="64" t="s">
        <v>220</v>
      </c>
      <c r="AS4" s="64" t="s">
        <v>221</v>
      </c>
    </row>
    <row r="5" spans="1:45">
      <c r="A5" s="115" t="s">
        <v>233</v>
      </c>
      <c r="B5" s="39" t="s">
        <v>129</v>
      </c>
      <c r="C5" s="39" t="s">
        <v>130</v>
      </c>
      <c r="D5" s="39" t="s">
        <v>131</v>
      </c>
      <c r="E5" s="40">
        <f>+SEGMENTACION!C8</f>
        <v>29796</v>
      </c>
      <c r="F5" s="65">
        <v>0.04</v>
      </c>
      <c r="G5" s="65">
        <f>+F5+0.5%</f>
        <v>4.4999999999999998E-2</v>
      </c>
      <c r="H5" s="65">
        <f>+G5-0.25%</f>
        <v>4.2499999999999996E-2</v>
      </c>
      <c r="I5" s="65">
        <f>H5-0.15%</f>
        <v>4.0999999999999995E-2</v>
      </c>
      <c r="J5" s="65">
        <f>I5-0.15%</f>
        <v>3.9499999999999993E-2</v>
      </c>
      <c r="K5" s="65">
        <f t="shared" ref="K5:O5" si="0">J5-0.15%</f>
        <v>3.7999999999999992E-2</v>
      </c>
      <c r="L5" s="65">
        <f t="shared" si="0"/>
        <v>3.6499999999999991E-2</v>
      </c>
      <c r="M5" s="65">
        <f t="shared" si="0"/>
        <v>3.4999999999999989E-2</v>
      </c>
      <c r="N5" s="65">
        <f t="shared" si="0"/>
        <v>3.3499999999999988E-2</v>
      </c>
      <c r="O5" s="65">
        <f t="shared" si="0"/>
        <v>3.1999999999999987E-2</v>
      </c>
      <c r="P5" s="65">
        <f>O5-0.2%</f>
        <v>2.9999999999999985E-2</v>
      </c>
      <c r="Q5" s="65">
        <f t="shared" ref="Q5:X5" si="1">P5-0.2%</f>
        <v>2.7999999999999983E-2</v>
      </c>
      <c r="R5" s="65">
        <f t="shared" si="1"/>
        <v>2.5999999999999981E-2</v>
      </c>
      <c r="S5" s="65">
        <f t="shared" si="1"/>
        <v>2.399999999999998E-2</v>
      </c>
      <c r="T5" s="65">
        <f t="shared" si="1"/>
        <v>2.1999999999999978E-2</v>
      </c>
      <c r="U5" s="65">
        <f t="shared" si="1"/>
        <v>1.9999999999999976E-2</v>
      </c>
      <c r="V5" s="65">
        <f t="shared" si="1"/>
        <v>1.7999999999999974E-2</v>
      </c>
      <c r="W5" s="65">
        <f t="shared" si="1"/>
        <v>1.5999999999999973E-2</v>
      </c>
      <c r="X5" s="65">
        <f t="shared" si="1"/>
        <v>1.3999999999999973E-2</v>
      </c>
      <c r="Y5" s="65">
        <f t="shared" ref="Y5:AH5" si="2">X5-0.1%</f>
        <v>1.2999999999999973E-2</v>
      </c>
      <c r="Z5" s="65">
        <f t="shared" si="2"/>
        <v>1.1999999999999972E-2</v>
      </c>
      <c r="AA5" s="65">
        <f t="shared" si="2"/>
        <v>1.0999999999999972E-2</v>
      </c>
      <c r="AB5" s="65">
        <f t="shared" si="2"/>
        <v>9.9999999999999707E-3</v>
      </c>
      <c r="AC5" s="65">
        <f t="shared" si="2"/>
        <v>8.9999999999999698E-3</v>
      </c>
      <c r="AD5" s="65">
        <f t="shared" si="2"/>
        <v>7.9999999999999689E-3</v>
      </c>
      <c r="AE5" s="65">
        <f t="shared" si="2"/>
        <v>6.9999999999999689E-3</v>
      </c>
      <c r="AF5" s="65">
        <f t="shared" si="2"/>
        <v>5.9999999999999689E-3</v>
      </c>
      <c r="AG5" s="65">
        <f t="shared" si="2"/>
        <v>4.9999999999999689E-3</v>
      </c>
      <c r="AH5" s="65">
        <f t="shared" si="2"/>
        <v>3.9999999999999689E-3</v>
      </c>
      <c r="AI5" s="65">
        <f>AH5-0.01%</f>
        <v>3.899999999999969E-3</v>
      </c>
      <c r="AJ5" s="65">
        <f t="shared" ref="AJ5:AS5" si="3">AI5-0.01%</f>
        <v>3.7999999999999692E-3</v>
      </c>
      <c r="AK5" s="65">
        <f t="shared" si="3"/>
        <v>3.6999999999999694E-3</v>
      </c>
      <c r="AL5" s="65">
        <f t="shared" si="3"/>
        <v>3.5999999999999695E-3</v>
      </c>
      <c r="AM5" s="65">
        <f t="shared" si="3"/>
        <v>3.4999999999999697E-3</v>
      </c>
      <c r="AN5" s="65">
        <f t="shared" si="3"/>
        <v>3.3999999999999699E-3</v>
      </c>
      <c r="AO5" s="65">
        <f t="shared" si="3"/>
        <v>3.2999999999999701E-3</v>
      </c>
      <c r="AP5" s="65">
        <f t="shared" si="3"/>
        <v>3.1999999999999702E-3</v>
      </c>
      <c r="AQ5" s="65">
        <f t="shared" si="3"/>
        <v>3.0999999999999704E-3</v>
      </c>
      <c r="AR5" s="65">
        <f t="shared" si="3"/>
        <v>2.9999999999999706E-3</v>
      </c>
      <c r="AS5" s="65">
        <f t="shared" si="3"/>
        <v>2.8999999999999707E-3</v>
      </c>
    </row>
    <row r="6" spans="1:45">
      <c r="A6" s="300" t="s">
        <v>234</v>
      </c>
      <c r="B6" s="39" t="s">
        <v>470</v>
      </c>
      <c r="C6" s="39" t="s">
        <v>130</v>
      </c>
      <c r="D6" s="39" t="s">
        <v>131</v>
      </c>
      <c r="E6" s="40">
        <f>+SEGMENTACION!C8</f>
        <v>29796</v>
      </c>
      <c r="F6" s="65">
        <v>0.02</v>
      </c>
      <c r="G6" s="65">
        <f>+F6+0.1%</f>
        <v>2.1000000000000001E-2</v>
      </c>
      <c r="H6" s="65">
        <f t="shared" ref="H6:J6" si="4">+G6+0.1%</f>
        <v>2.2000000000000002E-2</v>
      </c>
      <c r="I6" s="65">
        <f t="shared" si="4"/>
        <v>2.3000000000000003E-2</v>
      </c>
      <c r="J6" s="65">
        <f t="shared" si="4"/>
        <v>2.4000000000000004E-2</v>
      </c>
      <c r="K6" s="65">
        <f>+J6-0.05%</f>
        <v>2.3500000000000004E-2</v>
      </c>
      <c r="L6" s="65">
        <f t="shared" ref="L6:O6" si="5">+K6-0.05%</f>
        <v>2.3000000000000003E-2</v>
      </c>
      <c r="M6" s="65">
        <f t="shared" si="5"/>
        <v>2.2500000000000003E-2</v>
      </c>
      <c r="N6" s="65">
        <f>+M6-0.05%</f>
        <v>2.2000000000000002E-2</v>
      </c>
      <c r="O6" s="65">
        <f t="shared" si="5"/>
        <v>2.1500000000000002E-2</v>
      </c>
      <c r="P6" s="65">
        <f>+O6-0.01%</f>
        <v>2.1400000000000002E-2</v>
      </c>
      <c r="Q6" s="65">
        <f>+P6-0.01%</f>
        <v>2.1300000000000003E-2</v>
      </c>
      <c r="R6" s="65">
        <f>+Q6-0.01%</f>
        <v>2.1200000000000004E-2</v>
      </c>
      <c r="S6" s="65">
        <f t="shared" ref="S6:AS6" si="6">+R6-0.01%</f>
        <v>2.1100000000000004E-2</v>
      </c>
      <c r="T6" s="65">
        <f t="shared" si="6"/>
        <v>2.1000000000000005E-2</v>
      </c>
      <c r="U6" s="65">
        <f t="shared" si="6"/>
        <v>2.0900000000000005E-2</v>
      </c>
      <c r="V6" s="65">
        <f t="shared" si="6"/>
        <v>2.0800000000000006E-2</v>
      </c>
      <c r="W6" s="65">
        <f t="shared" si="6"/>
        <v>2.0700000000000007E-2</v>
      </c>
      <c r="X6" s="65">
        <f t="shared" si="6"/>
        <v>2.0600000000000007E-2</v>
      </c>
      <c r="Y6" s="65">
        <f t="shared" si="6"/>
        <v>2.0500000000000008E-2</v>
      </c>
      <c r="Z6" s="65">
        <f t="shared" si="6"/>
        <v>2.0400000000000008E-2</v>
      </c>
      <c r="AA6" s="65">
        <f t="shared" si="6"/>
        <v>2.0300000000000009E-2</v>
      </c>
      <c r="AB6" s="65">
        <f t="shared" si="6"/>
        <v>2.020000000000001E-2</v>
      </c>
      <c r="AC6" s="65">
        <f t="shared" si="6"/>
        <v>2.010000000000001E-2</v>
      </c>
      <c r="AD6" s="65">
        <f t="shared" si="6"/>
        <v>2.0000000000000011E-2</v>
      </c>
      <c r="AE6" s="65">
        <f t="shared" si="6"/>
        <v>1.9900000000000011E-2</v>
      </c>
      <c r="AF6" s="65">
        <f t="shared" si="6"/>
        <v>1.9800000000000012E-2</v>
      </c>
      <c r="AG6" s="65">
        <f t="shared" si="6"/>
        <v>1.9700000000000013E-2</v>
      </c>
      <c r="AH6" s="65">
        <f t="shared" si="6"/>
        <v>1.9600000000000013E-2</v>
      </c>
      <c r="AI6" s="65">
        <f t="shared" si="6"/>
        <v>1.9500000000000014E-2</v>
      </c>
      <c r="AJ6" s="65">
        <f t="shared" si="6"/>
        <v>1.9400000000000014E-2</v>
      </c>
      <c r="AK6" s="65">
        <f t="shared" si="6"/>
        <v>1.9300000000000015E-2</v>
      </c>
      <c r="AL6" s="65">
        <f t="shared" si="6"/>
        <v>1.9200000000000016E-2</v>
      </c>
      <c r="AM6" s="65">
        <f t="shared" si="6"/>
        <v>1.9100000000000016E-2</v>
      </c>
      <c r="AN6" s="65">
        <f t="shared" si="6"/>
        <v>1.9000000000000017E-2</v>
      </c>
      <c r="AO6" s="65">
        <f t="shared" si="6"/>
        <v>1.8900000000000017E-2</v>
      </c>
      <c r="AP6" s="65">
        <f t="shared" si="6"/>
        <v>1.8800000000000018E-2</v>
      </c>
      <c r="AQ6" s="65">
        <f t="shared" si="6"/>
        <v>1.8700000000000019E-2</v>
      </c>
      <c r="AR6" s="65">
        <f t="shared" si="6"/>
        <v>1.8600000000000019E-2</v>
      </c>
      <c r="AS6" s="65">
        <f t="shared" si="6"/>
        <v>1.850000000000002E-2</v>
      </c>
    </row>
    <row r="7" spans="1:45" s="80" customFormat="1">
      <c r="A7" s="301" t="s">
        <v>132</v>
      </c>
      <c r="B7" s="81" t="s">
        <v>135</v>
      </c>
      <c r="C7" s="81" t="s">
        <v>130</v>
      </c>
      <c r="D7" s="81" t="s">
        <v>182</v>
      </c>
      <c r="E7" s="78">
        <f>+SEGMENTACION!C4+SEGMENTACION!C8</f>
        <v>44872</v>
      </c>
      <c r="F7" s="65">
        <v>0.05</v>
      </c>
      <c r="G7" s="65">
        <f>+F7+0.5%</f>
        <v>5.5E-2</v>
      </c>
      <c r="H7" s="65">
        <f>G7-0.25%</f>
        <v>5.2499999999999998E-2</v>
      </c>
      <c r="I7" s="65">
        <f>+H7-0.15%</f>
        <v>5.0999999999999997E-2</v>
      </c>
      <c r="J7" s="65">
        <f t="shared" ref="J7:N7" si="7">+I7-0.15%</f>
        <v>4.9499999999999995E-2</v>
      </c>
      <c r="K7" s="65">
        <f t="shared" si="7"/>
        <v>4.7999999999999994E-2</v>
      </c>
      <c r="L7" s="65">
        <f t="shared" si="7"/>
        <v>4.6499999999999993E-2</v>
      </c>
      <c r="M7" s="65">
        <f t="shared" si="7"/>
        <v>4.4999999999999991E-2</v>
      </c>
      <c r="N7" s="65">
        <f t="shared" si="7"/>
        <v>4.349999999999999E-2</v>
      </c>
      <c r="O7" s="65">
        <f>N7-0.2%</f>
        <v>4.1499999999999988E-2</v>
      </c>
      <c r="P7" s="65">
        <f t="shared" ref="P7:X7" si="8">O7-0.2%</f>
        <v>3.9499999999999987E-2</v>
      </c>
      <c r="Q7" s="65">
        <f t="shared" si="8"/>
        <v>3.7499999999999985E-2</v>
      </c>
      <c r="R7" s="65">
        <f t="shared" si="8"/>
        <v>3.5499999999999983E-2</v>
      </c>
      <c r="S7" s="65">
        <f t="shared" si="8"/>
        <v>3.3499999999999981E-2</v>
      </c>
      <c r="T7" s="65">
        <f t="shared" si="8"/>
        <v>3.1499999999999979E-2</v>
      </c>
      <c r="U7" s="65">
        <f t="shared" si="8"/>
        <v>2.9499999999999978E-2</v>
      </c>
      <c r="V7" s="65">
        <f t="shared" si="8"/>
        <v>2.7499999999999976E-2</v>
      </c>
      <c r="W7" s="65">
        <f t="shared" si="8"/>
        <v>2.5499999999999974E-2</v>
      </c>
      <c r="X7" s="65">
        <f t="shared" si="8"/>
        <v>2.3499999999999972E-2</v>
      </c>
      <c r="Y7" s="65">
        <f t="shared" ref="Y7:AH7" si="9">X7-0.2%</f>
        <v>2.1499999999999971E-2</v>
      </c>
      <c r="Z7" s="65">
        <f t="shared" si="9"/>
        <v>1.9499999999999969E-2</v>
      </c>
      <c r="AA7" s="65">
        <f t="shared" si="9"/>
        <v>1.7499999999999967E-2</v>
      </c>
      <c r="AB7" s="65">
        <f t="shared" si="9"/>
        <v>1.5499999999999967E-2</v>
      </c>
      <c r="AC7" s="65">
        <f t="shared" si="9"/>
        <v>1.3499999999999967E-2</v>
      </c>
      <c r="AD7" s="65">
        <f t="shared" si="9"/>
        <v>1.1499999999999967E-2</v>
      </c>
      <c r="AE7" s="65">
        <f t="shared" si="9"/>
        <v>9.4999999999999668E-3</v>
      </c>
      <c r="AF7" s="65">
        <f t="shared" si="9"/>
        <v>7.4999999999999668E-3</v>
      </c>
      <c r="AG7" s="65">
        <f t="shared" si="9"/>
        <v>5.4999999999999667E-3</v>
      </c>
      <c r="AH7" s="65">
        <f t="shared" si="9"/>
        <v>3.4999999999999667E-3</v>
      </c>
      <c r="AI7" s="65">
        <f>AH7-0.01%</f>
        <v>3.3999999999999669E-3</v>
      </c>
      <c r="AJ7" s="65">
        <f t="shared" ref="AJ7:AS7" si="10">AI7-0.01%</f>
        <v>3.299999999999967E-3</v>
      </c>
      <c r="AK7" s="65">
        <f t="shared" si="10"/>
        <v>3.1999999999999672E-3</v>
      </c>
      <c r="AL7" s="65">
        <f t="shared" si="10"/>
        <v>3.0999999999999674E-3</v>
      </c>
      <c r="AM7" s="65">
        <f t="shared" si="10"/>
        <v>2.9999999999999675E-3</v>
      </c>
      <c r="AN7" s="65">
        <f t="shared" si="10"/>
        <v>2.8999999999999677E-3</v>
      </c>
      <c r="AO7" s="65">
        <f t="shared" si="10"/>
        <v>2.7999999999999679E-3</v>
      </c>
      <c r="AP7" s="65">
        <f t="shared" si="10"/>
        <v>2.6999999999999681E-3</v>
      </c>
      <c r="AQ7" s="65">
        <f t="shared" si="10"/>
        <v>2.5999999999999682E-3</v>
      </c>
      <c r="AR7" s="65">
        <f t="shared" si="10"/>
        <v>2.4999999999999684E-3</v>
      </c>
      <c r="AS7" s="65">
        <f t="shared" si="10"/>
        <v>2.3999999999999686E-3</v>
      </c>
    </row>
    <row r="8" spans="1:45">
      <c r="A8" s="300" t="s">
        <v>235</v>
      </c>
      <c r="B8" s="70" t="s">
        <v>231</v>
      </c>
      <c r="C8" s="39" t="s">
        <v>130</v>
      </c>
      <c r="D8" s="39" t="s">
        <v>182</v>
      </c>
      <c r="E8" s="40">
        <f>+SEGMENTACION!C4+SEGMENTACION!C8</f>
        <v>44872</v>
      </c>
      <c r="F8" s="65">
        <v>7.4999999999999997E-3</v>
      </c>
      <c r="G8" s="65">
        <f>F8+0.25%</f>
        <v>0.01</v>
      </c>
      <c r="H8" s="65">
        <f>G8+0.25%</f>
        <v>1.2500000000000001E-2</v>
      </c>
      <c r="I8" s="65">
        <f>H8+0.25%</f>
        <v>1.5000000000000001E-2</v>
      </c>
      <c r="J8" s="65">
        <f>I8+0.25%</f>
        <v>1.7500000000000002E-2</v>
      </c>
      <c r="K8" s="65">
        <f>+J8</f>
        <v>1.7500000000000002E-2</v>
      </c>
      <c r="L8" s="65">
        <f t="shared" ref="L8:AS8" si="11">+K8</f>
        <v>1.7500000000000002E-2</v>
      </c>
      <c r="M8" s="65">
        <f t="shared" si="11"/>
        <v>1.7500000000000002E-2</v>
      </c>
      <c r="N8" s="65">
        <f t="shared" si="11"/>
        <v>1.7500000000000002E-2</v>
      </c>
      <c r="O8" s="65">
        <f t="shared" si="11"/>
        <v>1.7500000000000002E-2</v>
      </c>
      <c r="P8" s="65">
        <f t="shared" si="11"/>
        <v>1.7500000000000002E-2</v>
      </c>
      <c r="Q8" s="65">
        <f t="shared" si="11"/>
        <v>1.7500000000000002E-2</v>
      </c>
      <c r="R8" s="65">
        <f t="shared" si="11"/>
        <v>1.7500000000000002E-2</v>
      </c>
      <c r="S8" s="65">
        <f t="shared" si="11"/>
        <v>1.7500000000000002E-2</v>
      </c>
      <c r="T8" s="65">
        <f t="shared" si="11"/>
        <v>1.7500000000000002E-2</v>
      </c>
      <c r="U8" s="65">
        <f t="shared" si="11"/>
        <v>1.7500000000000002E-2</v>
      </c>
      <c r="V8" s="65">
        <f t="shared" si="11"/>
        <v>1.7500000000000002E-2</v>
      </c>
      <c r="W8" s="65">
        <f t="shared" si="11"/>
        <v>1.7500000000000002E-2</v>
      </c>
      <c r="X8" s="65">
        <f t="shared" si="11"/>
        <v>1.7500000000000002E-2</v>
      </c>
      <c r="Y8" s="65">
        <f t="shared" si="11"/>
        <v>1.7500000000000002E-2</v>
      </c>
      <c r="Z8" s="65">
        <f t="shared" si="11"/>
        <v>1.7500000000000002E-2</v>
      </c>
      <c r="AA8" s="65">
        <f t="shared" si="11"/>
        <v>1.7500000000000002E-2</v>
      </c>
      <c r="AB8" s="65">
        <f t="shared" si="11"/>
        <v>1.7500000000000002E-2</v>
      </c>
      <c r="AC8" s="65">
        <f t="shared" si="11"/>
        <v>1.7500000000000002E-2</v>
      </c>
      <c r="AD8" s="65">
        <f t="shared" si="11"/>
        <v>1.7500000000000002E-2</v>
      </c>
      <c r="AE8" s="65">
        <f t="shared" si="11"/>
        <v>1.7500000000000002E-2</v>
      </c>
      <c r="AF8" s="65">
        <f t="shared" si="11"/>
        <v>1.7500000000000002E-2</v>
      </c>
      <c r="AG8" s="65">
        <f t="shared" si="11"/>
        <v>1.7500000000000002E-2</v>
      </c>
      <c r="AH8" s="65">
        <f t="shared" si="11"/>
        <v>1.7500000000000002E-2</v>
      </c>
      <c r="AI8" s="65">
        <f t="shared" si="11"/>
        <v>1.7500000000000002E-2</v>
      </c>
      <c r="AJ8" s="65">
        <f>+AI8</f>
        <v>1.7500000000000002E-2</v>
      </c>
      <c r="AK8" s="65">
        <f t="shared" si="11"/>
        <v>1.7500000000000002E-2</v>
      </c>
      <c r="AL8" s="65">
        <f t="shared" si="11"/>
        <v>1.7500000000000002E-2</v>
      </c>
      <c r="AM8" s="65">
        <f t="shared" si="11"/>
        <v>1.7500000000000002E-2</v>
      </c>
      <c r="AN8" s="65">
        <f t="shared" si="11"/>
        <v>1.7500000000000002E-2</v>
      </c>
      <c r="AO8" s="65">
        <f t="shared" si="11"/>
        <v>1.7500000000000002E-2</v>
      </c>
      <c r="AP8" s="65">
        <f t="shared" si="11"/>
        <v>1.7500000000000002E-2</v>
      </c>
      <c r="AQ8" s="65">
        <f t="shared" si="11"/>
        <v>1.7500000000000002E-2</v>
      </c>
      <c r="AR8" s="65">
        <f t="shared" si="11"/>
        <v>1.7500000000000002E-2</v>
      </c>
      <c r="AS8" s="65">
        <f t="shared" si="11"/>
        <v>1.7500000000000002E-2</v>
      </c>
    </row>
    <row r="9" spans="1:45" s="80" customFormat="1">
      <c r="A9" s="301" t="s">
        <v>236</v>
      </c>
      <c r="B9" s="75" t="s">
        <v>232</v>
      </c>
      <c r="C9" s="81" t="s">
        <v>130</v>
      </c>
      <c r="D9" s="81" t="s">
        <v>132</v>
      </c>
      <c r="E9" s="78">
        <f>+SEGMENTACION!C5</f>
        <v>10428.599999999999</v>
      </c>
      <c r="F9" s="82">
        <v>0.01</v>
      </c>
      <c r="G9" s="82">
        <f>F9+0.5%</f>
        <v>1.4999999999999999E-2</v>
      </c>
      <c r="H9" s="82">
        <f t="shared" ref="H9:J9" si="12">G9+0.5%</f>
        <v>0.02</v>
      </c>
      <c r="I9" s="82">
        <f t="shared" si="12"/>
        <v>2.5000000000000001E-2</v>
      </c>
      <c r="J9" s="82">
        <f t="shared" si="12"/>
        <v>3.0000000000000002E-2</v>
      </c>
      <c r="K9" s="82">
        <f>+J9-0.25%</f>
        <v>2.7500000000000004E-2</v>
      </c>
      <c r="L9" s="82">
        <f t="shared" ref="L9:N9" si="13">+K9-0.25%</f>
        <v>2.5000000000000005E-2</v>
      </c>
      <c r="M9" s="82">
        <f t="shared" si="13"/>
        <v>2.2500000000000006E-2</v>
      </c>
      <c r="N9" s="82">
        <f t="shared" si="13"/>
        <v>2.0000000000000007E-2</v>
      </c>
      <c r="O9" s="82">
        <f>+N9-0.01%</f>
        <v>1.9900000000000008E-2</v>
      </c>
      <c r="P9" s="82">
        <f t="shared" ref="P9:AH9" si="14">+O9-0.01%</f>
        <v>1.9800000000000009E-2</v>
      </c>
      <c r="Q9" s="82">
        <f t="shared" si="14"/>
        <v>1.9700000000000009E-2</v>
      </c>
      <c r="R9" s="82">
        <f t="shared" si="14"/>
        <v>1.960000000000001E-2</v>
      </c>
      <c r="S9" s="82">
        <f t="shared" si="14"/>
        <v>1.950000000000001E-2</v>
      </c>
      <c r="T9" s="82">
        <f t="shared" si="14"/>
        <v>1.9400000000000011E-2</v>
      </c>
      <c r="U9" s="82">
        <f t="shared" si="14"/>
        <v>1.9300000000000012E-2</v>
      </c>
      <c r="V9" s="82">
        <f t="shared" si="14"/>
        <v>1.9200000000000012E-2</v>
      </c>
      <c r="W9" s="82">
        <f t="shared" si="14"/>
        <v>1.9100000000000013E-2</v>
      </c>
      <c r="X9" s="82">
        <f t="shared" si="14"/>
        <v>1.9000000000000013E-2</v>
      </c>
      <c r="Y9" s="82">
        <f t="shared" si="14"/>
        <v>1.8900000000000014E-2</v>
      </c>
      <c r="Z9" s="82">
        <f t="shared" si="14"/>
        <v>1.8800000000000015E-2</v>
      </c>
      <c r="AA9" s="82">
        <f t="shared" si="14"/>
        <v>1.8700000000000015E-2</v>
      </c>
      <c r="AB9" s="82">
        <f t="shared" si="14"/>
        <v>1.8600000000000016E-2</v>
      </c>
      <c r="AC9" s="82">
        <f t="shared" si="14"/>
        <v>1.8500000000000016E-2</v>
      </c>
      <c r="AD9" s="82">
        <f t="shared" si="14"/>
        <v>1.8400000000000017E-2</v>
      </c>
      <c r="AE9" s="82">
        <f t="shared" si="14"/>
        <v>1.8300000000000018E-2</v>
      </c>
      <c r="AF9" s="82">
        <f t="shared" si="14"/>
        <v>1.8200000000000018E-2</v>
      </c>
      <c r="AG9" s="82">
        <f t="shared" si="14"/>
        <v>1.8100000000000019E-2</v>
      </c>
      <c r="AH9" s="82">
        <f t="shared" si="14"/>
        <v>1.8000000000000019E-2</v>
      </c>
      <c r="AI9" s="82">
        <f>+AH9-0.015%</f>
        <v>1.7850000000000019E-2</v>
      </c>
      <c r="AJ9" s="82">
        <f t="shared" ref="AJ9:AS9" si="15">+AI9-0.015%</f>
        <v>1.7700000000000018E-2</v>
      </c>
      <c r="AK9" s="82">
        <f t="shared" si="15"/>
        <v>1.7550000000000017E-2</v>
      </c>
      <c r="AL9" s="82">
        <f t="shared" si="15"/>
        <v>1.7400000000000016E-2</v>
      </c>
      <c r="AM9" s="82">
        <f t="shared" si="15"/>
        <v>1.7250000000000015E-2</v>
      </c>
      <c r="AN9" s="82">
        <f t="shared" si="15"/>
        <v>1.7100000000000014E-2</v>
      </c>
      <c r="AO9" s="82">
        <f t="shared" si="15"/>
        <v>1.6950000000000014E-2</v>
      </c>
      <c r="AP9" s="82">
        <f t="shared" si="15"/>
        <v>1.6800000000000013E-2</v>
      </c>
      <c r="AQ9" s="82">
        <f t="shared" si="15"/>
        <v>1.6650000000000012E-2</v>
      </c>
      <c r="AR9" s="82">
        <f t="shared" si="15"/>
        <v>1.6500000000000011E-2</v>
      </c>
      <c r="AS9" s="82">
        <f t="shared" si="15"/>
        <v>1.635000000000001E-2</v>
      </c>
    </row>
    <row r="10" spans="1:45" s="80" customFormat="1">
      <c r="A10" s="301" t="s">
        <v>237</v>
      </c>
      <c r="B10" s="81" t="s">
        <v>133</v>
      </c>
      <c r="C10" s="81" t="s">
        <v>130</v>
      </c>
      <c r="D10" s="81" t="s">
        <v>134</v>
      </c>
      <c r="E10" s="78">
        <f>+SEGMENTACION!C5+SEGMENTACION!C7</f>
        <v>16387.8</v>
      </c>
      <c r="F10" s="82">
        <v>4.0000000000000001E-3</v>
      </c>
      <c r="G10" s="82">
        <f>F10+0.15%</f>
        <v>5.4999999999999997E-3</v>
      </c>
      <c r="H10" s="82">
        <f t="shared" ref="H10:J10" si="16">G10+0.1%</f>
        <v>6.4999999999999997E-3</v>
      </c>
      <c r="I10" s="82">
        <f t="shared" si="16"/>
        <v>7.4999999999999997E-3</v>
      </c>
      <c r="J10" s="82">
        <f t="shared" si="16"/>
        <v>8.5000000000000006E-3</v>
      </c>
      <c r="K10" s="82">
        <f>+J10</f>
        <v>8.5000000000000006E-3</v>
      </c>
      <c r="L10" s="82">
        <f t="shared" ref="L10:Y10" si="17">+K10</f>
        <v>8.5000000000000006E-3</v>
      </c>
      <c r="M10" s="82">
        <f t="shared" si="17"/>
        <v>8.5000000000000006E-3</v>
      </c>
      <c r="N10" s="82">
        <f t="shared" si="17"/>
        <v>8.5000000000000006E-3</v>
      </c>
      <c r="O10" s="82">
        <f t="shared" si="17"/>
        <v>8.5000000000000006E-3</v>
      </c>
      <c r="P10" s="82">
        <f t="shared" si="17"/>
        <v>8.5000000000000006E-3</v>
      </c>
      <c r="Q10" s="82">
        <f t="shared" si="17"/>
        <v>8.5000000000000006E-3</v>
      </c>
      <c r="R10" s="82">
        <f t="shared" si="17"/>
        <v>8.5000000000000006E-3</v>
      </c>
      <c r="S10" s="82">
        <f t="shared" si="17"/>
        <v>8.5000000000000006E-3</v>
      </c>
      <c r="T10" s="82">
        <f t="shared" si="17"/>
        <v>8.5000000000000006E-3</v>
      </c>
      <c r="U10" s="82">
        <f t="shared" si="17"/>
        <v>8.5000000000000006E-3</v>
      </c>
      <c r="V10" s="82">
        <f t="shared" si="17"/>
        <v>8.5000000000000006E-3</v>
      </c>
      <c r="W10" s="82">
        <f t="shared" si="17"/>
        <v>8.5000000000000006E-3</v>
      </c>
      <c r="X10" s="82">
        <f t="shared" si="17"/>
        <v>8.5000000000000006E-3</v>
      </c>
      <c r="Y10" s="82">
        <f t="shared" si="17"/>
        <v>8.5000000000000006E-3</v>
      </c>
      <c r="Z10" s="82">
        <f>Y10-0.02%</f>
        <v>8.3000000000000001E-3</v>
      </c>
      <c r="AA10" s="82">
        <f t="shared" ref="AA10:AS10" si="18">Z10-0.02%</f>
        <v>8.0999999999999996E-3</v>
      </c>
      <c r="AB10" s="82">
        <f t="shared" si="18"/>
        <v>7.899999999999999E-3</v>
      </c>
      <c r="AC10" s="82">
        <f t="shared" si="18"/>
        <v>7.6999999999999994E-3</v>
      </c>
      <c r="AD10" s="82">
        <f t="shared" si="18"/>
        <v>7.4999999999999997E-3</v>
      </c>
      <c r="AE10" s="82">
        <f t="shared" si="18"/>
        <v>7.3000000000000001E-3</v>
      </c>
      <c r="AF10" s="82">
        <f t="shared" si="18"/>
        <v>7.1000000000000004E-3</v>
      </c>
      <c r="AG10" s="82">
        <f t="shared" si="18"/>
        <v>6.9000000000000008E-3</v>
      </c>
      <c r="AH10" s="82">
        <f t="shared" si="18"/>
        <v>6.7000000000000011E-3</v>
      </c>
      <c r="AI10" s="82">
        <f t="shared" si="18"/>
        <v>6.5000000000000014E-3</v>
      </c>
      <c r="AJ10" s="82">
        <f t="shared" si="18"/>
        <v>6.3000000000000018E-3</v>
      </c>
      <c r="AK10" s="82">
        <f t="shared" si="18"/>
        <v>6.1000000000000021E-3</v>
      </c>
      <c r="AL10" s="82">
        <f t="shared" si="18"/>
        <v>5.9000000000000025E-3</v>
      </c>
      <c r="AM10" s="82">
        <f t="shared" si="18"/>
        <v>5.7000000000000028E-3</v>
      </c>
      <c r="AN10" s="82">
        <f t="shared" si="18"/>
        <v>5.5000000000000032E-3</v>
      </c>
      <c r="AO10" s="82">
        <f t="shared" si="18"/>
        <v>5.3000000000000035E-3</v>
      </c>
      <c r="AP10" s="82">
        <f t="shared" si="18"/>
        <v>5.1000000000000038E-3</v>
      </c>
      <c r="AQ10" s="82">
        <f t="shared" si="18"/>
        <v>4.9000000000000042E-3</v>
      </c>
      <c r="AR10" s="82">
        <f t="shared" si="18"/>
        <v>4.7000000000000045E-3</v>
      </c>
      <c r="AS10" s="82">
        <f t="shared" si="18"/>
        <v>4.5000000000000049E-3</v>
      </c>
    </row>
    <row r="11" spans="1:45">
      <c r="B11" s="69" t="s">
        <v>186</v>
      </c>
      <c r="C11" s="38" t="s">
        <v>115</v>
      </c>
      <c r="D11" s="38" t="s">
        <v>116</v>
      </c>
      <c r="E11" s="38" t="s">
        <v>117</v>
      </c>
      <c r="F11" s="64" t="s">
        <v>118</v>
      </c>
      <c r="G11" s="64" t="s">
        <v>119</v>
      </c>
      <c r="H11" s="64" t="s">
        <v>120</v>
      </c>
      <c r="I11" s="64" t="s">
        <v>121</v>
      </c>
      <c r="J11" s="64" t="s">
        <v>122</v>
      </c>
      <c r="K11" s="64" t="s">
        <v>123</v>
      </c>
      <c r="L11" s="64" t="s">
        <v>124</v>
      </c>
      <c r="M11" s="64" t="s">
        <v>125</v>
      </c>
      <c r="N11" s="64" t="s">
        <v>126</v>
      </c>
      <c r="O11" s="64" t="s">
        <v>127</v>
      </c>
      <c r="P11" s="64" t="s">
        <v>128</v>
      </c>
      <c r="Q11" s="64" t="s">
        <v>193</v>
      </c>
      <c r="R11" s="64" t="s">
        <v>194</v>
      </c>
      <c r="S11" s="64" t="s">
        <v>195</v>
      </c>
      <c r="T11" s="64" t="s">
        <v>196</v>
      </c>
      <c r="U11" s="64" t="s">
        <v>197</v>
      </c>
      <c r="V11" s="64" t="s">
        <v>198</v>
      </c>
      <c r="W11" s="64" t="s">
        <v>199</v>
      </c>
      <c r="X11" s="64" t="s">
        <v>200</v>
      </c>
      <c r="Y11" s="64" t="s">
        <v>201</v>
      </c>
      <c r="Z11" s="64" t="s">
        <v>202</v>
      </c>
      <c r="AA11" s="64" t="s">
        <v>203</v>
      </c>
      <c r="AB11" s="64" t="s">
        <v>204</v>
      </c>
      <c r="AC11" s="64" t="s">
        <v>205</v>
      </c>
      <c r="AD11" s="64" t="s">
        <v>206</v>
      </c>
      <c r="AE11" s="64" t="s">
        <v>207</v>
      </c>
      <c r="AF11" s="64" t="s">
        <v>208</v>
      </c>
      <c r="AG11" s="64" t="s">
        <v>209</v>
      </c>
      <c r="AH11" s="64" t="s">
        <v>210</v>
      </c>
      <c r="AI11" s="64" t="s">
        <v>211</v>
      </c>
      <c r="AJ11" s="64" t="s">
        <v>212</v>
      </c>
      <c r="AK11" s="64" t="s">
        <v>213</v>
      </c>
      <c r="AL11" s="64" t="s">
        <v>214</v>
      </c>
      <c r="AM11" s="64" t="s">
        <v>215</v>
      </c>
      <c r="AN11" s="64" t="s">
        <v>216</v>
      </c>
      <c r="AO11" s="64" t="s">
        <v>217</v>
      </c>
      <c r="AP11" s="64" t="s">
        <v>218</v>
      </c>
      <c r="AQ11" s="64" t="s">
        <v>219</v>
      </c>
      <c r="AR11" s="64" t="s">
        <v>220</v>
      </c>
      <c r="AS11" s="64" t="s">
        <v>221</v>
      </c>
    </row>
    <row r="12" spans="1:45" s="80" customFormat="1">
      <c r="A12" s="301" t="s">
        <v>460</v>
      </c>
      <c r="B12" s="81" t="s">
        <v>136</v>
      </c>
      <c r="C12" s="81" t="s">
        <v>137</v>
      </c>
      <c r="D12" s="81" t="s">
        <v>138</v>
      </c>
      <c r="E12" s="78">
        <f>+SEGMENTACION!C5/5</f>
        <v>2085.7199999999998</v>
      </c>
      <c r="F12" s="82">
        <v>1.4999999999999999E-2</v>
      </c>
      <c r="G12" s="82">
        <f>+F12+0.25%</f>
        <v>1.7499999999999998E-2</v>
      </c>
      <c r="H12" s="82">
        <f t="shared" ref="H12:J12" si="19">+G12+0.25%</f>
        <v>1.9999999999999997E-2</v>
      </c>
      <c r="I12" s="82">
        <f t="shared" si="19"/>
        <v>2.2499999999999996E-2</v>
      </c>
      <c r="J12" s="82">
        <f t="shared" si="19"/>
        <v>2.4999999999999994E-2</v>
      </c>
      <c r="K12" s="82">
        <f>+J12-0.05%</f>
        <v>2.4499999999999994E-2</v>
      </c>
      <c r="L12" s="82">
        <f t="shared" ref="L12:Y13" si="20">+K12-0.05%</f>
        <v>2.3999999999999994E-2</v>
      </c>
      <c r="M12" s="82">
        <f t="shared" si="20"/>
        <v>2.3499999999999993E-2</v>
      </c>
      <c r="N12" s="82">
        <f t="shared" si="20"/>
        <v>2.2999999999999993E-2</v>
      </c>
      <c r="O12" s="82">
        <f t="shared" si="20"/>
        <v>2.2499999999999992E-2</v>
      </c>
      <c r="P12" s="82">
        <f t="shared" si="20"/>
        <v>2.1999999999999992E-2</v>
      </c>
      <c r="Q12" s="82">
        <f t="shared" si="20"/>
        <v>2.1499999999999991E-2</v>
      </c>
      <c r="R12" s="82">
        <f t="shared" si="20"/>
        <v>2.0999999999999991E-2</v>
      </c>
      <c r="S12" s="82">
        <f t="shared" si="20"/>
        <v>2.049999999999999E-2</v>
      </c>
      <c r="T12" s="82">
        <f t="shared" si="20"/>
        <v>1.999999999999999E-2</v>
      </c>
      <c r="U12" s="82">
        <f t="shared" si="20"/>
        <v>1.949999999999999E-2</v>
      </c>
      <c r="V12" s="82">
        <f t="shared" si="20"/>
        <v>1.8999999999999989E-2</v>
      </c>
      <c r="W12" s="82">
        <f t="shared" si="20"/>
        <v>1.8499999999999989E-2</v>
      </c>
      <c r="X12" s="82">
        <f t="shared" si="20"/>
        <v>1.7999999999999988E-2</v>
      </c>
      <c r="Y12" s="82">
        <f t="shared" si="20"/>
        <v>1.7499999999999988E-2</v>
      </c>
      <c r="Z12" s="82">
        <f>+Y12-0.01%</f>
        <v>1.7399999999999988E-2</v>
      </c>
      <c r="AA12" s="82">
        <f t="shared" ref="AA12:AS13" si="21">+Z12-0.01%</f>
        <v>1.7299999999999989E-2</v>
      </c>
      <c r="AB12" s="82">
        <f t="shared" si="21"/>
        <v>1.719999999999999E-2</v>
      </c>
      <c r="AC12" s="82">
        <f t="shared" si="21"/>
        <v>1.709999999999999E-2</v>
      </c>
      <c r="AD12" s="82">
        <f t="shared" si="21"/>
        <v>1.6999999999999991E-2</v>
      </c>
      <c r="AE12" s="82">
        <f t="shared" si="21"/>
        <v>1.6899999999999991E-2</v>
      </c>
      <c r="AF12" s="82">
        <f t="shared" si="21"/>
        <v>1.6799999999999992E-2</v>
      </c>
      <c r="AG12" s="82">
        <f t="shared" si="21"/>
        <v>1.6699999999999993E-2</v>
      </c>
      <c r="AH12" s="82">
        <f t="shared" si="21"/>
        <v>1.6599999999999993E-2</v>
      </c>
      <c r="AI12" s="82">
        <f t="shared" si="21"/>
        <v>1.6499999999999994E-2</v>
      </c>
      <c r="AJ12" s="82">
        <f t="shared" si="21"/>
        <v>1.6399999999999994E-2</v>
      </c>
      <c r="AK12" s="82">
        <f t="shared" si="21"/>
        <v>1.6299999999999995E-2</v>
      </c>
      <c r="AL12" s="82">
        <f t="shared" si="21"/>
        <v>1.6199999999999996E-2</v>
      </c>
      <c r="AM12" s="82">
        <f t="shared" si="21"/>
        <v>1.6099999999999996E-2</v>
      </c>
      <c r="AN12" s="82">
        <f t="shared" si="21"/>
        <v>1.5999999999999997E-2</v>
      </c>
      <c r="AO12" s="82">
        <f t="shared" si="21"/>
        <v>1.5899999999999997E-2</v>
      </c>
      <c r="AP12" s="82">
        <f t="shared" si="21"/>
        <v>1.5799999999999998E-2</v>
      </c>
      <c r="AQ12" s="82">
        <f t="shared" si="21"/>
        <v>1.5699999999999999E-2</v>
      </c>
      <c r="AR12" s="82">
        <f t="shared" si="21"/>
        <v>1.5599999999999999E-2</v>
      </c>
      <c r="AS12" s="82">
        <f t="shared" si="21"/>
        <v>1.55E-2</v>
      </c>
    </row>
    <row r="13" spans="1:45" s="80" customFormat="1">
      <c r="A13" s="301" t="s">
        <v>460</v>
      </c>
      <c r="B13" s="81" t="s">
        <v>139</v>
      </c>
      <c r="C13" s="81" t="s">
        <v>137</v>
      </c>
      <c r="D13" s="81" t="s">
        <v>140</v>
      </c>
      <c r="E13" s="78">
        <f>+SEGMENTACION!C7/5</f>
        <v>1191.8400000000001</v>
      </c>
      <c r="F13" s="82">
        <v>1.6E-2</v>
      </c>
      <c r="G13" s="82">
        <f>+F13+0.25%</f>
        <v>1.8499999999999999E-2</v>
      </c>
      <c r="H13" s="82">
        <f t="shared" ref="H13" si="22">+G13+0.25%</f>
        <v>2.0999999999999998E-2</v>
      </c>
      <c r="I13" s="82">
        <f t="shared" ref="I13" si="23">+H13+0.25%</f>
        <v>2.3499999999999997E-2</v>
      </c>
      <c r="J13" s="82">
        <f t="shared" ref="J13" si="24">+I13+0.25%</f>
        <v>2.5999999999999995E-2</v>
      </c>
      <c r="K13" s="82">
        <f>+J13-0.05%</f>
        <v>2.5499999999999995E-2</v>
      </c>
      <c r="L13" s="82">
        <f t="shared" si="20"/>
        <v>2.4999999999999994E-2</v>
      </c>
      <c r="M13" s="82">
        <f t="shared" si="20"/>
        <v>2.4499999999999994E-2</v>
      </c>
      <c r="N13" s="82">
        <f t="shared" si="20"/>
        <v>2.3999999999999994E-2</v>
      </c>
      <c r="O13" s="82">
        <f t="shared" si="20"/>
        <v>2.3499999999999993E-2</v>
      </c>
      <c r="P13" s="82">
        <f t="shared" si="20"/>
        <v>2.2999999999999993E-2</v>
      </c>
      <c r="Q13" s="82">
        <f t="shared" si="20"/>
        <v>2.2499999999999992E-2</v>
      </c>
      <c r="R13" s="82">
        <f t="shared" si="20"/>
        <v>2.1999999999999992E-2</v>
      </c>
      <c r="S13" s="82">
        <f t="shared" si="20"/>
        <v>2.1499999999999991E-2</v>
      </c>
      <c r="T13" s="82">
        <f t="shared" si="20"/>
        <v>2.0999999999999991E-2</v>
      </c>
      <c r="U13" s="82">
        <f t="shared" si="20"/>
        <v>2.049999999999999E-2</v>
      </c>
      <c r="V13" s="82">
        <f t="shared" si="20"/>
        <v>1.999999999999999E-2</v>
      </c>
      <c r="W13" s="82">
        <f t="shared" si="20"/>
        <v>1.949999999999999E-2</v>
      </c>
      <c r="X13" s="82">
        <f t="shared" si="20"/>
        <v>1.8999999999999989E-2</v>
      </c>
      <c r="Y13" s="82">
        <f t="shared" si="20"/>
        <v>1.8499999999999989E-2</v>
      </c>
      <c r="Z13" s="82">
        <f>+Y13-0.01%</f>
        <v>1.8399999999999989E-2</v>
      </c>
      <c r="AA13" s="82">
        <f t="shared" si="21"/>
        <v>1.829999999999999E-2</v>
      </c>
      <c r="AB13" s="82">
        <f t="shared" si="21"/>
        <v>1.819999999999999E-2</v>
      </c>
      <c r="AC13" s="82">
        <f t="shared" si="21"/>
        <v>1.8099999999999991E-2</v>
      </c>
      <c r="AD13" s="82">
        <f t="shared" si="21"/>
        <v>1.7999999999999992E-2</v>
      </c>
      <c r="AE13" s="82">
        <f t="shared" si="21"/>
        <v>1.7899999999999992E-2</v>
      </c>
      <c r="AF13" s="82">
        <f t="shared" si="21"/>
        <v>1.7799999999999993E-2</v>
      </c>
      <c r="AG13" s="82">
        <f t="shared" si="21"/>
        <v>1.7699999999999994E-2</v>
      </c>
      <c r="AH13" s="82">
        <f t="shared" si="21"/>
        <v>1.7599999999999994E-2</v>
      </c>
      <c r="AI13" s="82">
        <f t="shared" si="21"/>
        <v>1.7499999999999995E-2</v>
      </c>
      <c r="AJ13" s="82">
        <f t="shared" si="21"/>
        <v>1.7399999999999995E-2</v>
      </c>
      <c r="AK13" s="82">
        <f t="shared" si="21"/>
        <v>1.7299999999999996E-2</v>
      </c>
      <c r="AL13" s="82">
        <f t="shared" si="21"/>
        <v>1.7199999999999997E-2</v>
      </c>
      <c r="AM13" s="82">
        <f t="shared" si="21"/>
        <v>1.7099999999999997E-2</v>
      </c>
      <c r="AN13" s="82">
        <f t="shared" si="21"/>
        <v>1.6999999999999998E-2</v>
      </c>
      <c r="AO13" s="82">
        <f t="shared" si="21"/>
        <v>1.6899999999999998E-2</v>
      </c>
      <c r="AP13" s="82">
        <f t="shared" si="21"/>
        <v>1.6799999999999999E-2</v>
      </c>
      <c r="AQ13" s="82">
        <f t="shared" si="21"/>
        <v>1.67E-2</v>
      </c>
      <c r="AR13" s="82">
        <f t="shared" si="21"/>
        <v>1.66E-2</v>
      </c>
      <c r="AS13" s="82">
        <f t="shared" si="21"/>
        <v>1.6500000000000001E-2</v>
      </c>
    </row>
    <row r="14" spans="1:45">
      <c r="A14" s="300" t="s">
        <v>460</v>
      </c>
      <c r="B14" s="39" t="s">
        <v>141</v>
      </c>
      <c r="C14" s="39" t="s">
        <v>137</v>
      </c>
      <c r="D14" s="39" t="s">
        <v>222</v>
      </c>
      <c r="E14" s="40">
        <f>+SEGMENTACION!C2+SEGMENTACION!C3</f>
        <v>15076.000000000002</v>
      </c>
      <c r="F14" s="65">
        <v>5.0000000000000001E-3</v>
      </c>
      <c r="G14" s="65">
        <f t="shared" ref="G14:J15" si="25">+F14+0.01%</f>
        <v>5.1000000000000004E-3</v>
      </c>
      <c r="H14" s="65">
        <f t="shared" si="25"/>
        <v>5.2000000000000006E-3</v>
      </c>
      <c r="I14" s="65">
        <f t="shared" si="25"/>
        <v>5.3000000000000009E-3</v>
      </c>
      <c r="J14" s="65">
        <f t="shared" si="25"/>
        <v>5.4000000000000012E-3</v>
      </c>
      <c r="K14" s="65">
        <f>+J14</f>
        <v>5.4000000000000012E-3</v>
      </c>
      <c r="L14" s="65">
        <f t="shared" ref="L14:Q15" si="26">+K14</f>
        <v>5.4000000000000012E-3</v>
      </c>
      <c r="M14" s="65">
        <f t="shared" si="26"/>
        <v>5.4000000000000012E-3</v>
      </c>
      <c r="N14" s="65">
        <f t="shared" si="26"/>
        <v>5.4000000000000012E-3</v>
      </c>
      <c r="O14" s="65">
        <f t="shared" si="26"/>
        <v>5.4000000000000012E-3</v>
      </c>
      <c r="P14" s="65">
        <f t="shared" si="26"/>
        <v>5.4000000000000012E-3</v>
      </c>
      <c r="Q14" s="65">
        <f t="shared" si="26"/>
        <v>5.4000000000000012E-3</v>
      </c>
      <c r="R14" s="65">
        <f t="shared" ref="R14:R15" si="27">+Q14</f>
        <v>5.4000000000000012E-3</v>
      </c>
      <c r="S14" s="65">
        <f t="shared" ref="S14:S15" si="28">+R14</f>
        <v>5.4000000000000012E-3</v>
      </c>
      <c r="T14" s="65">
        <f t="shared" ref="T14:T15" si="29">+S14</f>
        <v>5.4000000000000012E-3</v>
      </c>
      <c r="U14" s="65">
        <f t="shared" ref="U14:U15" si="30">+T14</f>
        <v>5.4000000000000012E-3</v>
      </c>
      <c r="V14" s="65">
        <f t="shared" ref="V14:V15" si="31">+U14</f>
        <v>5.4000000000000012E-3</v>
      </c>
      <c r="W14" s="65">
        <f t="shared" ref="W14:W15" si="32">+V14</f>
        <v>5.4000000000000012E-3</v>
      </c>
      <c r="X14" s="65">
        <f t="shared" ref="X14:X15" si="33">+W14</f>
        <v>5.4000000000000012E-3</v>
      </c>
      <c r="Y14" s="65">
        <f t="shared" ref="Y14:Y15" si="34">+X14</f>
        <v>5.4000000000000012E-3</v>
      </c>
      <c r="Z14" s="65">
        <f t="shared" ref="Z14:Z15" si="35">+Y14</f>
        <v>5.4000000000000012E-3</v>
      </c>
      <c r="AA14" s="65">
        <f t="shared" ref="AA14:AA15" si="36">+Z14</f>
        <v>5.4000000000000012E-3</v>
      </c>
      <c r="AB14" s="65">
        <f t="shared" ref="AB14:AB15" si="37">+AA14</f>
        <v>5.4000000000000012E-3</v>
      </c>
      <c r="AC14" s="65">
        <f t="shared" ref="AC14:AC15" si="38">+AB14</f>
        <v>5.4000000000000012E-3</v>
      </c>
      <c r="AD14" s="65">
        <f t="shared" ref="AD14:AD15" si="39">+AC14</f>
        <v>5.4000000000000012E-3</v>
      </c>
      <c r="AE14" s="65">
        <f t="shared" ref="AE14:AE15" si="40">+AD14</f>
        <v>5.4000000000000012E-3</v>
      </c>
      <c r="AF14" s="65">
        <f t="shared" ref="AF14:AF15" si="41">+AE14</f>
        <v>5.4000000000000012E-3</v>
      </c>
      <c r="AG14" s="65">
        <f t="shared" ref="AG14:AG15" si="42">+AF14</f>
        <v>5.4000000000000012E-3</v>
      </c>
      <c r="AH14" s="65">
        <f t="shared" ref="AH14:AH15" si="43">+AG14</f>
        <v>5.4000000000000012E-3</v>
      </c>
      <c r="AI14" s="65">
        <f t="shared" ref="AI14:AI15" si="44">+AH14</f>
        <v>5.4000000000000012E-3</v>
      </c>
      <c r="AJ14" s="65">
        <f t="shared" ref="AJ14:AJ15" si="45">+AI14</f>
        <v>5.4000000000000012E-3</v>
      </c>
      <c r="AK14" s="65">
        <f t="shared" ref="AK14:AK15" si="46">+AJ14</f>
        <v>5.4000000000000012E-3</v>
      </c>
      <c r="AL14" s="65">
        <f t="shared" ref="AL14:AL15" si="47">+AK14</f>
        <v>5.4000000000000012E-3</v>
      </c>
      <c r="AM14" s="65">
        <f t="shared" ref="AM14:AM15" si="48">+AL14</f>
        <v>5.4000000000000012E-3</v>
      </c>
      <c r="AN14" s="65">
        <f t="shared" ref="AN14:AN15" si="49">+AM14</f>
        <v>5.4000000000000012E-3</v>
      </c>
      <c r="AO14" s="65">
        <f t="shared" ref="AO14:AO15" si="50">+AN14</f>
        <v>5.4000000000000012E-3</v>
      </c>
      <c r="AP14" s="65">
        <f t="shared" ref="AP14:AP15" si="51">+AO14</f>
        <v>5.4000000000000012E-3</v>
      </c>
      <c r="AQ14" s="65">
        <f t="shared" ref="AQ14:AQ15" si="52">+AP14</f>
        <v>5.4000000000000012E-3</v>
      </c>
      <c r="AR14" s="65">
        <f t="shared" ref="AR14:AR15" si="53">+AQ14</f>
        <v>5.4000000000000012E-3</v>
      </c>
      <c r="AS14" s="65">
        <f t="shared" ref="AS14:AS15" si="54">+AR14</f>
        <v>5.4000000000000012E-3</v>
      </c>
    </row>
    <row r="15" spans="1:45">
      <c r="A15" s="300" t="s">
        <v>460</v>
      </c>
      <c r="B15" s="39" t="s">
        <v>142</v>
      </c>
      <c r="C15" s="39" t="s">
        <v>137</v>
      </c>
      <c r="D15" s="39" t="s">
        <v>143</v>
      </c>
      <c r="E15" s="40">
        <f>+SEGMENTACION!C6+SEGMENTACION!C7</f>
        <v>19367.400000000001</v>
      </c>
      <c r="F15" s="65">
        <v>7.0000000000000001E-3</v>
      </c>
      <c r="G15" s="65">
        <f t="shared" si="25"/>
        <v>7.1000000000000004E-3</v>
      </c>
      <c r="H15" s="65">
        <f t="shared" si="25"/>
        <v>7.2000000000000007E-3</v>
      </c>
      <c r="I15" s="65">
        <f t="shared" si="25"/>
        <v>7.3000000000000009E-3</v>
      </c>
      <c r="J15" s="65">
        <f t="shared" si="25"/>
        <v>7.4000000000000012E-3</v>
      </c>
      <c r="K15" s="65">
        <f>+J15</f>
        <v>7.4000000000000012E-3</v>
      </c>
      <c r="L15" s="65">
        <f t="shared" si="26"/>
        <v>7.4000000000000012E-3</v>
      </c>
      <c r="M15" s="65">
        <f t="shared" si="26"/>
        <v>7.4000000000000012E-3</v>
      </c>
      <c r="N15" s="65">
        <f t="shared" si="26"/>
        <v>7.4000000000000012E-3</v>
      </c>
      <c r="O15" s="65">
        <f t="shared" si="26"/>
        <v>7.4000000000000012E-3</v>
      </c>
      <c r="P15" s="65">
        <f t="shared" si="26"/>
        <v>7.4000000000000012E-3</v>
      </c>
      <c r="Q15" s="65">
        <f t="shared" si="26"/>
        <v>7.4000000000000012E-3</v>
      </c>
      <c r="R15" s="65">
        <f t="shared" si="27"/>
        <v>7.4000000000000012E-3</v>
      </c>
      <c r="S15" s="65">
        <f t="shared" si="28"/>
        <v>7.4000000000000012E-3</v>
      </c>
      <c r="T15" s="65">
        <f t="shared" si="29"/>
        <v>7.4000000000000012E-3</v>
      </c>
      <c r="U15" s="65">
        <f t="shared" si="30"/>
        <v>7.4000000000000012E-3</v>
      </c>
      <c r="V15" s="65">
        <f t="shared" si="31"/>
        <v>7.4000000000000012E-3</v>
      </c>
      <c r="W15" s="65">
        <f t="shared" si="32"/>
        <v>7.4000000000000012E-3</v>
      </c>
      <c r="X15" s="65">
        <f t="shared" si="33"/>
        <v>7.4000000000000012E-3</v>
      </c>
      <c r="Y15" s="65">
        <f t="shared" si="34"/>
        <v>7.4000000000000012E-3</v>
      </c>
      <c r="Z15" s="65">
        <f t="shared" si="35"/>
        <v>7.4000000000000012E-3</v>
      </c>
      <c r="AA15" s="65">
        <f t="shared" si="36"/>
        <v>7.4000000000000012E-3</v>
      </c>
      <c r="AB15" s="65">
        <f t="shared" si="37"/>
        <v>7.4000000000000012E-3</v>
      </c>
      <c r="AC15" s="65">
        <f t="shared" si="38"/>
        <v>7.4000000000000012E-3</v>
      </c>
      <c r="AD15" s="65">
        <f t="shared" si="39"/>
        <v>7.4000000000000012E-3</v>
      </c>
      <c r="AE15" s="65">
        <f t="shared" si="40"/>
        <v>7.4000000000000012E-3</v>
      </c>
      <c r="AF15" s="65">
        <f t="shared" si="41"/>
        <v>7.4000000000000012E-3</v>
      </c>
      <c r="AG15" s="65">
        <f t="shared" si="42"/>
        <v>7.4000000000000012E-3</v>
      </c>
      <c r="AH15" s="65">
        <f t="shared" si="43"/>
        <v>7.4000000000000012E-3</v>
      </c>
      <c r="AI15" s="65">
        <f t="shared" si="44"/>
        <v>7.4000000000000012E-3</v>
      </c>
      <c r="AJ15" s="65">
        <f t="shared" si="45"/>
        <v>7.4000000000000012E-3</v>
      </c>
      <c r="AK15" s="65">
        <f t="shared" si="46"/>
        <v>7.4000000000000012E-3</v>
      </c>
      <c r="AL15" s="65">
        <f t="shared" si="47"/>
        <v>7.4000000000000012E-3</v>
      </c>
      <c r="AM15" s="65">
        <f t="shared" si="48"/>
        <v>7.4000000000000012E-3</v>
      </c>
      <c r="AN15" s="65">
        <f t="shared" si="49"/>
        <v>7.4000000000000012E-3</v>
      </c>
      <c r="AO15" s="65">
        <f t="shared" si="50"/>
        <v>7.4000000000000012E-3</v>
      </c>
      <c r="AP15" s="65">
        <f t="shared" si="51"/>
        <v>7.4000000000000012E-3</v>
      </c>
      <c r="AQ15" s="65">
        <f t="shared" si="52"/>
        <v>7.4000000000000012E-3</v>
      </c>
      <c r="AR15" s="65">
        <f t="shared" si="53"/>
        <v>7.4000000000000012E-3</v>
      </c>
      <c r="AS15" s="65">
        <f t="shared" si="54"/>
        <v>7.4000000000000012E-3</v>
      </c>
    </row>
    <row r="16" spans="1:45">
      <c r="B16" s="69" t="s">
        <v>145</v>
      </c>
      <c r="C16" s="38" t="s">
        <v>115</v>
      </c>
      <c r="D16" s="38" t="s">
        <v>146</v>
      </c>
      <c r="E16" s="38" t="s">
        <v>147</v>
      </c>
      <c r="F16" s="64" t="s">
        <v>118</v>
      </c>
      <c r="G16" s="64" t="s">
        <v>119</v>
      </c>
      <c r="H16" s="64" t="s">
        <v>120</v>
      </c>
      <c r="I16" s="64" t="s">
        <v>121</v>
      </c>
      <c r="J16" s="64" t="s">
        <v>122</v>
      </c>
      <c r="K16" s="64" t="s">
        <v>123</v>
      </c>
      <c r="L16" s="64" t="s">
        <v>124</v>
      </c>
      <c r="M16" s="64" t="s">
        <v>125</v>
      </c>
      <c r="N16" s="64" t="s">
        <v>126</v>
      </c>
      <c r="O16" s="64" t="s">
        <v>127</v>
      </c>
      <c r="P16" s="64" t="s">
        <v>128</v>
      </c>
      <c r="Q16" s="64" t="s">
        <v>193</v>
      </c>
      <c r="R16" s="64" t="s">
        <v>194</v>
      </c>
      <c r="S16" s="64" t="s">
        <v>195</v>
      </c>
      <c r="T16" s="64" t="s">
        <v>196</v>
      </c>
      <c r="U16" s="64" t="s">
        <v>197</v>
      </c>
      <c r="V16" s="64" t="s">
        <v>198</v>
      </c>
      <c r="W16" s="64" t="s">
        <v>199</v>
      </c>
      <c r="X16" s="64" t="s">
        <v>200</v>
      </c>
      <c r="Y16" s="64" t="s">
        <v>201</v>
      </c>
      <c r="Z16" s="64" t="s">
        <v>202</v>
      </c>
      <c r="AA16" s="64" t="s">
        <v>203</v>
      </c>
      <c r="AB16" s="64" t="s">
        <v>204</v>
      </c>
      <c r="AC16" s="64" t="s">
        <v>205</v>
      </c>
      <c r="AD16" s="64" t="s">
        <v>206</v>
      </c>
      <c r="AE16" s="64" t="s">
        <v>207</v>
      </c>
      <c r="AF16" s="64" t="s">
        <v>208</v>
      </c>
      <c r="AG16" s="64" t="s">
        <v>209</v>
      </c>
      <c r="AH16" s="64" t="s">
        <v>210</v>
      </c>
      <c r="AI16" s="64" t="s">
        <v>211</v>
      </c>
      <c r="AJ16" s="64" t="s">
        <v>212</v>
      </c>
      <c r="AK16" s="64" t="s">
        <v>213</v>
      </c>
      <c r="AL16" s="64" t="s">
        <v>214</v>
      </c>
      <c r="AM16" s="64" t="s">
        <v>215</v>
      </c>
      <c r="AN16" s="64" t="s">
        <v>216</v>
      </c>
      <c r="AO16" s="64" t="s">
        <v>217</v>
      </c>
      <c r="AP16" s="64" t="s">
        <v>218</v>
      </c>
      <c r="AQ16" s="64" t="s">
        <v>219</v>
      </c>
      <c r="AR16" s="64" t="s">
        <v>220</v>
      </c>
      <c r="AS16" s="64" t="s">
        <v>221</v>
      </c>
    </row>
    <row r="17" spans="1:45" ht="16.5" customHeight="1">
      <c r="A17" s="300" t="s">
        <v>460</v>
      </c>
      <c r="B17" s="39" t="s">
        <v>379</v>
      </c>
      <c r="C17" s="39" t="s">
        <v>137</v>
      </c>
      <c r="D17" s="39" t="s">
        <v>149</v>
      </c>
      <c r="E17" s="62">
        <f>'VENTAS 2014'!D37+'VENTAS 2014'!D38+'VENTAS 2014'!D44+'VENTAS 2014'!D46+'VENTAS 2014'!D43</f>
        <v>43030.822498259571</v>
      </c>
      <c r="F17" s="66">
        <v>1.05</v>
      </c>
      <c r="G17" s="66">
        <f>+F17+5%</f>
        <v>1.1000000000000001</v>
      </c>
      <c r="H17" s="66">
        <f t="shared" ref="H17:I19" si="55">+G17+5%</f>
        <v>1.1500000000000001</v>
      </c>
      <c r="I17" s="66">
        <f t="shared" si="55"/>
        <v>1.2000000000000002</v>
      </c>
      <c r="J17" s="66">
        <f>+I17+5%</f>
        <v>1.2500000000000002</v>
      </c>
      <c r="K17" s="66">
        <f>+J17+3%</f>
        <v>1.2800000000000002</v>
      </c>
      <c r="L17" s="66">
        <f t="shared" ref="L17:O19" si="56">+K17+3%</f>
        <v>1.3100000000000003</v>
      </c>
      <c r="M17" s="66">
        <f t="shared" si="56"/>
        <v>1.3400000000000003</v>
      </c>
      <c r="N17" s="66">
        <f t="shared" si="56"/>
        <v>1.3700000000000003</v>
      </c>
      <c r="O17" s="66">
        <f t="shared" si="56"/>
        <v>1.4000000000000004</v>
      </c>
      <c r="P17" s="66">
        <f>+O17+1%</f>
        <v>1.4100000000000004</v>
      </c>
      <c r="Q17" s="66">
        <f t="shared" ref="Q17:Y19" si="57">+P17+1%</f>
        <v>1.4200000000000004</v>
      </c>
      <c r="R17" s="66">
        <f t="shared" si="57"/>
        <v>1.4300000000000004</v>
      </c>
      <c r="S17" s="66">
        <f t="shared" si="57"/>
        <v>1.4400000000000004</v>
      </c>
      <c r="T17" s="66">
        <f t="shared" si="57"/>
        <v>1.4500000000000004</v>
      </c>
      <c r="U17" s="66">
        <f t="shared" si="57"/>
        <v>1.4600000000000004</v>
      </c>
      <c r="V17" s="66">
        <f t="shared" si="57"/>
        <v>1.4700000000000004</v>
      </c>
      <c r="W17" s="66">
        <f t="shared" si="57"/>
        <v>1.4800000000000004</v>
      </c>
      <c r="X17" s="66">
        <f t="shared" si="57"/>
        <v>1.4900000000000004</v>
      </c>
      <c r="Y17" s="66">
        <f t="shared" si="57"/>
        <v>1.5000000000000004</v>
      </c>
      <c r="Z17" s="66">
        <f>+Y17+0.5%</f>
        <v>1.5050000000000003</v>
      </c>
      <c r="AA17" s="66">
        <f t="shared" ref="AA17:AS19" si="58">+Z17+0.5%</f>
        <v>1.5100000000000002</v>
      </c>
      <c r="AB17" s="66">
        <f t="shared" si="58"/>
        <v>1.5150000000000001</v>
      </c>
      <c r="AC17" s="66">
        <f t="shared" si="58"/>
        <v>1.52</v>
      </c>
      <c r="AD17" s="66">
        <f t="shared" si="58"/>
        <v>1.5249999999999999</v>
      </c>
      <c r="AE17" s="66">
        <f t="shared" si="58"/>
        <v>1.5299999999999998</v>
      </c>
      <c r="AF17" s="66">
        <f t="shared" si="58"/>
        <v>1.5349999999999997</v>
      </c>
      <c r="AG17" s="66">
        <f t="shared" si="58"/>
        <v>1.5399999999999996</v>
      </c>
      <c r="AH17" s="66">
        <f t="shared" si="58"/>
        <v>1.5449999999999995</v>
      </c>
      <c r="AI17" s="66">
        <f t="shared" si="58"/>
        <v>1.5499999999999994</v>
      </c>
      <c r="AJ17" s="66">
        <f t="shared" si="58"/>
        <v>1.5549999999999993</v>
      </c>
      <c r="AK17" s="66">
        <f t="shared" si="58"/>
        <v>1.5599999999999992</v>
      </c>
      <c r="AL17" s="66">
        <f t="shared" si="58"/>
        <v>1.5649999999999991</v>
      </c>
      <c r="AM17" s="66">
        <f t="shared" si="58"/>
        <v>1.569999999999999</v>
      </c>
      <c r="AN17" s="66">
        <f t="shared" si="58"/>
        <v>1.5749999999999988</v>
      </c>
      <c r="AO17" s="66">
        <f t="shared" si="58"/>
        <v>1.5799999999999987</v>
      </c>
      <c r="AP17" s="66">
        <f t="shared" si="58"/>
        <v>1.5849999999999986</v>
      </c>
      <c r="AQ17" s="66">
        <f t="shared" si="58"/>
        <v>1.5899999999999985</v>
      </c>
      <c r="AR17" s="66">
        <f t="shared" si="58"/>
        <v>1.5949999999999984</v>
      </c>
      <c r="AS17" s="66">
        <f t="shared" si="58"/>
        <v>1.5999999999999983</v>
      </c>
    </row>
    <row r="18" spans="1:45">
      <c r="A18" s="300" t="s">
        <v>460</v>
      </c>
      <c r="B18" s="39" t="s">
        <v>150</v>
      </c>
      <c r="C18" s="39" t="s">
        <v>137</v>
      </c>
      <c r="D18" s="39" t="s">
        <v>151</v>
      </c>
      <c r="E18" s="62">
        <f>'VENTAS 2014'!D41+'VENTAS 2014'!D45+'VENTAS 2014'!D47</f>
        <v>6165.294250503357</v>
      </c>
      <c r="F18" s="66">
        <v>1.1000000000000001</v>
      </c>
      <c r="G18" s="66">
        <f t="shared" ref="G18:J18" si="59">+F18+2%</f>
        <v>1.1200000000000001</v>
      </c>
      <c r="H18" s="66">
        <f t="shared" si="59"/>
        <v>1.1400000000000001</v>
      </c>
      <c r="I18" s="66">
        <f t="shared" si="59"/>
        <v>1.1600000000000001</v>
      </c>
      <c r="J18" s="66">
        <f t="shared" si="59"/>
        <v>1.1800000000000002</v>
      </c>
      <c r="K18" s="66">
        <f>+J18+1%</f>
        <v>1.1900000000000002</v>
      </c>
      <c r="L18" s="66">
        <f t="shared" ref="L18:P18" si="60">+K18+1%</f>
        <v>1.2000000000000002</v>
      </c>
      <c r="M18" s="66">
        <f t="shared" si="60"/>
        <v>1.2100000000000002</v>
      </c>
      <c r="N18" s="66">
        <f t="shared" si="60"/>
        <v>1.2200000000000002</v>
      </c>
      <c r="O18" s="66">
        <f t="shared" si="60"/>
        <v>1.2300000000000002</v>
      </c>
      <c r="P18" s="66">
        <f t="shared" si="60"/>
        <v>1.2400000000000002</v>
      </c>
      <c r="Q18" s="66">
        <f t="shared" ref="Q18" si="61">+P18+1%</f>
        <v>1.2500000000000002</v>
      </c>
      <c r="R18" s="66">
        <f t="shared" ref="R18" si="62">+Q18+1%</f>
        <v>1.2600000000000002</v>
      </c>
      <c r="S18" s="66">
        <f t="shared" ref="S18" si="63">+R18+1%</f>
        <v>1.2700000000000002</v>
      </c>
      <c r="T18" s="66">
        <f t="shared" ref="T18" si="64">+S18+1%</f>
        <v>1.2800000000000002</v>
      </c>
      <c r="U18" s="66">
        <f t="shared" ref="U18" si="65">+T18+1%</f>
        <v>1.2900000000000003</v>
      </c>
      <c r="V18" s="66">
        <f t="shared" ref="V18" si="66">+U18+1%</f>
        <v>1.3000000000000003</v>
      </c>
      <c r="W18" s="66">
        <f t="shared" ref="W18" si="67">+V18+1%</f>
        <v>1.3100000000000003</v>
      </c>
      <c r="X18" s="66">
        <f t="shared" ref="X18" si="68">+W18+1%</f>
        <v>1.3200000000000003</v>
      </c>
      <c r="Y18" s="66">
        <f t="shared" ref="Y18" si="69">+X18+1%</f>
        <v>1.3300000000000003</v>
      </c>
      <c r="Z18" s="66">
        <f t="shared" ref="Z18" si="70">+Y18+1%</f>
        <v>1.3400000000000003</v>
      </c>
      <c r="AA18" s="66">
        <f t="shared" ref="AA18" si="71">+Z18+1%</f>
        <v>1.3500000000000003</v>
      </c>
      <c r="AB18" s="66">
        <f t="shared" ref="AB18" si="72">+AA18+1%</f>
        <v>1.3600000000000003</v>
      </c>
      <c r="AC18" s="66">
        <f t="shared" ref="AC18" si="73">+AB18+1%</f>
        <v>1.3700000000000003</v>
      </c>
      <c r="AD18" s="66">
        <f t="shared" ref="AD18" si="74">+AC18+1%</f>
        <v>1.3800000000000003</v>
      </c>
      <c r="AE18" s="66">
        <f t="shared" ref="AE18" si="75">+AD18+1%</f>
        <v>1.3900000000000003</v>
      </c>
      <c r="AF18" s="66">
        <f t="shared" ref="AF18" si="76">+AE18+1%</f>
        <v>1.4000000000000004</v>
      </c>
      <c r="AG18" s="66">
        <f t="shared" ref="AG18" si="77">+AF18+1%</f>
        <v>1.4100000000000004</v>
      </c>
      <c r="AH18" s="66">
        <f t="shared" ref="AH18" si="78">+AG18+1%</f>
        <v>1.4200000000000004</v>
      </c>
      <c r="AI18" s="66">
        <f t="shared" ref="AI18" si="79">+AH18+1%</f>
        <v>1.4300000000000004</v>
      </c>
      <c r="AJ18" s="66">
        <f t="shared" ref="AJ18" si="80">+AI18+1%</f>
        <v>1.4400000000000004</v>
      </c>
      <c r="AK18" s="66">
        <f t="shared" ref="AK18" si="81">+AJ18+1%</f>
        <v>1.4500000000000004</v>
      </c>
      <c r="AL18" s="66">
        <f t="shared" ref="AL18" si="82">+AK18+1%</f>
        <v>1.4600000000000004</v>
      </c>
      <c r="AM18" s="66">
        <f t="shared" ref="AM18" si="83">+AL18+1%</f>
        <v>1.4700000000000004</v>
      </c>
      <c r="AN18" s="66">
        <f t="shared" ref="AN18" si="84">+AM18+1%</f>
        <v>1.4800000000000004</v>
      </c>
      <c r="AO18" s="66">
        <f t="shared" ref="AO18" si="85">+AN18+1%</f>
        <v>1.4900000000000004</v>
      </c>
      <c r="AP18" s="66">
        <f t="shared" ref="AP18" si="86">+AO18+1%</f>
        <v>1.5000000000000004</v>
      </c>
      <c r="AQ18" s="66">
        <f t="shared" ref="AQ18" si="87">+AP18+1%</f>
        <v>1.5100000000000005</v>
      </c>
      <c r="AR18" s="66">
        <f t="shared" ref="AR18" si="88">+AQ18+1%</f>
        <v>1.5200000000000005</v>
      </c>
      <c r="AS18" s="66">
        <f t="shared" ref="AS18" si="89">+AR18+1%</f>
        <v>1.5300000000000005</v>
      </c>
    </row>
    <row r="19" spans="1:45">
      <c r="A19" s="300" t="s">
        <v>460</v>
      </c>
      <c r="B19" s="39" t="s">
        <v>152</v>
      </c>
      <c r="C19" s="39" t="s">
        <v>137</v>
      </c>
      <c r="D19" s="39" t="s">
        <v>131</v>
      </c>
      <c r="E19" s="63">
        <f>'VENTAS 2014'!D39+'VENTAS 2014'!D40+'VENTAS 2014'!D42</f>
        <v>78565.343251237064</v>
      </c>
      <c r="F19" s="66">
        <v>1.05</v>
      </c>
      <c r="G19" s="66">
        <f>+F19+5%</f>
        <v>1.1000000000000001</v>
      </c>
      <c r="H19" s="66">
        <f t="shared" si="55"/>
        <v>1.1500000000000001</v>
      </c>
      <c r="I19" s="66">
        <f t="shared" si="55"/>
        <v>1.2000000000000002</v>
      </c>
      <c r="J19" s="66">
        <f>+I19+5%</f>
        <v>1.2500000000000002</v>
      </c>
      <c r="K19" s="66">
        <f>+J19+3%</f>
        <v>1.2800000000000002</v>
      </c>
      <c r="L19" s="66">
        <f t="shared" si="56"/>
        <v>1.3100000000000003</v>
      </c>
      <c r="M19" s="66">
        <f t="shared" si="56"/>
        <v>1.3400000000000003</v>
      </c>
      <c r="N19" s="66">
        <f t="shared" si="56"/>
        <v>1.3700000000000003</v>
      </c>
      <c r="O19" s="66">
        <f t="shared" si="56"/>
        <v>1.4000000000000004</v>
      </c>
      <c r="P19" s="66">
        <f>+O19+1%</f>
        <v>1.4100000000000004</v>
      </c>
      <c r="Q19" s="66">
        <f t="shared" si="57"/>
        <v>1.4200000000000004</v>
      </c>
      <c r="R19" s="66">
        <f t="shared" si="57"/>
        <v>1.4300000000000004</v>
      </c>
      <c r="S19" s="66">
        <f t="shared" si="57"/>
        <v>1.4400000000000004</v>
      </c>
      <c r="T19" s="66">
        <f t="shared" si="57"/>
        <v>1.4500000000000004</v>
      </c>
      <c r="U19" s="66">
        <f t="shared" si="57"/>
        <v>1.4600000000000004</v>
      </c>
      <c r="V19" s="66">
        <f t="shared" si="57"/>
        <v>1.4700000000000004</v>
      </c>
      <c r="W19" s="66">
        <f t="shared" si="57"/>
        <v>1.4800000000000004</v>
      </c>
      <c r="X19" s="66">
        <f t="shared" si="57"/>
        <v>1.4900000000000004</v>
      </c>
      <c r="Y19" s="66">
        <f t="shared" si="57"/>
        <v>1.5000000000000004</v>
      </c>
      <c r="Z19" s="66">
        <f>+Y19+0.5%</f>
        <v>1.5050000000000003</v>
      </c>
      <c r="AA19" s="66">
        <f t="shared" si="58"/>
        <v>1.5100000000000002</v>
      </c>
      <c r="AB19" s="66">
        <f t="shared" si="58"/>
        <v>1.5150000000000001</v>
      </c>
      <c r="AC19" s="66">
        <f t="shared" si="58"/>
        <v>1.52</v>
      </c>
      <c r="AD19" s="66">
        <f t="shared" si="58"/>
        <v>1.5249999999999999</v>
      </c>
      <c r="AE19" s="66">
        <f t="shared" si="58"/>
        <v>1.5299999999999998</v>
      </c>
      <c r="AF19" s="66">
        <f t="shared" si="58"/>
        <v>1.5349999999999997</v>
      </c>
      <c r="AG19" s="66">
        <f t="shared" si="58"/>
        <v>1.5399999999999996</v>
      </c>
      <c r="AH19" s="66">
        <f t="shared" si="58"/>
        <v>1.5449999999999995</v>
      </c>
      <c r="AI19" s="66">
        <f t="shared" si="58"/>
        <v>1.5499999999999994</v>
      </c>
      <c r="AJ19" s="66">
        <f t="shared" si="58"/>
        <v>1.5549999999999993</v>
      </c>
      <c r="AK19" s="66">
        <f t="shared" si="58"/>
        <v>1.5599999999999992</v>
      </c>
      <c r="AL19" s="66">
        <f t="shared" si="58"/>
        <v>1.5649999999999991</v>
      </c>
      <c r="AM19" s="66">
        <f t="shared" si="58"/>
        <v>1.569999999999999</v>
      </c>
      <c r="AN19" s="66">
        <f t="shared" si="58"/>
        <v>1.5749999999999988</v>
      </c>
      <c r="AO19" s="66">
        <f t="shared" si="58"/>
        <v>1.5799999999999987</v>
      </c>
      <c r="AP19" s="66">
        <f t="shared" si="58"/>
        <v>1.5849999999999986</v>
      </c>
      <c r="AQ19" s="66">
        <f t="shared" si="58"/>
        <v>1.5899999999999985</v>
      </c>
      <c r="AR19" s="66">
        <f t="shared" si="58"/>
        <v>1.5949999999999984</v>
      </c>
      <c r="AS19" s="66">
        <f t="shared" si="58"/>
        <v>1.5999999999999983</v>
      </c>
    </row>
    <row r="20" spans="1:45">
      <c r="A20" s="300" t="s">
        <v>460</v>
      </c>
      <c r="B20" s="39" t="s">
        <v>153</v>
      </c>
      <c r="C20" s="39" t="s">
        <v>137</v>
      </c>
      <c r="D20" s="39" t="s">
        <v>154</v>
      </c>
      <c r="E20" s="63">
        <v>200000</v>
      </c>
      <c r="F20" s="66">
        <v>1</v>
      </c>
      <c r="G20" s="66">
        <v>1</v>
      </c>
      <c r="H20" s="66">
        <v>1</v>
      </c>
      <c r="I20" s="66">
        <v>1</v>
      </c>
      <c r="J20" s="66">
        <v>1</v>
      </c>
      <c r="K20" s="66">
        <v>1</v>
      </c>
      <c r="L20" s="66">
        <v>1</v>
      </c>
      <c r="M20" s="66">
        <v>1</v>
      </c>
      <c r="N20" s="66">
        <v>1</v>
      </c>
      <c r="O20" s="66">
        <v>1</v>
      </c>
      <c r="P20" s="66">
        <v>1</v>
      </c>
      <c r="Q20" s="66">
        <v>1</v>
      </c>
      <c r="R20" s="66">
        <v>1</v>
      </c>
      <c r="S20" s="66">
        <v>1</v>
      </c>
      <c r="T20" s="66">
        <v>1</v>
      </c>
      <c r="U20" s="66">
        <v>1</v>
      </c>
      <c r="V20" s="66">
        <v>1</v>
      </c>
      <c r="W20" s="66">
        <v>1</v>
      </c>
      <c r="X20" s="66">
        <v>1</v>
      </c>
      <c r="Y20" s="66">
        <v>1</v>
      </c>
      <c r="Z20" s="66">
        <v>1</v>
      </c>
      <c r="AA20" s="66">
        <v>1</v>
      </c>
      <c r="AB20" s="66">
        <v>1</v>
      </c>
      <c r="AC20" s="66">
        <v>1</v>
      </c>
      <c r="AD20" s="66">
        <v>1</v>
      </c>
      <c r="AE20" s="66">
        <v>1</v>
      </c>
      <c r="AF20" s="66">
        <v>1</v>
      </c>
      <c r="AG20" s="66">
        <v>1</v>
      </c>
      <c r="AH20" s="66">
        <v>1</v>
      </c>
      <c r="AI20" s="66">
        <v>1</v>
      </c>
      <c r="AJ20" s="66">
        <v>1</v>
      </c>
      <c r="AK20" s="66">
        <v>1</v>
      </c>
      <c r="AL20" s="66">
        <v>1</v>
      </c>
      <c r="AM20" s="66">
        <v>1</v>
      </c>
      <c r="AN20" s="66">
        <v>1</v>
      </c>
      <c r="AO20" s="66">
        <v>1</v>
      </c>
      <c r="AP20" s="66">
        <v>1</v>
      </c>
      <c r="AQ20" s="66">
        <v>1</v>
      </c>
      <c r="AR20" s="66">
        <v>1</v>
      </c>
      <c r="AS20" s="66">
        <v>1</v>
      </c>
    </row>
    <row r="21" spans="1:45">
      <c r="A21" s="300" t="s">
        <v>460</v>
      </c>
      <c r="B21" s="39" t="s">
        <v>188</v>
      </c>
      <c r="C21" s="39" t="s">
        <v>156</v>
      </c>
      <c r="D21" s="39" t="s">
        <v>183</v>
      </c>
      <c r="E21" s="63">
        <v>35000</v>
      </c>
      <c r="F21" s="66">
        <v>1</v>
      </c>
      <c r="G21" s="66">
        <f>+F21+5%</f>
        <v>1.05</v>
      </c>
      <c r="H21" s="66">
        <f t="shared" ref="H21:J21" si="90">+G21+5%</f>
        <v>1.1000000000000001</v>
      </c>
      <c r="I21" s="66">
        <f t="shared" si="90"/>
        <v>1.1500000000000001</v>
      </c>
      <c r="J21" s="66">
        <f t="shared" si="90"/>
        <v>1.2000000000000002</v>
      </c>
      <c r="K21" s="66">
        <f>+J21+1%</f>
        <v>1.2100000000000002</v>
      </c>
      <c r="L21" s="66">
        <f t="shared" ref="L21:N21" si="91">+K21+1%</f>
        <v>1.2200000000000002</v>
      </c>
      <c r="M21" s="66">
        <f t="shared" si="91"/>
        <v>1.2300000000000002</v>
      </c>
      <c r="N21" s="66">
        <f t="shared" si="91"/>
        <v>1.2400000000000002</v>
      </c>
      <c r="O21" s="66">
        <f t="shared" ref="O21" si="92">+N21+1%</f>
        <v>1.2500000000000002</v>
      </c>
      <c r="P21" s="66">
        <f t="shared" ref="P21" si="93">+O21+1%</f>
        <v>1.2600000000000002</v>
      </c>
      <c r="Q21" s="66">
        <f t="shared" ref="Q21" si="94">+P21+1%</f>
        <v>1.2700000000000002</v>
      </c>
      <c r="R21" s="66">
        <f t="shared" ref="R21" si="95">+Q21+1%</f>
        <v>1.2800000000000002</v>
      </c>
      <c r="S21" s="66">
        <f t="shared" ref="S21" si="96">+R21+1%</f>
        <v>1.2900000000000003</v>
      </c>
      <c r="T21" s="66">
        <f t="shared" ref="T21" si="97">+S21+1%</f>
        <v>1.3000000000000003</v>
      </c>
      <c r="U21" s="66">
        <f t="shared" ref="U21" si="98">+T21+1%</f>
        <v>1.3100000000000003</v>
      </c>
      <c r="V21" s="66">
        <f t="shared" ref="V21" si="99">+U21+1%</f>
        <v>1.3200000000000003</v>
      </c>
      <c r="W21" s="66">
        <f t="shared" ref="W21" si="100">+V21+1%</f>
        <v>1.3300000000000003</v>
      </c>
      <c r="X21" s="66">
        <f t="shared" ref="X21" si="101">+W21+1%</f>
        <v>1.3400000000000003</v>
      </c>
      <c r="Y21" s="66">
        <f t="shared" ref="Y21" si="102">+X21+1%</f>
        <v>1.3500000000000003</v>
      </c>
      <c r="Z21" s="66">
        <f t="shared" ref="Z21" si="103">+Y21+1%</f>
        <v>1.3600000000000003</v>
      </c>
      <c r="AA21" s="66">
        <f t="shared" ref="AA21" si="104">+Z21+1%</f>
        <v>1.3700000000000003</v>
      </c>
      <c r="AB21" s="66">
        <f t="shared" ref="AB21" si="105">+AA21+1%</f>
        <v>1.3800000000000003</v>
      </c>
      <c r="AC21" s="66">
        <f t="shared" ref="AC21" si="106">+AB21+1%</f>
        <v>1.3900000000000003</v>
      </c>
      <c r="AD21" s="66">
        <f t="shared" ref="AD21" si="107">+AC21+1%</f>
        <v>1.4000000000000004</v>
      </c>
      <c r="AE21" s="66">
        <f t="shared" ref="AE21" si="108">+AD21+1%</f>
        <v>1.4100000000000004</v>
      </c>
      <c r="AF21" s="66">
        <f t="shared" ref="AF21" si="109">+AE21+1%</f>
        <v>1.4200000000000004</v>
      </c>
      <c r="AG21" s="66">
        <f t="shared" ref="AG21" si="110">+AF21+1%</f>
        <v>1.4300000000000004</v>
      </c>
      <c r="AH21" s="66">
        <f t="shared" ref="AH21" si="111">+AG21+1%</f>
        <v>1.4400000000000004</v>
      </c>
      <c r="AI21" s="66">
        <f t="shared" ref="AI21" si="112">+AH21+1%</f>
        <v>1.4500000000000004</v>
      </c>
      <c r="AJ21" s="66">
        <f t="shared" ref="AJ21" si="113">+AI21+1%</f>
        <v>1.4600000000000004</v>
      </c>
      <c r="AK21" s="66">
        <f t="shared" ref="AK21" si="114">+AJ21+1%</f>
        <v>1.4700000000000004</v>
      </c>
      <c r="AL21" s="66">
        <f t="shared" ref="AL21" si="115">+AK21+1%</f>
        <v>1.4800000000000004</v>
      </c>
      <c r="AM21" s="66">
        <f t="shared" ref="AM21" si="116">+AL21+1%</f>
        <v>1.4900000000000004</v>
      </c>
      <c r="AN21" s="66">
        <f t="shared" ref="AN21" si="117">+AM21+1%</f>
        <v>1.5000000000000004</v>
      </c>
      <c r="AO21" s="66">
        <f t="shared" ref="AO21" si="118">+AN21+1%</f>
        <v>1.5100000000000005</v>
      </c>
      <c r="AP21" s="66">
        <f t="shared" ref="AP21" si="119">+AO21+1%</f>
        <v>1.5200000000000005</v>
      </c>
      <c r="AQ21" s="66">
        <f t="shared" ref="AQ21" si="120">+AP21+1%</f>
        <v>1.5300000000000005</v>
      </c>
      <c r="AR21" s="66">
        <f t="shared" ref="AR21" si="121">+AQ21+1%</f>
        <v>1.5400000000000005</v>
      </c>
      <c r="AS21" s="66">
        <f t="shared" ref="AS21" si="122">+AR21+1%</f>
        <v>1.5500000000000005</v>
      </c>
    </row>
    <row r="22" spans="1:45">
      <c r="B22" s="29"/>
      <c r="E22" s="44"/>
    </row>
    <row r="23" spans="1:45">
      <c r="B23" s="29"/>
      <c r="C23" s="41"/>
      <c r="D23" s="41"/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</row>
    <row r="24" spans="1:45">
      <c r="B24" s="29" t="s">
        <v>226</v>
      </c>
      <c r="E24" s="44"/>
    </row>
    <row r="25" spans="1:45">
      <c r="B25" s="69" t="s">
        <v>187</v>
      </c>
      <c r="C25" s="38" t="s">
        <v>191</v>
      </c>
      <c r="D25" s="38" t="s">
        <v>223</v>
      </c>
      <c r="E25" s="38" t="s">
        <v>144</v>
      </c>
      <c r="F25" s="64" t="s">
        <v>118</v>
      </c>
      <c r="G25" s="64" t="s">
        <v>119</v>
      </c>
      <c r="H25" s="64" t="s">
        <v>120</v>
      </c>
      <c r="I25" s="64" t="s">
        <v>121</v>
      </c>
      <c r="J25" s="64" t="s">
        <v>122</v>
      </c>
      <c r="K25" s="64" t="s">
        <v>123</v>
      </c>
      <c r="L25" s="64" t="s">
        <v>124</v>
      </c>
      <c r="M25" s="64" t="s">
        <v>125</v>
      </c>
      <c r="N25" s="64" t="s">
        <v>126</v>
      </c>
      <c r="O25" s="64" t="s">
        <v>127</v>
      </c>
      <c r="P25" s="64" t="s">
        <v>128</v>
      </c>
      <c r="Q25" s="64" t="s">
        <v>193</v>
      </c>
      <c r="R25" s="64" t="s">
        <v>194</v>
      </c>
      <c r="S25" s="64" t="s">
        <v>195</v>
      </c>
      <c r="T25" s="64" t="s">
        <v>196</v>
      </c>
      <c r="U25" s="64" t="s">
        <v>197</v>
      </c>
      <c r="V25" s="64" t="s">
        <v>198</v>
      </c>
      <c r="W25" s="64" t="s">
        <v>199</v>
      </c>
      <c r="X25" s="64" t="s">
        <v>200</v>
      </c>
      <c r="Y25" s="64" t="s">
        <v>201</v>
      </c>
      <c r="Z25" s="64" t="s">
        <v>202</v>
      </c>
      <c r="AA25" s="64" t="s">
        <v>203</v>
      </c>
      <c r="AB25" s="64" t="s">
        <v>204</v>
      </c>
      <c r="AC25" s="64" t="s">
        <v>205</v>
      </c>
      <c r="AD25" s="64" t="s">
        <v>206</v>
      </c>
      <c r="AE25" s="64" t="s">
        <v>207</v>
      </c>
      <c r="AF25" s="64" t="s">
        <v>208</v>
      </c>
      <c r="AG25" s="64" t="s">
        <v>209</v>
      </c>
      <c r="AH25" s="64" t="s">
        <v>210</v>
      </c>
      <c r="AI25" s="64" t="s">
        <v>211</v>
      </c>
      <c r="AJ25" s="64" t="s">
        <v>212</v>
      </c>
      <c r="AK25" s="64" t="s">
        <v>213</v>
      </c>
      <c r="AL25" s="64" t="s">
        <v>214</v>
      </c>
      <c r="AM25" s="64" t="s">
        <v>215</v>
      </c>
      <c r="AN25" s="64" t="s">
        <v>216</v>
      </c>
      <c r="AO25" s="64" t="s">
        <v>217</v>
      </c>
      <c r="AP25" s="64" t="s">
        <v>218</v>
      </c>
      <c r="AQ25" s="64" t="s">
        <v>219</v>
      </c>
      <c r="AR25" s="64" t="s">
        <v>220</v>
      </c>
      <c r="AS25" s="64" t="s">
        <v>221</v>
      </c>
    </row>
    <row r="26" spans="1:45">
      <c r="B26" s="70" t="s">
        <v>129</v>
      </c>
      <c r="C26" s="73">
        <f>+E5</f>
        <v>29796</v>
      </c>
      <c r="D26" s="74">
        <f>+E26/C26</f>
        <v>0.70339999999999914</v>
      </c>
      <c r="E26" s="40">
        <f>SUM(F26:AS26)</f>
        <v>20958.506399999973</v>
      </c>
      <c r="F26" s="71">
        <f>+$E5*F5</f>
        <v>1191.8399999999999</v>
      </c>
      <c r="G26" s="71">
        <f t="shared" ref="G26:P26" si="123">+$E5*G5</f>
        <v>1340.82</v>
      </c>
      <c r="H26" s="71">
        <f t="shared" si="123"/>
        <v>1266.33</v>
      </c>
      <c r="I26" s="71">
        <f t="shared" si="123"/>
        <v>1221.6359999999997</v>
      </c>
      <c r="J26" s="71">
        <f t="shared" si="123"/>
        <v>1176.9419999999998</v>
      </c>
      <c r="K26" s="71">
        <f t="shared" si="123"/>
        <v>1132.2479999999998</v>
      </c>
      <c r="L26" s="71">
        <f t="shared" si="123"/>
        <v>1087.5539999999996</v>
      </c>
      <c r="M26" s="71">
        <f t="shared" si="123"/>
        <v>1042.8599999999997</v>
      </c>
      <c r="N26" s="71">
        <f t="shared" si="123"/>
        <v>998.1659999999996</v>
      </c>
      <c r="O26" s="71">
        <f t="shared" si="123"/>
        <v>953.47199999999964</v>
      </c>
      <c r="P26" s="71">
        <f t="shared" si="123"/>
        <v>893.87999999999954</v>
      </c>
      <c r="Q26" s="71">
        <f t="shared" ref="Q26:AS26" si="124">+$E5*Q5</f>
        <v>834.28799999999956</v>
      </c>
      <c r="R26" s="71">
        <f t="shared" si="124"/>
        <v>774.69599999999946</v>
      </c>
      <c r="S26" s="71">
        <f t="shared" si="124"/>
        <v>715.10399999999936</v>
      </c>
      <c r="T26" s="71">
        <f t="shared" si="124"/>
        <v>655.51199999999938</v>
      </c>
      <c r="U26" s="71">
        <f t="shared" si="124"/>
        <v>595.91999999999928</v>
      </c>
      <c r="V26" s="71">
        <f t="shared" si="124"/>
        <v>536.32799999999929</v>
      </c>
      <c r="W26" s="71">
        <f t="shared" si="124"/>
        <v>476.73599999999919</v>
      </c>
      <c r="X26" s="71">
        <f t="shared" si="124"/>
        <v>417.14399999999921</v>
      </c>
      <c r="Y26" s="71">
        <f t="shared" si="124"/>
        <v>387.34799999999922</v>
      </c>
      <c r="Z26" s="71">
        <f t="shared" si="124"/>
        <v>357.55199999999917</v>
      </c>
      <c r="AA26" s="71">
        <f t="shared" si="124"/>
        <v>327.75599999999918</v>
      </c>
      <c r="AB26" s="71">
        <f t="shared" si="124"/>
        <v>297.95999999999913</v>
      </c>
      <c r="AC26" s="71">
        <f t="shared" si="124"/>
        <v>268.16399999999908</v>
      </c>
      <c r="AD26" s="71">
        <f t="shared" si="124"/>
        <v>238.36799999999909</v>
      </c>
      <c r="AE26" s="71">
        <f t="shared" si="124"/>
        <v>208.57199999999906</v>
      </c>
      <c r="AF26" s="71">
        <f t="shared" si="124"/>
        <v>178.77599999999907</v>
      </c>
      <c r="AG26" s="71">
        <f t="shared" si="124"/>
        <v>148.97999999999908</v>
      </c>
      <c r="AH26" s="71">
        <f t="shared" si="124"/>
        <v>119.18399999999907</v>
      </c>
      <c r="AI26" s="71">
        <f t="shared" si="124"/>
        <v>116.20439999999908</v>
      </c>
      <c r="AJ26" s="71">
        <f t="shared" si="124"/>
        <v>113.22479999999908</v>
      </c>
      <c r="AK26" s="71">
        <f t="shared" si="124"/>
        <v>110.24519999999909</v>
      </c>
      <c r="AL26" s="71">
        <f t="shared" si="124"/>
        <v>107.2655999999991</v>
      </c>
      <c r="AM26" s="71">
        <f t="shared" si="124"/>
        <v>104.28599999999909</v>
      </c>
      <c r="AN26" s="71">
        <f t="shared" si="124"/>
        <v>101.3063999999991</v>
      </c>
      <c r="AO26" s="71">
        <f t="shared" si="124"/>
        <v>98.32679999999911</v>
      </c>
      <c r="AP26" s="71">
        <f t="shared" si="124"/>
        <v>95.34719999999912</v>
      </c>
      <c r="AQ26" s="71">
        <f t="shared" si="124"/>
        <v>92.367599999999115</v>
      </c>
      <c r="AR26" s="71">
        <f t="shared" si="124"/>
        <v>89.387999999999124</v>
      </c>
      <c r="AS26" s="71">
        <f t="shared" si="124"/>
        <v>86.408399999999133</v>
      </c>
    </row>
    <row r="27" spans="1:45">
      <c r="B27" s="39" t="s">
        <v>470</v>
      </c>
      <c r="C27" s="73">
        <f>+E6</f>
        <v>29796</v>
      </c>
      <c r="D27" s="74">
        <f>+E27/C27</f>
        <v>0.82100000000000062</v>
      </c>
      <c r="E27" s="40">
        <f>SUM(F27:AS27)</f>
        <v>24462.516000000018</v>
      </c>
      <c r="F27" s="71">
        <f>+$E6*F6</f>
        <v>595.91999999999996</v>
      </c>
      <c r="G27" s="71">
        <f t="shared" ref="G27:AS27" si="125">+$E6*G6</f>
        <v>625.71600000000001</v>
      </c>
      <c r="H27" s="71">
        <f t="shared" si="125"/>
        <v>655.51200000000006</v>
      </c>
      <c r="I27" s="71">
        <f t="shared" si="125"/>
        <v>685.30800000000011</v>
      </c>
      <c r="J27" s="71">
        <f t="shared" si="125"/>
        <v>715.10400000000016</v>
      </c>
      <c r="K27" s="71">
        <f t="shared" si="125"/>
        <v>700.20600000000013</v>
      </c>
      <c r="L27" s="71">
        <f t="shared" si="125"/>
        <v>685.30800000000011</v>
      </c>
      <c r="M27" s="71">
        <f t="shared" si="125"/>
        <v>670.41000000000008</v>
      </c>
      <c r="N27" s="71">
        <f t="shared" si="125"/>
        <v>655.51200000000006</v>
      </c>
      <c r="O27" s="71">
        <f t="shared" si="125"/>
        <v>640.61400000000003</v>
      </c>
      <c r="P27" s="71">
        <f t="shared" si="125"/>
        <v>637.63440000000003</v>
      </c>
      <c r="Q27" s="71">
        <f t="shared" si="125"/>
        <v>634.65480000000014</v>
      </c>
      <c r="R27" s="71">
        <f t="shared" si="125"/>
        <v>631.67520000000013</v>
      </c>
      <c r="S27" s="71">
        <f t="shared" si="125"/>
        <v>628.69560000000013</v>
      </c>
      <c r="T27" s="71">
        <f t="shared" si="125"/>
        <v>625.71600000000012</v>
      </c>
      <c r="U27" s="71">
        <f t="shared" si="125"/>
        <v>622.73640000000012</v>
      </c>
      <c r="V27" s="71">
        <f t="shared" si="125"/>
        <v>619.75680000000023</v>
      </c>
      <c r="W27" s="71">
        <f t="shared" si="125"/>
        <v>616.77720000000022</v>
      </c>
      <c r="X27" s="71">
        <f t="shared" si="125"/>
        <v>613.79760000000022</v>
      </c>
      <c r="Y27" s="71">
        <f t="shared" si="125"/>
        <v>610.81800000000021</v>
      </c>
      <c r="Z27" s="71">
        <f t="shared" si="125"/>
        <v>607.83840000000021</v>
      </c>
      <c r="AA27" s="71">
        <f t="shared" si="125"/>
        <v>604.85880000000031</v>
      </c>
      <c r="AB27" s="71">
        <f t="shared" si="125"/>
        <v>601.87920000000031</v>
      </c>
      <c r="AC27" s="71">
        <f t="shared" si="125"/>
        <v>598.89960000000031</v>
      </c>
      <c r="AD27" s="71">
        <f t="shared" si="125"/>
        <v>595.9200000000003</v>
      </c>
      <c r="AE27" s="71">
        <f t="shared" si="125"/>
        <v>592.9404000000003</v>
      </c>
      <c r="AF27" s="71">
        <f t="shared" si="125"/>
        <v>589.9608000000004</v>
      </c>
      <c r="AG27" s="71">
        <f t="shared" si="125"/>
        <v>586.9812000000004</v>
      </c>
      <c r="AH27" s="71">
        <f t="shared" si="125"/>
        <v>584.00160000000039</v>
      </c>
      <c r="AI27" s="71">
        <f t="shared" si="125"/>
        <v>581.02200000000039</v>
      </c>
      <c r="AJ27" s="71">
        <f t="shared" si="125"/>
        <v>578.04240000000038</v>
      </c>
      <c r="AK27" s="71">
        <f t="shared" si="125"/>
        <v>575.06280000000049</v>
      </c>
      <c r="AL27" s="71">
        <f t="shared" si="125"/>
        <v>572.08320000000049</v>
      </c>
      <c r="AM27" s="71">
        <f t="shared" si="125"/>
        <v>569.10360000000048</v>
      </c>
      <c r="AN27" s="71">
        <f t="shared" si="125"/>
        <v>566.12400000000048</v>
      </c>
      <c r="AO27" s="71">
        <f t="shared" si="125"/>
        <v>563.14440000000047</v>
      </c>
      <c r="AP27" s="71">
        <f t="shared" si="125"/>
        <v>560.16480000000058</v>
      </c>
      <c r="AQ27" s="71">
        <f t="shared" si="125"/>
        <v>557.18520000000058</v>
      </c>
      <c r="AR27" s="71">
        <f t="shared" si="125"/>
        <v>554.20560000000057</v>
      </c>
      <c r="AS27" s="71">
        <f t="shared" si="125"/>
        <v>551.22600000000057</v>
      </c>
    </row>
    <row r="28" spans="1:45" s="80" customFormat="1">
      <c r="B28" s="75" t="s">
        <v>135</v>
      </c>
      <c r="C28" s="76">
        <f>+E7</f>
        <v>44872</v>
      </c>
      <c r="D28" s="77">
        <f>+E28/C28</f>
        <v>0.92289999999999928</v>
      </c>
      <c r="E28" s="78">
        <f>SUM(F28:AS28)</f>
        <v>41412.368799999967</v>
      </c>
      <c r="F28" s="79">
        <f>+$E7*F7</f>
        <v>2243.6</v>
      </c>
      <c r="G28" s="79">
        <f t="shared" ref="G28:AS28" si="126">+$E7*G7</f>
        <v>2467.96</v>
      </c>
      <c r="H28" s="79">
        <f t="shared" si="126"/>
        <v>2355.7799999999997</v>
      </c>
      <c r="I28" s="79">
        <f t="shared" si="126"/>
        <v>2288.4719999999998</v>
      </c>
      <c r="J28" s="79">
        <f t="shared" si="126"/>
        <v>2221.1639999999998</v>
      </c>
      <c r="K28" s="79">
        <f t="shared" si="126"/>
        <v>2153.8559999999998</v>
      </c>
      <c r="L28" s="79">
        <f t="shared" si="126"/>
        <v>2086.5479999999998</v>
      </c>
      <c r="M28" s="79">
        <f t="shared" si="126"/>
        <v>2019.2399999999996</v>
      </c>
      <c r="N28" s="79">
        <f t="shared" si="126"/>
        <v>1951.9319999999996</v>
      </c>
      <c r="O28" s="79">
        <f t="shared" si="126"/>
        <v>1862.1879999999994</v>
      </c>
      <c r="P28" s="79">
        <f t="shared" si="126"/>
        <v>1772.4439999999995</v>
      </c>
      <c r="Q28" s="79">
        <f t="shared" si="126"/>
        <v>1682.6999999999994</v>
      </c>
      <c r="R28" s="79">
        <f t="shared" si="126"/>
        <v>1592.9559999999992</v>
      </c>
      <c r="S28" s="79">
        <f t="shared" si="126"/>
        <v>1503.2119999999991</v>
      </c>
      <c r="T28" s="79">
        <f t="shared" si="126"/>
        <v>1413.4679999999992</v>
      </c>
      <c r="U28" s="79">
        <f t="shared" si="126"/>
        <v>1323.723999999999</v>
      </c>
      <c r="V28" s="79">
        <f t="shared" si="126"/>
        <v>1233.9799999999989</v>
      </c>
      <c r="W28" s="79">
        <f t="shared" si="126"/>
        <v>1144.2359999999987</v>
      </c>
      <c r="X28" s="79">
        <f t="shared" si="126"/>
        <v>1054.4919999999988</v>
      </c>
      <c r="Y28" s="79">
        <f t="shared" si="126"/>
        <v>964.74799999999868</v>
      </c>
      <c r="Z28" s="79">
        <f t="shared" si="126"/>
        <v>875.00399999999854</v>
      </c>
      <c r="AA28" s="79">
        <f t="shared" si="126"/>
        <v>785.25999999999851</v>
      </c>
      <c r="AB28" s="79">
        <f t="shared" si="126"/>
        <v>695.51599999999848</v>
      </c>
      <c r="AC28" s="79">
        <f t="shared" si="126"/>
        <v>605.77199999999857</v>
      </c>
      <c r="AD28" s="79">
        <f t="shared" si="126"/>
        <v>516.02799999999854</v>
      </c>
      <c r="AE28" s="79">
        <f t="shared" si="126"/>
        <v>426.28399999999851</v>
      </c>
      <c r="AF28" s="79">
        <f t="shared" si="126"/>
        <v>336.53999999999849</v>
      </c>
      <c r="AG28" s="79">
        <f t="shared" si="126"/>
        <v>246.79599999999851</v>
      </c>
      <c r="AH28" s="79">
        <f t="shared" si="126"/>
        <v>157.05199999999851</v>
      </c>
      <c r="AI28" s="79">
        <f t="shared" si="126"/>
        <v>152.56479999999851</v>
      </c>
      <c r="AJ28" s="79">
        <f t="shared" si="126"/>
        <v>148.07759999999851</v>
      </c>
      <c r="AK28" s="79">
        <f t="shared" si="126"/>
        <v>143.59039999999854</v>
      </c>
      <c r="AL28" s="79">
        <f t="shared" si="126"/>
        <v>139.10319999999854</v>
      </c>
      <c r="AM28" s="79">
        <f t="shared" si="126"/>
        <v>134.61599999999854</v>
      </c>
      <c r="AN28" s="79">
        <f t="shared" si="126"/>
        <v>130.12879999999856</v>
      </c>
      <c r="AO28" s="79">
        <f t="shared" si="126"/>
        <v>125.64159999999856</v>
      </c>
      <c r="AP28" s="79">
        <f t="shared" si="126"/>
        <v>121.15439999999856</v>
      </c>
      <c r="AQ28" s="79">
        <f t="shared" si="126"/>
        <v>116.66719999999857</v>
      </c>
      <c r="AR28" s="79">
        <f t="shared" si="126"/>
        <v>112.17999999999859</v>
      </c>
      <c r="AS28" s="79">
        <f t="shared" si="126"/>
        <v>107.69279999999858</v>
      </c>
    </row>
    <row r="29" spans="1:45">
      <c r="B29" s="70" t="s">
        <v>231</v>
      </c>
      <c r="C29" s="73">
        <f>+E8</f>
        <v>44872</v>
      </c>
      <c r="D29" s="74">
        <f t="shared" ref="D29:D37" si="127">+E29/C29</f>
        <v>0.67499999999999949</v>
      </c>
      <c r="E29" s="40">
        <f t="shared" ref="E29:E37" si="128">SUM(F29:AS29)</f>
        <v>30288.599999999977</v>
      </c>
      <c r="F29" s="71">
        <f>+$E8*F8</f>
        <v>336.53999999999996</v>
      </c>
      <c r="G29" s="71">
        <f t="shared" ref="G29:AS29" si="129">+$E8*G8</f>
        <v>448.72</v>
      </c>
      <c r="H29" s="71">
        <f t="shared" si="129"/>
        <v>560.9</v>
      </c>
      <c r="I29" s="71">
        <f t="shared" si="129"/>
        <v>673.08</v>
      </c>
      <c r="J29" s="71">
        <f t="shared" si="129"/>
        <v>785.2600000000001</v>
      </c>
      <c r="K29" s="71">
        <f t="shared" si="129"/>
        <v>785.2600000000001</v>
      </c>
      <c r="L29" s="71">
        <f t="shared" si="129"/>
        <v>785.2600000000001</v>
      </c>
      <c r="M29" s="71">
        <f t="shared" si="129"/>
        <v>785.2600000000001</v>
      </c>
      <c r="N29" s="71">
        <f t="shared" si="129"/>
        <v>785.2600000000001</v>
      </c>
      <c r="O29" s="71">
        <f t="shared" si="129"/>
        <v>785.2600000000001</v>
      </c>
      <c r="P29" s="71">
        <f t="shared" si="129"/>
        <v>785.2600000000001</v>
      </c>
      <c r="Q29" s="71">
        <f t="shared" si="129"/>
        <v>785.2600000000001</v>
      </c>
      <c r="R29" s="71">
        <f t="shared" si="129"/>
        <v>785.2600000000001</v>
      </c>
      <c r="S29" s="71">
        <f t="shared" si="129"/>
        <v>785.2600000000001</v>
      </c>
      <c r="T29" s="71">
        <f t="shared" si="129"/>
        <v>785.2600000000001</v>
      </c>
      <c r="U29" s="71">
        <f t="shared" si="129"/>
        <v>785.2600000000001</v>
      </c>
      <c r="V29" s="71">
        <f t="shared" si="129"/>
        <v>785.2600000000001</v>
      </c>
      <c r="W29" s="71">
        <f t="shared" si="129"/>
        <v>785.2600000000001</v>
      </c>
      <c r="X29" s="71">
        <f t="shared" si="129"/>
        <v>785.2600000000001</v>
      </c>
      <c r="Y29" s="71">
        <f t="shared" si="129"/>
        <v>785.2600000000001</v>
      </c>
      <c r="Z29" s="71">
        <f t="shared" si="129"/>
        <v>785.2600000000001</v>
      </c>
      <c r="AA29" s="71">
        <f t="shared" si="129"/>
        <v>785.2600000000001</v>
      </c>
      <c r="AB29" s="71">
        <f t="shared" si="129"/>
        <v>785.2600000000001</v>
      </c>
      <c r="AC29" s="71">
        <f t="shared" si="129"/>
        <v>785.2600000000001</v>
      </c>
      <c r="AD29" s="71">
        <f t="shared" si="129"/>
        <v>785.2600000000001</v>
      </c>
      <c r="AE29" s="71">
        <f t="shared" si="129"/>
        <v>785.2600000000001</v>
      </c>
      <c r="AF29" s="71">
        <f t="shared" si="129"/>
        <v>785.2600000000001</v>
      </c>
      <c r="AG29" s="71">
        <f t="shared" si="129"/>
        <v>785.2600000000001</v>
      </c>
      <c r="AH29" s="71">
        <f t="shared" si="129"/>
        <v>785.2600000000001</v>
      </c>
      <c r="AI29" s="71">
        <f t="shared" si="129"/>
        <v>785.2600000000001</v>
      </c>
      <c r="AJ29" s="71">
        <f t="shared" si="129"/>
        <v>785.2600000000001</v>
      </c>
      <c r="AK29" s="71">
        <f t="shared" si="129"/>
        <v>785.2600000000001</v>
      </c>
      <c r="AL29" s="71">
        <f t="shared" si="129"/>
        <v>785.2600000000001</v>
      </c>
      <c r="AM29" s="71">
        <f t="shared" si="129"/>
        <v>785.2600000000001</v>
      </c>
      <c r="AN29" s="71">
        <f t="shared" si="129"/>
        <v>785.2600000000001</v>
      </c>
      <c r="AO29" s="71">
        <f t="shared" si="129"/>
        <v>785.2600000000001</v>
      </c>
      <c r="AP29" s="71">
        <f t="shared" si="129"/>
        <v>785.2600000000001</v>
      </c>
      <c r="AQ29" s="71">
        <f t="shared" si="129"/>
        <v>785.2600000000001</v>
      </c>
      <c r="AR29" s="71">
        <f t="shared" si="129"/>
        <v>785.2600000000001</v>
      </c>
      <c r="AS29" s="71">
        <f t="shared" si="129"/>
        <v>785.2600000000001</v>
      </c>
    </row>
    <row r="30" spans="1:45" s="80" customFormat="1">
      <c r="B30" s="75" t="s">
        <v>232</v>
      </c>
      <c r="C30" s="76">
        <f t="shared" ref="C30:C31" si="130">+E9</f>
        <v>10428.599999999999</v>
      </c>
      <c r="D30" s="77">
        <f t="shared" si="127"/>
        <v>0.76210000000000022</v>
      </c>
      <c r="E30" s="78">
        <f t="shared" si="128"/>
        <v>7947.6360600000016</v>
      </c>
      <c r="F30" s="79">
        <f t="shared" ref="F30:P31" si="131">+$E9*F9</f>
        <v>104.28599999999999</v>
      </c>
      <c r="G30" s="79">
        <f t="shared" si="131"/>
        <v>156.42899999999997</v>
      </c>
      <c r="H30" s="79">
        <f t="shared" si="131"/>
        <v>208.57199999999997</v>
      </c>
      <c r="I30" s="79">
        <f t="shared" si="131"/>
        <v>260.71499999999997</v>
      </c>
      <c r="J30" s="79">
        <f t="shared" si="131"/>
        <v>312.858</v>
      </c>
      <c r="K30" s="79">
        <f t="shared" si="131"/>
        <v>286.78649999999999</v>
      </c>
      <c r="L30" s="79">
        <f t="shared" si="131"/>
        <v>260.71500000000003</v>
      </c>
      <c r="M30" s="79">
        <f t="shared" si="131"/>
        <v>234.64350000000002</v>
      </c>
      <c r="N30" s="79">
        <f t="shared" si="131"/>
        <v>208.57200000000006</v>
      </c>
      <c r="O30" s="79">
        <f t="shared" si="131"/>
        <v>207.52914000000004</v>
      </c>
      <c r="P30" s="79">
        <f t="shared" si="131"/>
        <v>206.48628000000005</v>
      </c>
      <c r="Q30" s="79">
        <f t="shared" ref="Q30:AS30" si="132">+$E9*Q9</f>
        <v>205.44342000000006</v>
      </c>
      <c r="R30" s="79">
        <f t="shared" si="132"/>
        <v>204.40056000000007</v>
      </c>
      <c r="S30" s="79">
        <f t="shared" si="132"/>
        <v>203.35770000000008</v>
      </c>
      <c r="T30" s="79">
        <f t="shared" si="132"/>
        <v>202.31484000000009</v>
      </c>
      <c r="U30" s="79">
        <f t="shared" si="132"/>
        <v>201.2719800000001</v>
      </c>
      <c r="V30" s="79">
        <f t="shared" si="132"/>
        <v>200.22912000000011</v>
      </c>
      <c r="W30" s="79">
        <f t="shared" si="132"/>
        <v>199.18626000000012</v>
      </c>
      <c r="X30" s="79">
        <f t="shared" si="132"/>
        <v>198.1434000000001</v>
      </c>
      <c r="Y30" s="79">
        <f t="shared" si="132"/>
        <v>197.10054000000011</v>
      </c>
      <c r="Z30" s="79">
        <f t="shared" si="132"/>
        <v>196.05768000000012</v>
      </c>
      <c r="AA30" s="79">
        <f t="shared" si="132"/>
        <v>195.01482000000013</v>
      </c>
      <c r="AB30" s="79">
        <f t="shared" si="132"/>
        <v>193.97196000000014</v>
      </c>
      <c r="AC30" s="79">
        <f t="shared" si="132"/>
        <v>192.92910000000015</v>
      </c>
      <c r="AD30" s="79">
        <f t="shared" si="132"/>
        <v>191.88624000000016</v>
      </c>
      <c r="AE30" s="79">
        <f t="shared" si="132"/>
        <v>190.84338000000017</v>
      </c>
      <c r="AF30" s="79">
        <f t="shared" si="132"/>
        <v>189.80052000000018</v>
      </c>
      <c r="AG30" s="79">
        <f t="shared" si="132"/>
        <v>188.75766000000016</v>
      </c>
      <c r="AH30" s="79">
        <f t="shared" si="132"/>
        <v>187.71480000000017</v>
      </c>
      <c r="AI30" s="79">
        <f t="shared" si="132"/>
        <v>186.15051000000017</v>
      </c>
      <c r="AJ30" s="79">
        <f t="shared" si="132"/>
        <v>184.58622000000017</v>
      </c>
      <c r="AK30" s="79">
        <f t="shared" si="132"/>
        <v>183.02193000000014</v>
      </c>
      <c r="AL30" s="79">
        <f t="shared" si="132"/>
        <v>181.45764000000014</v>
      </c>
      <c r="AM30" s="79">
        <f t="shared" si="132"/>
        <v>179.89335000000014</v>
      </c>
      <c r="AN30" s="79">
        <f t="shared" si="132"/>
        <v>178.32906000000014</v>
      </c>
      <c r="AO30" s="79">
        <f t="shared" si="132"/>
        <v>176.76477000000011</v>
      </c>
      <c r="AP30" s="79">
        <f t="shared" si="132"/>
        <v>175.20048000000011</v>
      </c>
      <c r="AQ30" s="79">
        <f t="shared" si="132"/>
        <v>173.63619000000011</v>
      </c>
      <c r="AR30" s="79">
        <f t="shared" si="132"/>
        <v>172.07190000000008</v>
      </c>
      <c r="AS30" s="79">
        <f t="shared" si="132"/>
        <v>170.50761000000008</v>
      </c>
    </row>
    <row r="31" spans="1:45" s="87" customFormat="1">
      <c r="B31" s="83" t="s">
        <v>133</v>
      </c>
      <c r="C31" s="84">
        <f t="shared" si="130"/>
        <v>16387.8</v>
      </c>
      <c r="D31" s="85">
        <f t="shared" si="127"/>
        <v>0.28749999999999992</v>
      </c>
      <c r="E31" s="88">
        <f t="shared" si="128"/>
        <v>4711.4924999999985</v>
      </c>
      <c r="F31" s="86">
        <f t="shared" si="131"/>
        <v>65.551199999999994</v>
      </c>
      <c r="G31" s="86">
        <f t="shared" si="131"/>
        <v>90.132899999999992</v>
      </c>
      <c r="H31" s="86">
        <f t="shared" si="131"/>
        <v>106.52069999999999</v>
      </c>
      <c r="I31" s="86">
        <f t="shared" si="131"/>
        <v>122.90849999999999</v>
      </c>
      <c r="J31" s="86">
        <f t="shared" si="131"/>
        <v>139.2963</v>
      </c>
      <c r="K31" s="86">
        <f t="shared" si="131"/>
        <v>139.2963</v>
      </c>
      <c r="L31" s="86">
        <f t="shared" si="131"/>
        <v>139.2963</v>
      </c>
      <c r="M31" s="86">
        <f t="shared" si="131"/>
        <v>139.2963</v>
      </c>
      <c r="N31" s="86">
        <f t="shared" si="131"/>
        <v>139.2963</v>
      </c>
      <c r="O31" s="86">
        <f t="shared" si="131"/>
        <v>139.2963</v>
      </c>
      <c r="P31" s="86">
        <f t="shared" si="131"/>
        <v>139.2963</v>
      </c>
      <c r="Q31" s="86">
        <f t="shared" ref="Q31:AS31" si="133">+$E10*Q10</f>
        <v>139.2963</v>
      </c>
      <c r="R31" s="86">
        <f t="shared" si="133"/>
        <v>139.2963</v>
      </c>
      <c r="S31" s="86">
        <f t="shared" si="133"/>
        <v>139.2963</v>
      </c>
      <c r="T31" s="86">
        <f t="shared" si="133"/>
        <v>139.2963</v>
      </c>
      <c r="U31" s="86">
        <f t="shared" si="133"/>
        <v>139.2963</v>
      </c>
      <c r="V31" s="86">
        <f t="shared" si="133"/>
        <v>139.2963</v>
      </c>
      <c r="W31" s="86">
        <f t="shared" si="133"/>
        <v>139.2963</v>
      </c>
      <c r="X31" s="86">
        <f t="shared" si="133"/>
        <v>139.2963</v>
      </c>
      <c r="Y31" s="86">
        <f t="shared" si="133"/>
        <v>139.2963</v>
      </c>
      <c r="Z31" s="86">
        <f t="shared" si="133"/>
        <v>136.01874000000001</v>
      </c>
      <c r="AA31" s="86">
        <f t="shared" si="133"/>
        <v>132.74117999999999</v>
      </c>
      <c r="AB31" s="86">
        <f t="shared" si="133"/>
        <v>129.46361999999999</v>
      </c>
      <c r="AC31" s="86">
        <f t="shared" si="133"/>
        <v>126.18605999999998</v>
      </c>
      <c r="AD31" s="86">
        <f t="shared" si="133"/>
        <v>122.90849999999999</v>
      </c>
      <c r="AE31" s="86">
        <f t="shared" si="133"/>
        <v>119.63094</v>
      </c>
      <c r="AF31" s="86">
        <f t="shared" si="133"/>
        <v>116.35338</v>
      </c>
      <c r="AG31" s="86">
        <f t="shared" si="133"/>
        <v>113.07582000000001</v>
      </c>
      <c r="AH31" s="86">
        <f t="shared" si="133"/>
        <v>109.79826000000001</v>
      </c>
      <c r="AI31" s="86">
        <f t="shared" si="133"/>
        <v>106.52070000000002</v>
      </c>
      <c r="AJ31" s="86">
        <f t="shared" si="133"/>
        <v>103.24314000000003</v>
      </c>
      <c r="AK31" s="86">
        <f t="shared" si="133"/>
        <v>99.965580000000031</v>
      </c>
      <c r="AL31" s="86">
        <f t="shared" si="133"/>
        <v>96.688020000000037</v>
      </c>
      <c r="AM31" s="86">
        <f t="shared" si="133"/>
        <v>93.410460000000043</v>
      </c>
      <c r="AN31" s="86">
        <f t="shared" si="133"/>
        <v>90.132900000000049</v>
      </c>
      <c r="AO31" s="86">
        <f t="shared" si="133"/>
        <v>86.855340000000055</v>
      </c>
      <c r="AP31" s="86">
        <f t="shared" si="133"/>
        <v>83.577780000000061</v>
      </c>
      <c r="AQ31" s="86">
        <f t="shared" si="133"/>
        <v>80.300220000000067</v>
      </c>
      <c r="AR31" s="86">
        <f t="shared" si="133"/>
        <v>77.022660000000073</v>
      </c>
      <c r="AS31" s="86">
        <f t="shared" si="133"/>
        <v>73.745100000000079</v>
      </c>
    </row>
    <row r="32" spans="1:45" s="80" customFormat="1">
      <c r="B32" s="75"/>
      <c r="C32" s="76"/>
      <c r="D32" s="77"/>
      <c r="E32" s="78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</row>
    <row r="33" spans="2:45">
      <c r="B33" s="69" t="s">
        <v>186</v>
      </c>
      <c r="C33" s="38" t="s">
        <v>191</v>
      </c>
      <c r="D33" s="38" t="s">
        <v>223</v>
      </c>
      <c r="E33" s="38" t="s">
        <v>144</v>
      </c>
      <c r="F33" s="64" t="s">
        <v>118</v>
      </c>
      <c r="G33" s="64" t="s">
        <v>119</v>
      </c>
      <c r="H33" s="64" t="s">
        <v>120</v>
      </c>
      <c r="I33" s="64" t="s">
        <v>121</v>
      </c>
      <c r="J33" s="64" t="s">
        <v>122</v>
      </c>
      <c r="K33" s="64" t="s">
        <v>123</v>
      </c>
      <c r="L33" s="64" t="s">
        <v>124</v>
      </c>
      <c r="M33" s="64" t="s">
        <v>125</v>
      </c>
      <c r="N33" s="64" t="s">
        <v>126</v>
      </c>
      <c r="O33" s="64" t="s">
        <v>127</v>
      </c>
      <c r="P33" s="64" t="s">
        <v>128</v>
      </c>
      <c r="Q33" s="64" t="s">
        <v>193</v>
      </c>
      <c r="R33" s="64" t="s">
        <v>194</v>
      </c>
      <c r="S33" s="64" t="s">
        <v>195</v>
      </c>
      <c r="T33" s="64" t="s">
        <v>196</v>
      </c>
      <c r="U33" s="64" t="s">
        <v>197</v>
      </c>
      <c r="V33" s="64" t="s">
        <v>198</v>
      </c>
      <c r="W33" s="64" t="s">
        <v>199</v>
      </c>
      <c r="X33" s="64" t="s">
        <v>200</v>
      </c>
      <c r="Y33" s="64" t="s">
        <v>201</v>
      </c>
      <c r="Z33" s="64" t="s">
        <v>202</v>
      </c>
      <c r="AA33" s="64" t="s">
        <v>203</v>
      </c>
      <c r="AB33" s="64" t="s">
        <v>204</v>
      </c>
      <c r="AC33" s="64" t="s">
        <v>205</v>
      </c>
      <c r="AD33" s="64" t="s">
        <v>206</v>
      </c>
      <c r="AE33" s="64" t="s">
        <v>207</v>
      </c>
      <c r="AF33" s="64" t="s">
        <v>208</v>
      </c>
      <c r="AG33" s="64" t="s">
        <v>209</v>
      </c>
      <c r="AH33" s="64" t="s">
        <v>210</v>
      </c>
      <c r="AI33" s="64" t="s">
        <v>211</v>
      </c>
      <c r="AJ33" s="64" t="s">
        <v>212</v>
      </c>
      <c r="AK33" s="64" t="s">
        <v>213</v>
      </c>
      <c r="AL33" s="64" t="s">
        <v>214</v>
      </c>
      <c r="AM33" s="64" t="s">
        <v>215</v>
      </c>
      <c r="AN33" s="64" t="s">
        <v>216</v>
      </c>
      <c r="AO33" s="64" t="s">
        <v>217</v>
      </c>
      <c r="AP33" s="64" t="s">
        <v>218</v>
      </c>
      <c r="AQ33" s="64" t="s">
        <v>219</v>
      </c>
      <c r="AR33" s="64" t="s">
        <v>220</v>
      </c>
      <c r="AS33" s="64" t="s">
        <v>221</v>
      </c>
    </row>
    <row r="34" spans="2:45" s="80" customFormat="1">
      <c r="B34" s="75" t="s">
        <v>136</v>
      </c>
      <c r="C34" s="76">
        <f>+E12</f>
        <v>2085.7199999999998</v>
      </c>
      <c r="D34" s="77">
        <f t="shared" si="127"/>
        <v>0.74399999999999933</v>
      </c>
      <c r="E34" s="78">
        <f t="shared" si="128"/>
        <v>1551.7756799999984</v>
      </c>
      <c r="F34" s="79">
        <f t="shared" ref="F34:P34" si="134">+$E12*F12</f>
        <v>31.285799999999995</v>
      </c>
      <c r="G34" s="79">
        <f t="shared" si="134"/>
        <v>36.500099999999996</v>
      </c>
      <c r="H34" s="79">
        <f t="shared" si="134"/>
        <v>41.714399999999991</v>
      </c>
      <c r="I34" s="79">
        <f t="shared" si="134"/>
        <v>46.928699999999985</v>
      </c>
      <c r="J34" s="79">
        <f t="shared" si="134"/>
        <v>52.142999999999986</v>
      </c>
      <c r="K34" s="79">
        <f t="shared" si="134"/>
        <v>51.100139999999982</v>
      </c>
      <c r="L34" s="79">
        <f t="shared" si="134"/>
        <v>50.057279999999984</v>
      </c>
      <c r="M34" s="79">
        <f t="shared" si="134"/>
        <v>49.01441999999998</v>
      </c>
      <c r="N34" s="79">
        <f t="shared" si="134"/>
        <v>47.971559999999982</v>
      </c>
      <c r="O34" s="79">
        <f t="shared" si="134"/>
        <v>46.928699999999978</v>
      </c>
      <c r="P34" s="79">
        <f t="shared" si="134"/>
        <v>45.88583999999998</v>
      </c>
      <c r="Q34" s="79">
        <f t="shared" ref="Q34:AS34" si="135">+$E12*Q12</f>
        <v>44.842979999999976</v>
      </c>
      <c r="R34" s="79">
        <f t="shared" si="135"/>
        <v>43.800119999999978</v>
      </c>
      <c r="S34" s="79">
        <f t="shared" si="135"/>
        <v>42.757259999999974</v>
      </c>
      <c r="T34" s="79">
        <f t="shared" si="135"/>
        <v>41.714399999999976</v>
      </c>
      <c r="U34" s="79">
        <f t="shared" si="135"/>
        <v>40.671539999999972</v>
      </c>
      <c r="V34" s="79">
        <f t="shared" si="135"/>
        <v>39.628679999999974</v>
      </c>
      <c r="W34" s="79">
        <f t="shared" si="135"/>
        <v>38.58581999999997</v>
      </c>
      <c r="X34" s="79">
        <f t="shared" si="135"/>
        <v>37.542959999999972</v>
      </c>
      <c r="Y34" s="79">
        <f t="shared" si="135"/>
        <v>36.500099999999968</v>
      </c>
      <c r="Z34" s="79">
        <f t="shared" si="135"/>
        <v>36.291527999999971</v>
      </c>
      <c r="AA34" s="79">
        <f t="shared" si="135"/>
        <v>36.082955999999974</v>
      </c>
      <c r="AB34" s="79">
        <f t="shared" si="135"/>
        <v>35.874383999999978</v>
      </c>
      <c r="AC34" s="79">
        <f t="shared" si="135"/>
        <v>35.665811999999974</v>
      </c>
      <c r="AD34" s="79">
        <f t="shared" si="135"/>
        <v>35.457239999999977</v>
      </c>
      <c r="AE34" s="79">
        <f t="shared" si="135"/>
        <v>35.248667999999981</v>
      </c>
      <c r="AF34" s="79">
        <f t="shared" si="135"/>
        <v>35.040095999999977</v>
      </c>
      <c r="AG34" s="79">
        <f t="shared" si="135"/>
        <v>34.83152399999998</v>
      </c>
      <c r="AH34" s="79">
        <f t="shared" si="135"/>
        <v>34.622951999999984</v>
      </c>
      <c r="AI34" s="79">
        <f t="shared" si="135"/>
        <v>34.414379999999987</v>
      </c>
      <c r="AJ34" s="79">
        <f t="shared" si="135"/>
        <v>34.205807999999983</v>
      </c>
      <c r="AK34" s="79">
        <f t="shared" si="135"/>
        <v>33.997235999999987</v>
      </c>
      <c r="AL34" s="79">
        <f t="shared" si="135"/>
        <v>33.78866399999999</v>
      </c>
      <c r="AM34" s="79">
        <f t="shared" si="135"/>
        <v>33.580091999999986</v>
      </c>
      <c r="AN34" s="79">
        <f t="shared" si="135"/>
        <v>33.37151999999999</v>
      </c>
      <c r="AO34" s="79">
        <f t="shared" si="135"/>
        <v>33.162947999999993</v>
      </c>
      <c r="AP34" s="79">
        <f t="shared" si="135"/>
        <v>32.954375999999996</v>
      </c>
      <c r="AQ34" s="79">
        <f t="shared" si="135"/>
        <v>32.745803999999993</v>
      </c>
      <c r="AR34" s="79">
        <f t="shared" si="135"/>
        <v>32.537231999999996</v>
      </c>
      <c r="AS34" s="79">
        <f t="shared" si="135"/>
        <v>32.328659999999999</v>
      </c>
    </row>
    <row r="35" spans="2:45">
      <c r="B35" s="70" t="s">
        <v>139</v>
      </c>
      <c r="C35" s="73">
        <f>+E13</f>
        <v>1191.8400000000001</v>
      </c>
      <c r="D35" s="74">
        <f t="shared" si="127"/>
        <v>0.78399999999999992</v>
      </c>
      <c r="E35" s="40">
        <f t="shared" si="128"/>
        <v>934.40255999999999</v>
      </c>
      <c r="F35" s="71">
        <f t="shared" ref="F35:P35" si="136">+$E13*F13</f>
        <v>19.069440000000004</v>
      </c>
      <c r="G35" s="71">
        <f t="shared" si="136"/>
        <v>22.049040000000002</v>
      </c>
      <c r="H35" s="71">
        <f t="shared" si="136"/>
        <v>25.028639999999999</v>
      </c>
      <c r="I35" s="71">
        <f t="shared" si="136"/>
        <v>28.008240000000001</v>
      </c>
      <c r="J35" s="71">
        <f t="shared" si="136"/>
        <v>30.987839999999998</v>
      </c>
      <c r="K35" s="71">
        <f t="shared" si="136"/>
        <v>30.391919999999999</v>
      </c>
      <c r="L35" s="71">
        <f t="shared" si="136"/>
        <v>29.795999999999996</v>
      </c>
      <c r="M35" s="71">
        <f t="shared" si="136"/>
        <v>29.200079999999996</v>
      </c>
      <c r="N35" s="71">
        <f t="shared" si="136"/>
        <v>28.604159999999997</v>
      </c>
      <c r="O35" s="71">
        <f t="shared" si="136"/>
        <v>28.008239999999994</v>
      </c>
      <c r="P35" s="71">
        <f t="shared" si="136"/>
        <v>27.412319999999994</v>
      </c>
      <c r="Q35" s="71">
        <f t="shared" ref="Q35:AS35" si="137">+$E13*Q13</f>
        <v>26.816399999999994</v>
      </c>
      <c r="R35" s="71">
        <f t="shared" si="137"/>
        <v>26.220479999999995</v>
      </c>
      <c r="S35" s="71">
        <f t="shared" si="137"/>
        <v>25.624559999999992</v>
      </c>
      <c r="T35" s="71">
        <f t="shared" si="137"/>
        <v>25.028639999999992</v>
      </c>
      <c r="U35" s="71">
        <f t="shared" si="137"/>
        <v>24.432719999999993</v>
      </c>
      <c r="V35" s="71">
        <f t="shared" si="137"/>
        <v>23.83679999999999</v>
      </c>
      <c r="W35" s="71">
        <f t="shared" si="137"/>
        <v>23.24087999999999</v>
      </c>
      <c r="X35" s="71">
        <f t="shared" si="137"/>
        <v>22.64495999999999</v>
      </c>
      <c r="Y35" s="71">
        <f t="shared" si="137"/>
        <v>22.049039999999991</v>
      </c>
      <c r="Z35" s="71">
        <f t="shared" si="137"/>
        <v>21.92985599999999</v>
      </c>
      <c r="AA35" s="71">
        <f t="shared" si="137"/>
        <v>21.81067199999999</v>
      </c>
      <c r="AB35" s="71">
        <f t="shared" si="137"/>
        <v>21.691487999999993</v>
      </c>
      <c r="AC35" s="71">
        <f t="shared" si="137"/>
        <v>21.572303999999992</v>
      </c>
      <c r="AD35" s="71">
        <f t="shared" si="137"/>
        <v>21.453119999999991</v>
      </c>
      <c r="AE35" s="71">
        <f t="shared" si="137"/>
        <v>21.333935999999994</v>
      </c>
      <c r="AF35" s="71">
        <f t="shared" si="137"/>
        <v>21.214751999999994</v>
      </c>
      <c r="AG35" s="71">
        <f t="shared" si="137"/>
        <v>21.095567999999997</v>
      </c>
      <c r="AH35" s="71">
        <f t="shared" si="137"/>
        <v>20.976383999999996</v>
      </c>
      <c r="AI35" s="71">
        <f t="shared" si="137"/>
        <v>20.857199999999995</v>
      </c>
      <c r="AJ35" s="71">
        <f t="shared" si="137"/>
        <v>20.738015999999998</v>
      </c>
      <c r="AK35" s="71">
        <f t="shared" si="137"/>
        <v>20.618831999999998</v>
      </c>
      <c r="AL35" s="71">
        <f t="shared" si="137"/>
        <v>20.499647999999997</v>
      </c>
      <c r="AM35" s="71">
        <f t="shared" si="137"/>
        <v>20.380464</v>
      </c>
      <c r="AN35" s="71">
        <f t="shared" si="137"/>
        <v>20.261279999999999</v>
      </c>
      <c r="AO35" s="71">
        <f t="shared" si="137"/>
        <v>20.142096000000002</v>
      </c>
      <c r="AP35" s="71">
        <f t="shared" si="137"/>
        <v>20.022912000000002</v>
      </c>
      <c r="AQ35" s="71">
        <f t="shared" si="137"/>
        <v>19.903728000000001</v>
      </c>
      <c r="AR35" s="71">
        <f t="shared" si="137"/>
        <v>19.784544000000004</v>
      </c>
      <c r="AS35" s="71">
        <f t="shared" si="137"/>
        <v>19.665360000000003</v>
      </c>
    </row>
    <row r="36" spans="2:45">
      <c r="B36" s="70" t="s">
        <v>141</v>
      </c>
      <c r="C36" s="73">
        <f>+E14</f>
        <v>15076.000000000002</v>
      </c>
      <c r="D36" s="74">
        <f t="shared" si="127"/>
        <v>0.21500000000000016</v>
      </c>
      <c r="E36" s="40">
        <f t="shared" si="128"/>
        <v>3241.3400000000029</v>
      </c>
      <c r="F36" s="71">
        <f t="shared" ref="F36:P36" si="138">+$E14*F14</f>
        <v>75.38000000000001</v>
      </c>
      <c r="G36" s="71">
        <f t="shared" si="138"/>
        <v>76.88760000000002</v>
      </c>
      <c r="H36" s="71">
        <f t="shared" si="138"/>
        <v>78.395200000000017</v>
      </c>
      <c r="I36" s="71">
        <f t="shared" si="138"/>
        <v>79.902800000000028</v>
      </c>
      <c r="J36" s="71">
        <f t="shared" si="138"/>
        <v>81.410400000000024</v>
      </c>
      <c r="K36" s="71">
        <f t="shared" si="138"/>
        <v>81.410400000000024</v>
      </c>
      <c r="L36" s="71">
        <f t="shared" si="138"/>
        <v>81.410400000000024</v>
      </c>
      <c r="M36" s="71">
        <f t="shared" si="138"/>
        <v>81.410400000000024</v>
      </c>
      <c r="N36" s="71">
        <f t="shared" si="138"/>
        <v>81.410400000000024</v>
      </c>
      <c r="O36" s="71">
        <f t="shared" si="138"/>
        <v>81.410400000000024</v>
      </c>
      <c r="P36" s="71">
        <f t="shared" si="138"/>
        <v>81.410400000000024</v>
      </c>
      <c r="Q36" s="71">
        <f t="shared" ref="Q36:AS36" si="139">+$E14*Q14</f>
        <v>81.410400000000024</v>
      </c>
      <c r="R36" s="71">
        <f t="shared" si="139"/>
        <v>81.410400000000024</v>
      </c>
      <c r="S36" s="71">
        <f t="shared" si="139"/>
        <v>81.410400000000024</v>
      </c>
      <c r="T36" s="71">
        <f t="shared" si="139"/>
        <v>81.410400000000024</v>
      </c>
      <c r="U36" s="71">
        <f t="shared" si="139"/>
        <v>81.410400000000024</v>
      </c>
      <c r="V36" s="71">
        <f t="shared" si="139"/>
        <v>81.410400000000024</v>
      </c>
      <c r="W36" s="71">
        <f t="shared" si="139"/>
        <v>81.410400000000024</v>
      </c>
      <c r="X36" s="71">
        <f t="shared" si="139"/>
        <v>81.410400000000024</v>
      </c>
      <c r="Y36" s="71">
        <f t="shared" si="139"/>
        <v>81.410400000000024</v>
      </c>
      <c r="Z36" s="71">
        <f t="shared" si="139"/>
        <v>81.410400000000024</v>
      </c>
      <c r="AA36" s="71">
        <f t="shared" si="139"/>
        <v>81.410400000000024</v>
      </c>
      <c r="AB36" s="71">
        <f t="shared" si="139"/>
        <v>81.410400000000024</v>
      </c>
      <c r="AC36" s="71">
        <f t="shared" si="139"/>
        <v>81.410400000000024</v>
      </c>
      <c r="AD36" s="71">
        <f t="shared" si="139"/>
        <v>81.410400000000024</v>
      </c>
      <c r="AE36" s="71">
        <f t="shared" si="139"/>
        <v>81.410400000000024</v>
      </c>
      <c r="AF36" s="71">
        <f t="shared" si="139"/>
        <v>81.410400000000024</v>
      </c>
      <c r="AG36" s="71">
        <f t="shared" si="139"/>
        <v>81.410400000000024</v>
      </c>
      <c r="AH36" s="71">
        <f t="shared" si="139"/>
        <v>81.410400000000024</v>
      </c>
      <c r="AI36" s="71">
        <f t="shared" si="139"/>
        <v>81.410400000000024</v>
      </c>
      <c r="AJ36" s="71">
        <f t="shared" si="139"/>
        <v>81.410400000000024</v>
      </c>
      <c r="AK36" s="71">
        <f t="shared" si="139"/>
        <v>81.410400000000024</v>
      </c>
      <c r="AL36" s="71">
        <f t="shared" si="139"/>
        <v>81.410400000000024</v>
      </c>
      <c r="AM36" s="71">
        <f t="shared" si="139"/>
        <v>81.410400000000024</v>
      </c>
      <c r="AN36" s="71">
        <f t="shared" si="139"/>
        <v>81.410400000000024</v>
      </c>
      <c r="AO36" s="71">
        <f t="shared" si="139"/>
        <v>81.410400000000024</v>
      </c>
      <c r="AP36" s="71">
        <f t="shared" si="139"/>
        <v>81.410400000000024</v>
      </c>
      <c r="AQ36" s="71">
        <f t="shared" si="139"/>
        <v>81.410400000000024</v>
      </c>
      <c r="AR36" s="71">
        <f t="shared" si="139"/>
        <v>81.410400000000024</v>
      </c>
      <c r="AS36" s="71">
        <f t="shared" si="139"/>
        <v>81.410400000000024</v>
      </c>
    </row>
    <row r="37" spans="2:45">
      <c r="B37" s="70" t="s">
        <v>142</v>
      </c>
      <c r="C37" s="73">
        <f>+E15</f>
        <v>19367.400000000001</v>
      </c>
      <c r="D37" s="74">
        <f t="shared" si="127"/>
        <v>0.29500000000000015</v>
      </c>
      <c r="E37" s="40">
        <f t="shared" si="128"/>
        <v>5713.3830000000034</v>
      </c>
      <c r="F37" s="71">
        <f t="shared" ref="F37:P37" si="140">+$E15*F15</f>
        <v>135.57180000000002</v>
      </c>
      <c r="G37" s="71">
        <f t="shared" si="140"/>
        <v>137.50854000000001</v>
      </c>
      <c r="H37" s="71">
        <f t="shared" si="140"/>
        <v>139.44528000000003</v>
      </c>
      <c r="I37" s="71">
        <f t="shared" si="140"/>
        <v>141.38202000000004</v>
      </c>
      <c r="J37" s="71">
        <f t="shared" si="140"/>
        <v>143.31876000000003</v>
      </c>
      <c r="K37" s="71">
        <f t="shared" si="140"/>
        <v>143.31876000000003</v>
      </c>
      <c r="L37" s="71">
        <f t="shared" si="140"/>
        <v>143.31876000000003</v>
      </c>
      <c r="M37" s="71">
        <f t="shared" si="140"/>
        <v>143.31876000000003</v>
      </c>
      <c r="N37" s="71">
        <f t="shared" si="140"/>
        <v>143.31876000000003</v>
      </c>
      <c r="O37" s="71">
        <f t="shared" si="140"/>
        <v>143.31876000000003</v>
      </c>
      <c r="P37" s="71">
        <f t="shared" si="140"/>
        <v>143.31876000000003</v>
      </c>
      <c r="Q37" s="71">
        <f t="shared" ref="Q37:AS37" si="141">+$E15*Q15</f>
        <v>143.31876000000003</v>
      </c>
      <c r="R37" s="71">
        <f t="shared" si="141"/>
        <v>143.31876000000003</v>
      </c>
      <c r="S37" s="71">
        <f t="shared" si="141"/>
        <v>143.31876000000003</v>
      </c>
      <c r="T37" s="71">
        <f t="shared" si="141"/>
        <v>143.31876000000003</v>
      </c>
      <c r="U37" s="71">
        <f t="shared" si="141"/>
        <v>143.31876000000003</v>
      </c>
      <c r="V37" s="71">
        <f t="shared" si="141"/>
        <v>143.31876000000003</v>
      </c>
      <c r="W37" s="71">
        <f t="shared" si="141"/>
        <v>143.31876000000003</v>
      </c>
      <c r="X37" s="71">
        <f t="shared" si="141"/>
        <v>143.31876000000003</v>
      </c>
      <c r="Y37" s="71">
        <f t="shared" si="141"/>
        <v>143.31876000000003</v>
      </c>
      <c r="Z37" s="71">
        <f t="shared" si="141"/>
        <v>143.31876000000003</v>
      </c>
      <c r="AA37" s="71">
        <f t="shared" si="141"/>
        <v>143.31876000000003</v>
      </c>
      <c r="AB37" s="71">
        <f t="shared" si="141"/>
        <v>143.31876000000003</v>
      </c>
      <c r="AC37" s="71">
        <f t="shared" si="141"/>
        <v>143.31876000000003</v>
      </c>
      <c r="AD37" s="71">
        <f t="shared" si="141"/>
        <v>143.31876000000003</v>
      </c>
      <c r="AE37" s="71">
        <f t="shared" si="141"/>
        <v>143.31876000000003</v>
      </c>
      <c r="AF37" s="71">
        <f t="shared" si="141"/>
        <v>143.31876000000003</v>
      </c>
      <c r="AG37" s="71">
        <f t="shared" si="141"/>
        <v>143.31876000000003</v>
      </c>
      <c r="AH37" s="71">
        <f t="shared" si="141"/>
        <v>143.31876000000003</v>
      </c>
      <c r="AI37" s="71">
        <f t="shared" si="141"/>
        <v>143.31876000000003</v>
      </c>
      <c r="AJ37" s="71">
        <f t="shared" si="141"/>
        <v>143.31876000000003</v>
      </c>
      <c r="AK37" s="71">
        <f t="shared" si="141"/>
        <v>143.31876000000003</v>
      </c>
      <c r="AL37" s="71">
        <f t="shared" si="141"/>
        <v>143.31876000000003</v>
      </c>
      <c r="AM37" s="71">
        <f t="shared" si="141"/>
        <v>143.31876000000003</v>
      </c>
      <c r="AN37" s="71">
        <f t="shared" si="141"/>
        <v>143.31876000000003</v>
      </c>
      <c r="AO37" s="71">
        <f t="shared" si="141"/>
        <v>143.31876000000003</v>
      </c>
      <c r="AP37" s="71">
        <f t="shared" si="141"/>
        <v>143.31876000000003</v>
      </c>
      <c r="AQ37" s="71">
        <f t="shared" si="141"/>
        <v>143.31876000000003</v>
      </c>
      <c r="AR37" s="71">
        <f t="shared" si="141"/>
        <v>143.31876000000003</v>
      </c>
      <c r="AS37" s="71">
        <f t="shared" si="141"/>
        <v>143.31876000000003</v>
      </c>
    </row>
    <row r="38" spans="2:45">
      <c r="B38" s="67"/>
      <c r="C38" s="41"/>
      <c r="D38" s="41"/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  <row r="39" spans="2:45">
      <c r="B39" s="29"/>
      <c r="C39" s="41"/>
      <c r="D39" s="41"/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</row>
    <row r="40" spans="2:45">
      <c r="B40" s="29" t="s">
        <v>227</v>
      </c>
      <c r="E40" s="44"/>
    </row>
    <row r="41" spans="2:45">
      <c r="B41" s="69" t="s">
        <v>187</v>
      </c>
      <c r="C41" s="38" t="s">
        <v>543</v>
      </c>
      <c r="D41" s="38" t="s">
        <v>192</v>
      </c>
      <c r="E41" s="38" t="s">
        <v>224</v>
      </c>
      <c r="F41" s="64" t="s">
        <v>118</v>
      </c>
      <c r="G41" s="64" t="s">
        <v>119</v>
      </c>
      <c r="H41" s="64" t="s">
        <v>120</v>
      </c>
      <c r="I41" s="64" t="s">
        <v>121</v>
      </c>
      <c r="J41" s="64" t="s">
        <v>122</v>
      </c>
      <c r="K41" s="64" t="s">
        <v>123</v>
      </c>
      <c r="L41" s="64" t="s">
        <v>124</v>
      </c>
      <c r="M41" s="64" t="s">
        <v>125</v>
      </c>
      <c r="N41" s="64" t="s">
        <v>126</v>
      </c>
      <c r="O41" s="64" t="s">
        <v>127</v>
      </c>
      <c r="P41" s="64" t="s">
        <v>128</v>
      </c>
      <c r="Q41" s="64" t="s">
        <v>193</v>
      </c>
      <c r="R41" s="64" t="s">
        <v>194</v>
      </c>
      <c r="S41" s="64" t="s">
        <v>195</v>
      </c>
      <c r="T41" s="64" t="s">
        <v>196</v>
      </c>
      <c r="U41" s="64" t="s">
        <v>197</v>
      </c>
      <c r="V41" s="64" t="s">
        <v>198</v>
      </c>
      <c r="W41" s="64" t="s">
        <v>199</v>
      </c>
      <c r="X41" s="64" t="s">
        <v>200</v>
      </c>
      <c r="Y41" s="64" t="s">
        <v>201</v>
      </c>
      <c r="Z41" s="64" t="s">
        <v>202</v>
      </c>
      <c r="AA41" s="64" t="s">
        <v>203</v>
      </c>
      <c r="AB41" s="64" t="s">
        <v>204</v>
      </c>
      <c r="AC41" s="64" t="s">
        <v>205</v>
      </c>
      <c r="AD41" s="64" t="s">
        <v>206</v>
      </c>
      <c r="AE41" s="64" t="s">
        <v>207</v>
      </c>
      <c r="AF41" s="64" t="s">
        <v>208</v>
      </c>
      <c r="AG41" s="64" t="s">
        <v>209</v>
      </c>
      <c r="AH41" s="64" t="s">
        <v>210</v>
      </c>
      <c r="AI41" s="64" t="s">
        <v>211</v>
      </c>
      <c r="AJ41" s="64" t="s">
        <v>212</v>
      </c>
      <c r="AK41" s="64" t="s">
        <v>213</v>
      </c>
      <c r="AL41" s="64" t="s">
        <v>214</v>
      </c>
      <c r="AM41" s="64" t="s">
        <v>215</v>
      </c>
      <c r="AN41" s="64" t="s">
        <v>216</v>
      </c>
      <c r="AO41" s="64" t="s">
        <v>217</v>
      </c>
      <c r="AP41" s="64" t="s">
        <v>218</v>
      </c>
      <c r="AQ41" s="64" t="s">
        <v>219</v>
      </c>
      <c r="AR41" s="64" t="s">
        <v>220</v>
      </c>
      <c r="AS41" s="64" t="s">
        <v>221</v>
      </c>
    </row>
    <row r="42" spans="2:45" s="80" customFormat="1">
      <c r="B42" s="75" t="s">
        <v>129</v>
      </c>
      <c r="C42" s="76">
        <v>2</v>
      </c>
      <c r="D42" s="77">
        <v>0.5</v>
      </c>
      <c r="E42" s="77">
        <v>1</v>
      </c>
      <c r="F42" s="79">
        <v>0</v>
      </c>
      <c r="G42" s="79">
        <v>0</v>
      </c>
      <c r="H42" s="79">
        <f>(F26*$D42*$E42+F42)</f>
        <v>595.91999999999996</v>
      </c>
      <c r="I42" s="79">
        <f>(G26*$D42*$E42+G42)</f>
        <v>670.41</v>
      </c>
      <c r="J42" s="79">
        <f t="shared" ref="J42:AS42" si="142">(H26*$D42+H42)*$E42</f>
        <v>1229.085</v>
      </c>
      <c r="K42" s="79">
        <f t="shared" si="142"/>
        <v>1281.2279999999998</v>
      </c>
      <c r="L42" s="79">
        <f t="shared" si="142"/>
        <v>1817.556</v>
      </c>
      <c r="M42" s="79">
        <f t="shared" si="142"/>
        <v>1847.3519999999999</v>
      </c>
      <c r="N42" s="79">
        <f t="shared" si="142"/>
        <v>2361.3329999999996</v>
      </c>
      <c r="O42" s="79">
        <f t="shared" si="142"/>
        <v>2368.7819999999997</v>
      </c>
      <c r="P42" s="79">
        <f t="shared" si="142"/>
        <v>2860.4159999999993</v>
      </c>
      <c r="Q42" s="79">
        <f t="shared" si="142"/>
        <v>2845.5179999999996</v>
      </c>
      <c r="R42" s="79">
        <f t="shared" si="142"/>
        <v>3307.3559999999989</v>
      </c>
      <c r="S42" s="79">
        <f t="shared" si="142"/>
        <v>3262.6619999999994</v>
      </c>
      <c r="T42" s="79">
        <f t="shared" si="142"/>
        <v>3694.7039999999988</v>
      </c>
      <c r="U42" s="79">
        <f t="shared" si="142"/>
        <v>3620.213999999999</v>
      </c>
      <c r="V42" s="79">
        <f t="shared" si="142"/>
        <v>4022.4599999999987</v>
      </c>
      <c r="W42" s="79">
        <f t="shared" si="142"/>
        <v>3918.1739999999986</v>
      </c>
      <c r="X42" s="79">
        <f t="shared" si="142"/>
        <v>4290.623999999998</v>
      </c>
      <c r="Y42" s="79">
        <f t="shared" si="142"/>
        <v>4156.5419999999986</v>
      </c>
      <c r="Z42" s="79">
        <f t="shared" si="142"/>
        <v>4499.1959999999972</v>
      </c>
      <c r="AA42" s="79">
        <f t="shared" si="142"/>
        <v>4350.2159999999985</v>
      </c>
      <c r="AB42" s="79">
        <f t="shared" si="142"/>
        <v>4677.971999999997</v>
      </c>
      <c r="AC42" s="79">
        <f t="shared" si="142"/>
        <v>4514.0939999999982</v>
      </c>
      <c r="AD42" s="79">
        <f t="shared" si="142"/>
        <v>4826.9519999999966</v>
      </c>
      <c r="AE42" s="79">
        <f t="shared" si="142"/>
        <v>4648.1759999999977</v>
      </c>
      <c r="AF42" s="79">
        <f t="shared" si="142"/>
        <v>4946.1359999999959</v>
      </c>
      <c r="AG42" s="79">
        <f t="shared" si="142"/>
        <v>4752.4619999999968</v>
      </c>
      <c r="AH42" s="79">
        <f t="shared" si="142"/>
        <v>5035.5239999999958</v>
      </c>
      <c r="AI42" s="79">
        <f t="shared" si="142"/>
        <v>4826.9519999999966</v>
      </c>
      <c r="AJ42" s="79">
        <f t="shared" si="142"/>
        <v>5095.1159999999954</v>
      </c>
      <c r="AK42" s="79">
        <f t="shared" si="142"/>
        <v>4885.0541999999959</v>
      </c>
      <c r="AL42" s="79">
        <f t="shared" si="142"/>
        <v>5151.7283999999954</v>
      </c>
      <c r="AM42" s="79">
        <f t="shared" si="142"/>
        <v>4940.1767999999956</v>
      </c>
      <c r="AN42" s="79">
        <f t="shared" si="142"/>
        <v>5205.3611999999948</v>
      </c>
      <c r="AO42" s="79">
        <f t="shared" si="142"/>
        <v>4992.3197999999948</v>
      </c>
      <c r="AP42" s="79">
        <f t="shared" si="142"/>
        <v>5256.0143999999946</v>
      </c>
      <c r="AQ42" s="79">
        <f t="shared" si="142"/>
        <v>5041.4831999999942</v>
      </c>
      <c r="AR42" s="79">
        <f t="shared" si="142"/>
        <v>5303.6879999999937</v>
      </c>
      <c r="AS42" s="79">
        <f t="shared" si="142"/>
        <v>5087.666999999994</v>
      </c>
    </row>
    <row r="43" spans="2:45">
      <c r="B43" s="39" t="s">
        <v>470</v>
      </c>
      <c r="C43" s="73">
        <v>10</v>
      </c>
      <c r="D43" s="77">
        <v>0.5</v>
      </c>
      <c r="E43" s="74">
        <v>0.5</v>
      </c>
      <c r="F43" s="71">
        <f t="shared" ref="F43:O43" si="143">+$E24*F24</f>
        <v>0</v>
      </c>
      <c r="G43" s="71">
        <f t="shared" si="143"/>
        <v>0</v>
      </c>
      <c r="H43" s="71">
        <f t="shared" si="143"/>
        <v>0</v>
      </c>
      <c r="I43" s="71">
        <f t="shared" si="143"/>
        <v>0</v>
      </c>
      <c r="J43" s="71">
        <f t="shared" si="143"/>
        <v>0</v>
      </c>
      <c r="K43" s="71">
        <f t="shared" si="143"/>
        <v>0</v>
      </c>
      <c r="L43" s="71">
        <f t="shared" si="143"/>
        <v>0</v>
      </c>
      <c r="M43" s="71">
        <f t="shared" si="143"/>
        <v>0</v>
      </c>
      <c r="N43" s="71">
        <f t="shared" si="143"/>
        <v>0</v>
      </c>
      <c r="O43" s="71">
        <f t="shared" si="143"/>
        <v>0</v>
      </c>
      <c r="P43" s="71">
        <f t="shared" ref="P43:AS43" si="144">(F27*$D43*$E43+F43)</f>
        <v>148.97999999999999</v>
      </c>
      <c r="Q43" s="71">
        <f t="shared" si="144"/>
        <v>156.429</v>
      </c>
      <c r="R43" s="71">
        <f t="shared" si="144"/>
        <v>163.87800000000001</v>
      </c>
      <c r="S43" s="71">
        <f t="shared" si="144"/>
        <v>171.32700000000003</v>
      </c>
      <c r="T43" s="71">
        <f t="shared" si="144"/>
        <v>178.77600000000004</v>
      </c>
      <c r="U43" s="71">
        <f t="shared" si="144"/>
        <v>175.05150000000003</v>
      </c>
      <c r="V43" s="71">
        <f t="shared" si="144"/>
        <v>171.32700000000003</v>
      </c>
      <c r="W43" s="71">
        <f t="shared" si="144"/>
        <v>167.60250000000002</v>
      </c>
      <c r="X43" s="71">
        <f t="shared" si="144"/>
        <v>163.87800000000001</v>
      </c>
      <c r="Y43" s="71">
        <f t="shared" si="144"/>
        <v>160.15350000000001</v>
      </c>
      <c r="Z43" s="71">
        <f t="shared" si="144"/>
        <v>308.3886</v>
      </c>
      <c r="AA43" s="71">
        <f t="shared" si="144"/>
        <v>315.09270000000004</v>
      </c>
      <c r="AB43" s="71">
        <f t="shared" si="144"/>
        <v>321.79680000000008</v>
      </c>
      <c r="AC43" s="71">
        <f t="shared" si="144"/>
        <v>328.50090000000006</v>
      </c>
      <c r="AD43" s="71">
        <f t="shared" si="144"/>
        <v>335.20500000000004</v>
      </c>
      <c r="AE43" s="71">
        <f t="shared" si="144"/>
        <v>330.73560000000009</v>
      </c>
      <c r="AF43" s="71">
        <f t="shared" si="144"/>
        <v>326.26620000000008</v>
      </c>
      <c r="AG43" s="71">
        <f t="shared" si="144"/>
        <v>321.79680000000008</v>
      </c>
      <c r="AH43" s="71">
        <f t="shared" si="144"/>
        <v>317.32740000000007</v>
      </c>
      <c r="AI43" s="71">
        <f t="shared" si="144"/>
        <v>312.85800000000006</v>
      </c>
      <c r="AJ43" s="71">
        <f t="shared" si="144"/>
        <v>460.34820000000002</v>
      </c>
      <c r="AK43" s="71">
        <f t="shared" si="144"/>
        <v>466.30740000000014</v>
      </c>
      <c r="AL43" s="71">
        <f t="shared" si="144"/>
        <v>472.26660000000015</v>
      </c>
      <c r="AM43" s="71">
        <f t="shared" si="144"/>
        <v>478.22580000000016</v>
      </c>
      <c r="AN43" s="71">
        <f t="shared" si="144"/>
        <v>484.18500000000012</v>
      </c>
      <c r="AO43" s="71">
        <f t="shared" si="144"/>
        <v>478.97070000000019</v>
      </c>
      <c r="AP43" s="71">
        <f t="shared" si="144"/>
        <v>473.75640000000021</v>
      </c>
      <c r="AQ43" s="71">
        <f t="shared" si="144"/>
        <v>468.54210000000018</v>
      </c>
      <c r="AR43" s="71">
        <f t="shared" si="144"/>
        <v>463.32780000000014</v>
      </c>
      <c r="AS43" s="71">
        <f t="shared" si="144"/>
        <v>458.11350000000016</v>
      </c>
    </row>
    <row r="44" spans="2:45">
      <c r="B44" s="70" t="s">
        <v>135</v>
      </c>
      <c r="C44" s="73">
        <v>1</v>
      </c>
      <c r="D44" s="77">
        <v>0.5</v>
      </c>
      <c r="E44" s="74">
        <v>1</v>
      </c>
      <c r="F44" s="71">
        <v>0</v>
      </c>
      <c r="G44" s="71">
        <f t="shared" ref="G44:AS44" si="145">(F28*$D44*$E44+F44)</f>
        <v>1121.8</v>
      </c>
      <c r="H44" s="71">
        <f t="shared" si="145"/>
        <v>2355.7799999999997</v>
      </c>
      <c r="I44" s="71">
        <f t="shared" si="145"/>
        <v>3533.6699999999996</v>
      </c>
      <c r="J44" s="71">
        <f t="shared" si="145"/>
        <v>4677.905999999999</v>
      </c>
      <c r="K44" s="71">
        <f t="shared" si="145"/>
        <v>5788.4879999999994</v>
      </c>
      <c r="L44" s="71">
        <f t="shared" si="145"/>
        <v>6865.4159999999993</v>
      </c>
      <c r="M44" s="71">
        <f t="shared" si="145"/>
        <v>7908.6899999999987</v>
      </c>
      <c r="N44" s="71">
        <f t="shared" si="145"/>
        <v>8918.3099999999977</v>
      </c>
      <c r="O44" s="71">
        <f t="shared" si="145"/>
        <v>9894.275999999998</v>
      </c>
      <c r="P44" s="71">
        <f t="shared" si="145"/>
        <v>10825.369999999997</v>
      </c>
      <c r="Q44" s="71">
        <f t="shared" si="145"/>
        <v>11711.591999999997</v>
      </c>
      <c r="R44" s="71">
        <f t="shared" si="145"/>
        <v>12552.941999999997</v>
      </c>
      <c r="S44" s="71">
        <f t="shared" si="145"/>
        <v>13349.419999999996</v>
      </c>
      <c r="T44" s="71">
        <f t="shared" si="145"/>
        <v>14101.025999999996</v>
      </c>
      <c r="U44" s="71">
        <f t="shared" si="145"/>
        <v>14807.759999999997</v>
      </c>
      <c r="V44" s="71">
        <f t="shared" si="145"/>
        <v>15469.621999999996</v>
      </c>
      <c r="W44" s="71">
        <f t="shared" si="145"/>
        <v>16086.611999999996</v>
      </c>
      <c r="X44" s="71">
        <f t="shared" si="145"/>
        <v>16658.729999999996</v>
      </c>
      <c r="Y44" s="71">
        <f t="shared" si="145"/>
        <v>17185.975999999995</v>
      </c>
      <c r="Z44" s="71">
        <f t="shared" si="145"/>
        <v>17668.349999999995</v>
      </c>
      <c r="AA44" s="71">
        <f t="shared" si="145"/>
        <v>18105.851999999995</v>
      </c>
      <c r="AB44" s="71">
        <f t="shared" si="145"/>
        <v>18498.481999999996</v>
      </c>
      <c r="AC44" s="71">
        <f t="shared" si="145"/>
        <v>18846.239999999994</v>
      </c>
      <c r="AD44" s="71">
        <f t="shared" si="145"/>
        <v>19149.125999999993</v>
      </c>
      <c r="AE44" s="71">
        <f t="shared" si="145"/>
        <v>19407.139999999992</v>
      </c>
      <c r="AF44" s="71">
        <f t="shared" si="145"/>
        <v>19620.281999999992</v>
      </c>
      <c r="AG44" s="71">
        <f t="shared" si="145"/>
        <v>19788.551999999992</v>
      </c>
      <c r="AH44" s="71">
        <f t="shared" si="145"/>
        <v>19911.949999999993</v>
      </c>
      <c r="AI44" s="71">
        <f t="shared" si="145"/>
        <v>19990.475999999991</v>
      </c>
      <c r="AJ44" s="71">
        <f t="shared" si="145"/>
        <v>20066.758399999992</v>
      </c>
      <c r="AK44" s="71">
        <f t="shared" si="145"/>
        <v>20140.79719999999</v>
      </c>
      <c r="AL44" s="71">
        <f t="shared" si="145"/>
        <v>20212.59239999999</v>
      </c>
      <c r="AM44" s="71">
        <f t="shared" si="145"/>
        <v>20282.143999999989</v>
      </c>
      <c r="AN44" s="71">
        <f t="shared" si="145"/>
        <v>20349.45199999999</v>
      </c>
      <c r="AO44" s="71">
        <f t="shared" si="145"/>
        <v>20414.51639999999</v>
      </c>
      <c r="AP44" s="71">
        <f t="shared" si="145"/>
        <v>20477.337199999987</v>
      </c>
      <c r="AQ44" s="71">
        <f t="shared" si="145"/>
        <v>20537.914399999987</v>
      </c>
      <c r="AR44" s="71">
        <f t="shared" si="145"/>
        <v>20596.247999999985</v>
      </c>
      <c r="AS44" s="71">
        <f t="shared" si="145"/>
        <v>20652.337999999985</v>
      </c>
    </row>
    <row r="45" spans="2:45">
      <c r="B45" s="70" t="s">
        <v>231</v>
      </c>
      <c r="C45" s="73">
        <v>10</v>
      </c>
      <c r="D45" s="77">
        <v>0.7</v>
      </c>
      <c r="E45" s="74">
        <v>0.7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f t="shared" ref="P45:Y46" si="146">(F29*$D45*$E45+F45)</f>
        <v>164.90459999999996</v>
      </c>
      <c r="Q45" s="71">
        <f t="shared" si="146"/>
        <v>219.87279999999998</v>
      </c>
      <c r="R45" s="71">
        <f t="shared" si="146"/>
        <v>274.84099999999995</v>
      </c>
      <c r="S45" s="71">
        <f t="shared" si="146"/>
        <v>329.80919999999998</v>
      </c>
      <c r="T45" s="71">
        <f t="shared" si="146"/>
        <v>384.7774</v>
      </c>
      <c r="U45" s="71">
        <f t="shared" si="146"/>
        <v>384.7774</v>
      </c>
      <c r="V45" s="71">
        <f t="shared" si="146"/>
        <v>384.7774</v>
      </c>
      <c r="W45" s="71">
        <f t="shared" si="146"/>
        <v>384.7774</v>
      </c>
      <c r="X45" s="71">
        <f t="shared" si="146"/>
        <v>384.7774</v>
      </c>
      <c r="Y45" s="71">
        <f t="shared" si="146"/>
        <v>384.7774</v>
      </c>
      <c r="Z45" s="71">
        <f t="shared" ref="Z45:AI46" si="147">(P29*$D45*$E45+P45)</f>
        <v>549.68200000000002</v>
      </c>
      <c r="AA45" s="71">
        <f t="shared" si="147"/>
        <v>604.65020000000004</v>
      </c>
      <c r="AB45" s="71">
        <f t="shared" si="147"/>
        <v>659.61839999999995</v>
      </c>
      <c r="AC45" s="71">
        <f t="shared" si="147"/>
        <v>714.58659999999998</v>
      </c>
      <c r="AD45" s="71">
        <f t="shared" si="147"/>
        <v>769.5548</v>
      </c>
      <c r="AE45" s="71">
        <f t="shared" si="147"/>
        <v>769.5548</v>
      </c>
      <c r="AF45" s="71">
        <f t="shared" si="147"/>
        <v>769.5548</v>
      </c>
      <c r="AG45" s="71">
        <f t="shared" si="147"/>
        <v>769.5548</v>
      </c>
      <c r="AH45" s="71">
        <f t="shared" si="147"/>
        <v>769.5548</v>
      </c>
      <c r="AI45" s="71">
        <f t="shared" si="147"/>
        <v>769.5548</v>
      </c>
      <c r="AJ45" s="71">
        <f t="shared" ref="AJ45:AS46" si="148">(Z29*$D45*$E45+Z45)</f>
        <v>934.45939999999996</v>
      </c>
      <c r="AK45" s="71">
        <f t="shared" si="148"/>
        <v>989.42759999999998</v>
      </c>
      <c r="AL45" s="71">
        <f t="shared" si="148"/>
        <v>1044.3958</v>
      </c>
      <c r="AM45" s="71">
        <f t="shared" si="148"/>
        <v>1099.364</v>
      </c>
      <c r="AN45" s="71">
        <f t="shared" si="148"/>
        <v>1154.3322000000001</v>
      </c>
      <c r="AO45" s="71">
        <f t="shared" si="148"/>
        <v>1154.3322000000001</v>
      </c>
      <c r="AP45" s="71">
        <f t="shared" si="148"/>
        <v>1154.3322000000001</v>
      </c>
      <c r="AQ45" s="71">
        <f t="shared" si="148"/>
        <v>1154.3322000000001</v>
      </c>
      <c r="AR45" s="71">
        <f t="shared" si="148"/>
        <v>1154.3322000000001</v>
      </c>
      <c r="AS45" s="71">
        <f t="shared" si="148"/>
        <v>1154.3322000000001</v>
      </c>
    </row>
    <row r="46" spans="2:45">
      <c r="B46" s="75" t="s">
        <v>232</v>
      </c>
      <c r="C46" s="73">
        <v>10</v>
      </c>
      <c r="D46" s="77">
        <v>0.7</v>
      </c>
      <c r="E46" s="74">
        <v>1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f t="shared" si="146"/>
        <v>73.000199999999992</v>
      </c>
      <c r="Q46" s="71">
        <f t="shared" si="146"/>
        <v>109.50029999999998</v>
      </c>
      <c r="R46" s="71">
        <f t="shared" si="146"/>
        <v>146.00039999999998</v>
      </c>
      <c r="S46" s="71">
        <f t="shared" si="146"/>
        <v>182.50049999999996</v>
      </c>
      <c r="T46" s="71">
        <f t="shared" si="146"/>
        <v>219.00059999999999</v>
      </c>
      <c r="U46" s="71">
        <f t="shared" si="146"/>
        <v>200.75054999999998</v>
      </c>
      <c r="V46" s="71">
        <f t="shared" si="146"/>
        <v>182.50050000000002</v>
      </c>
      <c r="W46" s="71">
        <f t="shared" si="146"/>
        <v>164.25045</v>
      </c>
      <c r="X46" s="71">
        <f t="shared" si="146"/>
        <v>146.00040000000004</v>
      </c>
      <c r="Y46" s="71">
        <f t="shared" si="146"/>
        <v>145.27039800000003</v>
      </c>
      <c r="Z46" s="71">
        <f t="shared" si="147"/>
        <v>217.54059599999999</v>
      </c>
      <c r="AA46" s="71">
        <f t="shared" si="147"/>
        <v>253.31069400000001</v>
      </c>
      <c r="AB46" s="71">
        <f t="shared" si="147"/>
        <v>289.08079200000003</v>
      </c>
      <c r="AC46" s="71">
        <f t="shared" si="147"/>
        <v>324.85088999999999</v>
      </c>
      <c r="AD46" s="71">
        <f t="shared" si="147"/>
        <v>360.62098800000001</v>
      </c>
      <c r="AE46" s="71">
        <f t="shared" si="147"/>
        <v>341.64093600000001</v>
      </c>
      <c r="AF46" s="71">
        <f t="shared" si="147"/>
        <v>322.66088400000012</v>
      </c>
      <c r="AG46" s="71">
        <f t="shared" si="147"/>
        <v>303.68083200000007</v>
      </c>
      <c r="AH46" s="71">
        <f t="shared" si="147"/>
        <v>284.70078000000012</v>
      </c>
      <c r="AI46" s="71">
        <f t="shared" si="147"/>
        <v>283.2407760000001</v>
      </c>
      <c r="AJ46" s="71">
        <f t="shared" si="148"/>
        <v>354.78097200000008</v>
      </c>
      <c r="AK46" s="71">
        <f t="shared" si="148"/>
        <v>389.82106800000008</v>
      </c>
      <c r="AL46" s="71">
        <f t="shared" si="148"/>
        <v>424.86116400000014</v>
      </c>
      <c r="AM46" s="71">
        <f t="shared" si="148"/>
        <v>459.90126000000009</v>
      </c>
      <c r="AN46" s="71">
        <f t="shared" si="148"/>
        <v>494.9413560000001</v>
      </c>
      <c r="AO46" s="71">
        <f t="shared" si="148"/>
        <v>475.23130200000014</v>
      </c>
      <c r="AP46" s="71">
        <f t="shared" si="148"/>
        <v>455.52124800000024</v>
      </c>
      <c r="AQ46" s="71">
        <f t="shared" si="148"/>
        <v>435.81119400000017</v>
      </c>
      <c r="AR46" s="71">
        <f t="shared" si="148"/>
        <v>416.10114000000021</v>
      </c>
      <c r="AS46" s="71">
        <f t="shared" si="148"/>
        <v>413.54613300000017</v>
      </c>
    </row>
    <row r="47" spans="2:45" s="87" customFormat="1">
      <c r="B47" s="83" t="s">
        <v>133</v>
      </c>
      <c r="C47" s="84">
        <v>5</v>
      </c>
      <c r="D47" s="77">
        <v>0.5</v>
      </c>
      <c r="E47" s="85">
        <v>0.5</v>
      </c>
      <c r="F47" s="86">
        <f t="shared" ref="F47:J47" si="149">+$E23*F23</f>
        <v>0</v>
      </c>
      <c r="G47" s="86">
        <f t="shared" si="149"/>
        <v>0</v>
      </c>
      <c r="H47" s="86">
        <f t="shared" si="149"/>
        <v>0</v>
      </c>
      <c r="I47" s="86">
        <f t="shared" si="149"/>
        <v>0</v>
      </c>
      <c r="J47" s="86">
        <f t="shared" si="149"/>
        <v>0</v>
      </c>
      <c r="K47" s="86">
        <f t="shared" ref="K47:AS47" si="150">(F31*$D47*$E47+F47)</f>
        <v>16.387799999999999</v>
      </c>
      <c r="L47" s="86">
        <f t="shared" si="150"/>
        <v>22.533224999999998</v>
      </c>
      <c r="M47" s="86">
        <f t="shared" si="150"/>
        <v>26.630174999999998</v>
      </c>
      <c r="N47" s="86">
        <f t="shared" si="150"/>
        <v>30.727124999999997</v>
      </c>
      <c r="O47" s="86">
        <f t="shared" si="150"/>
        <v>34.824075000000001</v>
      </c>
      <c r="P47" s="86">
        <f t="shared" si="150"/>
        <v>51.211874999999999</v>
      </c>
      <c r="Q47" s="86">
        <f t="shared" si="150"/>
        <v>57.357299999999995</v>
      </c>
      <c r="R47" s="86">
        <f t="shared" si="150"/>
        <v>61.454250000000002</v>
      </c>
      <c r="S47" s="86">
        <f t="shared" si="150"/>
        <v>65.551199999999994</v>
      </c>
      <c r="T47" s="86">
        <f t="shared" si="150"/>
        <v>69.648150000000001</v>
      </c>
      <c r="U47" s="86">
        <f t="shared" si="150"/>
        <v>86.03595</v>
      </c>
      <c r="V47" s="86">
        <f t="shared" si="150"/>
        <v>92.181375000000003</v>
      </c>
      <c r="W47" s="86">
        <f t="shared" si="150"/>
        <v>96.278324999999995</v>
      </c>
      <c r="X47" s="86">
        <f t="shared" si="150"/>
        <v>100.37527499999999</v>
      </c>
      <c r="Y47" s="86">
        <f t="shared" si="150"/>
        <v>104.47222500000001</v>
      </c>
      <c r="Z47" s="86">
        <f t="shared" si="150"/>
        <v>120.86002500000001</v>
      </c>
      <c r="AA47" s="86">
        <f t="shared" si="150"/>
        <v>127.00545</v>
      </c>
      <c r="AB47" s="86">
        <f t="shared" si="150"/>
        <v>131.10239999999999</v>
      </c>
      <c r="AC47" s="86">
        <f t="shared" si="150"/>
        <v>135.19934999999998</v>
      </c>
      <c r="AD47" s="86">
        <f t="shared" si="150"/>
        <v>139.2963</v>
      </c>
      <c r="AE47" s="86">
        <f t="shared" si="150"/>
        <v>154.86471</v>
      </c>
      <c r="AF47" s="86">
        <f t="shared" si="150"/>
        <v>160.19074499999999</v>
      </c>
      <c r="AG47" s="86">
        <f t="shared" si="150"/>
        <v>163.46830499999999</v>
      </c>
      <c r="AH47" s="86">
        <f t="shared" si="150"/>
        <v>166.74586499999998</v>
      </c>
      <c r="AI47" s="86">
        <f t="shared" si="150"/>
        <v>170.023425</v>
      </c>
      <c r="AJ47" s="86">
        <f t="shared" si="150"/>
        <v>184.772445</v>
      </c>
      <c r="AK47" s="86">
        <f t="shared" si="150"/>
        <v>189.27909</v>
      </c>
      <c r="AL47" s="86">
        <f t="shared" si="150"/>
        <v>191.73725999999999</v>
      </c>
      <c r="AM47" s="86">
        <f t="shared" si="150"/>
        <v>194.19542999999999</v>
      </c>
      <c r="AN47" s="86">
        <f t="shared" si="150"/>
        <v>196.65360000000001</v>
      </c>
      <c r="AO47" s="86">
        <f t="shared" si="150"/>
        <v>210.58323000000001</v>
      </c>
      <c r="AP47" s="86">
        <f t="shared" si="150"/>
        <v>214.27048500000001</v>
      </c>
      <c r="AQ47" s="86">
        <f t="shared" si="150"/>
        <v>215.909265</v>
      </c>
      <c r="AR47" s="86">
        <f t="shared" si="150"/>
        <v>217.548045</v>
      </c>
      <c r="AS47" s="86">
        <f t="shared" si="150"/>
        <v>219.18682500000003</v>
      </c>
    </row>
    <row r="48" spans="2:45">
      <c r="B48" s="70"/>
      <c r="C48" s="73"/>
      <c r="D48" s="74"/>
      <c r="E48" s="74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</row>
    <row r="49" spans="2:45">
      <c r="B49" s="69" t="s">
        <v>186</v>
      </c>
      <c r="C49" s="38" t="s">
        <v>543</v>
      </c>
      <c r="D49" s="38" t="s">
        <v>192</v>
      </c>
      <c r="E49" s="38" t="s">
        <v>224</v>
      </c>
      <c r="F49" s="64" t="s">
        <v>118</v>
      </c>
      <c r="G49" s="64" t="s">
        <v>119</v>
      </c>
      <c r="H49" s="64" t="s">
        <v>120</v>
      </c>
      <c r="I49" s="64" t="s">
        <v>121</v>
      </c>
      <c r="J49" s="64" t="s">
        <v>122</v>
      </c>
      <c r="K49" s="64" t="s">
        <v>123</v>
      </c>
      <c r="L49" s="64" t="s">
        <v>124</v>
      </c>
      <c r="M49" s="64" t="s">
        <v>125</v>
      </c>
      <c r="N49" s="64" t="s">
        <v>126</v>
      </c>
      <c r="O49" s="64" t="s">
        <v>127</v>
      </c>
      <c r="P49" s="64" t="s">
        <v>128</v>
      </c>
      <c r="Q49" s="64" t="s">
        <v>193</v>
      </c>
      <c r="R49" s="64" t="s">
        <v>194</v>
      </c>
      <c r="S49" s="64" t="s">
        <v>195</v>
      </c>
      <c r="T49" s="64" t="s">
        <v>196</v>
      </c>
      <c r="U49" s="64" t="s">
        <v>197</v>
      </c>
      <c r="V49" s="64" t="s">
        <v>198</v>
      </c>
      <c r="W49" s="64" t="s">
        <v>199</v>
      </c>
      <c r="X49" s="64" t="s">
        <v>200</v>
      </c>
      <c r="Y49" s="64" t="s">
        <v>201</v>
      </c>
      <c r="Z49" s="64" t="s">
        <v>202</v>
      </c>
      <c r="AA49" s="64" t="s">
        <v>203</v>
      </c>
      <c r="AB49" s="64" t="s">
        <v>204</v>
      </c>
      <c r="AC49" s="64" t="s">
        <v>205</v>
      </c>
      <c r="AD49" s="64" t="s">
        <v>206</v>
      </c>
      <c r="AE49" s="64" t="s">
        <v>207</v>
      </c>
      <c r="AF49" s="64" t="s">
        <v>208</v>
      </c>
      <c r="AG49" s="64" t="s">
        <v>209</v>
      </c>
      <c r="AH49" s="64" t="s">
        <v>210</v>
      </c>
      <c r="AI49" s="64" t="s">
        <v>211</v>
      </c>
      <c r="AJ49" s="64" t="s">
        <v>212</v>
      </c>
      <c r="AK49" s="64" t="s">
        <v>213</v>
      </c>
      <c r="AL49" s="64" t="s">
        <v>214</v>
      </c>
      <c r="AM49" s="64" t="s">
        <v>215</v>
      </c>
      <c r="AN49" s="64" t="s">
        <v>216</v>
      </c>
      <c r="AO49" s="64" t="s">
        <v>217</v>
      </c>
      <c r="AP49" s="64" t="s">
        <v>218</v>
      </c>
      <c r="AQ49" s="64" t="s">
        <v>219</v>
      </c>
      <c r="AR49" s="64" t="s">
        <v>220</v>
      </c>
      <c r="AS49" s="64" t="s">
        <v>221</v>
      </c>
    </row>
    <row r="50" spans="2:45" s="80" customFormat="1">
      <c r="B50" s="75" t="s">
        <v>136</v>
      </c>
      <c r="C50" s="76">
        <v>10</v>
      </c>
      <c r="D50" s="77">
        <v>0.7</v>
      </c>
      <c r="E50" s="77">
        <v>0.5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f t="shared" ref="P50:Y51" si="151">(F34*$D50*$E50+F50)</f>
        <v>10.950029999999998</v>
      </c>
      <c r="Q50" s="79">
        <f t="shared" si="151"/>
        <v>12.775034999999997</v>
      </c>
      <c r="R50" s="79">
        <f t="shared" si="151"/>
        <v>14.600039999999996</v>
      </c>
      <c r="S50" s="79">
        <f t="shared" si="151"/>
        <v>16.425044999999994</v>
      </c>
      <c r="T50" s="79">
        <f t="shared" si="151"/>
        <v>18.250049999999995</v>
      </c>
      <c r="U50" s="79">
        <f t="shared" si="151"/>
        <v>17.885048999999992</v>
      </c>
      <c r="V50" s="79">
        <f t="shared" si="151"/>
        <v>17.520047999999992</v>
      </c>
      <c r="W50" s="79">
        <f t="shared" si="151"/>
        <v>17.155046999999993</v>
      </c>
      <c r="X50" s="79">
        <f t="shared" si="151"/>
        <v>16.790045999999993</v>
      </c>
      <c r="Y50" s="79">
        <f t="shared" si="151"/>
        <v>16.42504499999999</v>
      </c>
      <c r="Z50" s="79">
        <f t="shared" ref="Z50:AI51" si="152">(P34*$D50*$E50+P50)</f>
        <v>27.010073999999989</v>
      </c>
      <c r="AA50" s="79">
        <f t="shared" si="152"/>
        <v>28.470077999999987</v>
      </c>
      <c r="AB50" s="79">
        <f t="shared" si="152"/>
        <v>29.930081999999988</v>
      </c>
      <c r="AC50" s="79">
        <f t="shared" si="152"/>
        <v>31.390085999999982</v>
      </c>
      <c r="AD50" s="79">
        <f t="shared" si="152"/>
        <v>32.850089999999987</v>
      </c>
      <c r="AE50" s="79">
        <f t="shared" si="152"/>
        <v>32.120087999999981</v>
      </c>
      <c r="AF50" s="79">
        <f t="shared" si="152"/>
        <v>31.390085999999982</v>
      </c>
      <c r="AG50" s="79">
        <f t="shared" si="152"/>
        <v>30.660083999999983</v>
      </c>
      <c r="AH50" s="79">
        <f t="shared" si="152"/>
        <v>29.930081999999985</v>
      </c>
      <c r="AI50" s="79">
        <f t="shared" si="152"/>
        <v>29.200079999999978</v>
      </c>
      <c r="AJ50" s="79">
        <f t="shared" ref="AJ50:AS51" si="153">(Z34*$D50*$E50+Z50)</f>
        <v>39.712108799999982</v>
      </c>
      <c r="AK50" s="79">
        <f t="shared" si="153"/>
        <v>41.099112599999977</v>
      </c>
      <c r="AL50" s="79">
        <f t="shared" si="153"/>
        <v>42.486116399999979</v>
      </c>
      <c r="AM50" s="79">
        <f t="shared" si="153"/>
        <v>43.873120199999974</v>
      </c>
      <c r="AN50" s="79">
        <f t="shared" si="153"/>
        <v>45.260123999999976</v>
      </c>
      <c r="AO50" s="79">
        <f t="shared" si="153"/>
        <v>44.457121799999975</v>
      </c>
      <c r="AP50" s="79">
        <f t="shared" si="153"/>
        <v>43.654119599999973</v>
      </c>
      <c r="AQ50" s="79">
        <f t="shared" si="153"/>
        <v>42.851117399999978</v>
      </c>
      <c r="AR50" s="79">
        <f t="shared" si="153"/>
        <v>42.048115199999977</v>
      </c>
      <c r="AS50" s="79">
        <f t="shared" si="153"/>
        <v>41.245112999999975</v>
      </c>
    </row>
    <row r="51" spans="2:45">
      <c r="B51" s="70" t="s">
        <v>139</v>
      </c>
      <c r="C51" s="73">
        <v>10</v>
      </c>
      <c r="D51" s="74">
        <v>0.7</v>
      </c>
      <c r="E51" s="74">
        <v>0.5</v>
      </c>
      <c r="F51" s="71">
        <v>0</v>
      </c>
      <c r="G51" s="71">
        <v>0</v>
      </c>
      <c r="H51" s="71">
        <v>0</v>
      </c>
      <c r="I51" s="71">
        <v>0</v>
      </c>
      <c r="J51" s="71">
        <v>0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s="71">
        <f t="shared" si="151"/>
        <v>6.6743040000000011</v>
      </c>
      <c r="Q51" s="71">
        <f t="shared" si="151"/>
        <v>7.7171640000000004</v>
      </c>
      <c r="R51" s="71">
        <f t="shared" si="151"/>
        <v>8.7600239999999996</v>
      </c>
      <c r="S51" s="71">
        <f t="shared" si="151"/>
        <v>9.8028839999999988</v>
      </c>
      <c r="T51" s="71">
        <f t="shared" si="151"/>
        <v>10.845743999999998</v>
      </c>
      <c r="U51" s="71">
        <f t="shared" si="151"/>
        <v>10.637172</v>
      </c>
      <c r="V51" s="71">
        <f t="shared" si="151"/>
        <v>10.428599999999998</v>
      </c>
      <c r="W51" s="71">
        <f t="shared" si="151"/>
        <v>10.220027999999997</v>
      </c>
      <c r="X51" s="71">
        <f t="shared" si="151"/>
        <v>10.011455999999999</v>
      </c>
      <c r="Y51" s="71">
        <f t="shared" si="151"/>
        <v>9.802883999999997</v>
      </c>
      <c r="Z51" s="71">
        <f t="shared" si="152"/>
        <v>16.268615999999998</v>
      </c>
      <c r="AA51" s="71">
        <f t="shared" si="152"/>
        <v>17.102903999999995</v>
      </c>
      <c r="AB51" s="71">
        <f t="shared" si="152"/>
        <v>17.937191999999996</v>
      </c>
      <c r="AC51" s="71">
        <f t="shared" si="152"/>
        <v>18.771479999999997</v>
      </c>
      <c r="AD51" s="71">
        <f t="shared" si="152"/>
        <v>19.605767999999994</v>
      </c>
      <c r="AE51" s="71">
        <f t="shared" si="152"/>
        <v>19.188623999999997</v>
      </c>
      <c r="AF51" s="71">
        <f t="shared" si="152"/>
        <v>18.771479999999993</v>
      </c>
      <c r="AG51" s="71">
        <f t="shared" si="152"/>
        <v>18.354335999999993</v>
      </c>
      <c r="AH51" s="71">
        <f t="shared" si="152"/>
        <v>17.937191999999996</v>
      </c>
      <c r="AI51" s="71">
        <f t="shared" si="152"/>
        <v>17.520047999999992</v>
      </c>
      <c r="AJ51" s="71">
        <f t="shared" si="153"/>
        <v>23.944065599999995</v>
      </c>
      <c r="AK51" s="71">
        <f t="shared" si="153"/>
        <v>24.736639199999992</v>
      </c>
      <c r="AL51" s="71">
        <f t="shared" si="153"/>
        <v>25.529212799999993</v>
      </c>
      <c r="AM51" s="71">
        <f t="shared" si="153"/>
        <v>26.321786399999993</v>
      </c>
      <c r="AN51" s="71">
        <f t="shared" si="153"/>
        <v>27.114359999999991</v>
      </c>
      <c r="AO51" s="71">
        <f t="shared" si="153"/>
        <v>26.655501599999994</v>
      </c>
      <c r="AP51" s="71">
        <f t="shared" si="153"/>
        <v>26.19664319999999</v>
      </c>
      <c r="AQ51" s="71">
        <f t="shared" si="153"/>
        <v>25.737784799999993</v>
      </c>
      <c r="AR51" s="71">
        <f t="shared" si="153"/>
        <v>25.278926399999996</v>
      </c>
      <c r="AS51" s="71">
        <f t="shared" si="153"/>
        <v>24.820067999999992</v>
      </c>
    </row>
    <row r="52" spans="2:45">
      <c r="B52" s="70" t="s">
        <v>141</v>
      </c>
      <c r="C52" s="73">
        <v>5</v>
      </c>
      <c r="D52" s="74">
        <v>0.7</v>
      </c>
      <c r="E52" s="74">
        <v>0.5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  <c r="K52" s="71">
        <f t="shared" ref="K52:AS52" si="154">(F36*$D52*$E52+F52)</f>
        <v>26.383000000000003</v>
      </c>
      <c r="L52" s="71">
        <f t="shared" si="154"/>
        <v>26.910660000000007</v>
      </c>
      <c r="M52" s="71">
        <f t="shared" si="154"/>
        <v>27.438320000000004</v>
      </c>
      <c r="N52" s="71">
        <f t="shared" si="154"/>
        <v>27.965980000000009</v>
      </c>
      <c r="O52" s="71">
        <f t="shared" si="154"/>
        <v>28.493640000000006</v>
      </c>
      <c r="P52" s="71">
        <f t="shared" si="154"/>
        <v>54.876640000000009</v>
      </c>
      <c r="Q52" s="71">
        <f t="shared" si="154"/>
        <v>55.404300000000013</v>
      </c>
      <c r="R52" s="71">
        <f t="shared" si="154"/>
        <v>55.931960000000011</v>
      </c>
      <c r="S52" s="71">
        <f t="shared" si="154"/>
        <v>56.459620000000015</v>
      </c>
      <c r="T52" s="71">
        <f t="shared" si="154"/>
        <v>56.987280000000013</v>
      </c>
      <c r="U52" s="71">
        <f t="shared" si="154"/>
        <v>83.370280000000008</v>
      </c>
      <c r="V52" s="71">
        <f t="shared" si="154"/>
        <v>83.89794000000002</v>
      </c>
      <c r="W52" s="71">
        <f t="shared" si="154"/>
        <v>84.425600000000017</v>
      </c>
      <c r="X52" s="71">
        <f t="shared" si="154"/>
        <v>84.953260000000029</v>
      </c>
      <c r="Y52" s="71">
        <f t="shared" si="154"/>
        <v>85.480920000000026</v>
      </c>
      <c r="Z52" s="71">
        <f t="shared" si="154"/>
        <v>111.86392000000001</v>
      </c>
      <c r="AA52" s="71">
        <f t="shared" si="154"/>
        <v>112.39158000000003</v>
      </c>
      <c r="AB52" s="71">
        <f t="shared" si="154"/>
        <v>112.91924000000003</v>
      </c>
      <c r="AC52" s="71">
        <f t="shared" si="154"/>
        <v>113.44690000000003</v>
      </c>
      <c r="AD52" s="71">
        <f t="shared" si="154"/>
        <v>113.97456000000003</v>
      </c>
      <c r="AE52" s="71">
        <f t="shared" si="154"/>
        <v>140.35756000000001</v>
      </c>
      <c r="AF52" s="71">
        <f t="shared" si="154"/>
        <v>140.88522000000003</v>
      </c>
      <c r="AG52" s="71">
        <f t="shared" si="154"/>
        <v>141.41288000000003</v>
      </c>
      <c r="AH52" s="71">
        <f t="shared" si="154"/>
        <v>141.94054000000003</v>
      </c>
      <c r="AI52" s="71">
        <f t="shared" si="154"/>
        <v>142.46820000000002</v>
      </c>
      <c r="AJ52" s="71">
        <f t="shared" si="154"/>
        <v>168.85120000000001</v>
      </c>
      <c r="AK52" s="71">
        <f t="shared" si="154"/>
        <v>169.37886000000003</v>
      </c>
      <c r="AL52" s="71">
        <f t="shared" si="154"/>
        <v>169.90652000000003</v>
      </c>
      <c r="AM52" s="71">
        <f t="shared" si="154"/>
        <v>170.43418000000003</v>
      </c>
      <c r="AN52" s="71">
        <f t="shared" si="154"/>
        <v>170.96184000000002</v>
      </c>
      <c r="AO52" s="71">
        <f t="shared" si="154"/>
        <v>197.34484</v>
      </c>
      <c r="AP52" s="71">
        <f t="shared" si="154"/>
        <v>197.87250000000003</v>
      </c>
      <c r="AQ52" s="71">
        <f t="shared" si="154"/>
        <v>198.40016000000003</v>
      </c>
      <c r="AR52" s="71">
        <f t="shared" si="154"/>
        <v>198.92782000000003</v>
      </c>
      <c r="AS52" s="71">
        <f t="shared" si="154"/>
        <v>199.45548000000002</v>
      </c>
    </row>
    <row r="53" spans="2:45">
      <c r="B53" s="70" t="s">
        <v>142</v>
      </c>
      <c r="C53" s="73">
        <v>10</v>
      </c>
      <c r="D53" s="74">
        <v>0.5</v>
      </c>
      <c r="E53" s="74">
        <v>0.4</v>
      </c>
      <c r="F53" s="71">
        <v>0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f t="shared" ref="P53:AS53" si="155">(F37*$D53*$E53+F53)</f>
        <v>27.114360000000005</v>
      </c>
      <c r="Q53" s="71">
        <f t="shared" si="155"/>
        <v>27.501708000000004</v>
      </c>
      <c r="R53" s="71">
        <f t="shared" si="155"/>
        <v>27.889056000000007</v>
      </c>
      <c r="S53" s="71">
        <f t="shared" si="155"/>
        <v>28.27640400000001</v>
      </c>
      <c r="T53" s="71">
        <f t="shared" si="155"/>
        <v>28.663752000000006</v>
      </c>
      <c r="U53" s="71">
        <f t="shared" si="155"/>
        <v>28.663752000000006</v>
      </c>
      <c r="V53" s="71">
        <f t="shared" si="155"/>
        <v>28.663752000000006</v>
      </c>
      <c r="W53" s="71">
        <f t="shared" si="155"/>
        <v>28.663752000000006</v>
      </c>
      <c r="X53" s="71">
        <f t="shared" si="155"/>
        <v>28.663752000000006</v>
      </c>
      <c r="Y53" s="71">
        <f t="shared" si="155"/>
        <v>28.663752000000006</v>
      </c>
      <c r="Z53" s="71">
        <f t="shared" si="155"/>
        <v>55.778112000000007</v>
      </c>
      <c r="AA53" s="71">
        <f t="shared" si="155"/>
        <v>56.16546000000001</v>
      </c>
      <c r="AB53" s="71">
        <f t="shared" si="155"/>
        <v>56.552808000000013</v>
      </c>
      <c r="AC53" s="71">
        <f t="shared" si="155"/>
        <v>56.940156000000016</v>
      </c>
      <c r="AD53" s="71">
        <f t="shared" si="155"/>
        <v>57.327504000000012</v>
      </c>
      <c r="AE53" s="71">
        <f t="shared" si="155"/>
        <v>57.327504000000012</v>
      </c>
      <c r="AF53" s="71">
        <f t="shared" si="155"/>
        <v>57.327504000000012</v>
      </c>
      <c r="AG53" s="71">
        <f t="shared" si="155"/>
        <v>57.327504000000012</v>
      </c>
      <c r="AH53" s="71">
        <f t="shared" si="155"/>
        <v>57.327504000000012</v>
      </c>
      <c r="AI53" s="71">
        <f t="shared" si="155"/>
        <v>57.327504000000012</v>
      </c>
      <c r="AJ53" s="71">
        <f t="shared" si="155"/>
        <v>84.44186400000001</v>
      </c>
      <c r="AK53" s="71">
        <f t="shared" si="155"/>
        <v>84.829212000000012</v>
      </c>
      <c r="AL53" s="71">
        <f t="shared" si="155"/>
        <v>85.216560000000015</v>
      </c>
      <c r="AM53" s="71">
        <f t="shared" si="155"/>
        <v>85.603908000000018</v>
      </c>
      <c r="AN53" s="71">
        <f t="shared" si="155"/>
        <v>85.991256000000021</v>
      </c>
      <c r="AO53" s="71">
        <f t="shared" si="155"/>
        <v>85.991256000000021</v>
      </c>
      <c r="AP53" s="71">
        <f t="shared" si="155"/>
        <v>85.991256000000021</v>
      </c>
      <c r="AQ53" s="71">
        <f t="shared" si="155"/>
        <v>85.991256000000021</v>
      </c>
      <c r="AR53" s="71">
        <f t="shared" si="155"/>
        <v>85.991256000000021</v>
      </c>
      <c r="AS53" s="71">
        <f t="shared" si="155"/>
        <v>85.991256000000021</v>
      </c>
    </row>
    <row r="54" spans="2:45">
      <c r="B54" s="67"/>
      <c r="C54" s="41"/>
      <c r="D54" s="41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pans="2:45">
      <c r="B55" s="29"/>
      <c r="C55" s="41"/>
      <c r="D55" s="41"/>
      <c r="E55" s="4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pans="2:45">
      <c r="B56" s="29"/>
      <c r="C56" s="41"/>
      <c r="D56" s="41"/>
      <c r="E56" s="4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pans="2:45">
      <c r="B57" s="29" t="s">
        <v>228</v>
      </c>
      <c r="E57" s="44"/>
    </row>
    <row r="58" spans="2:45">
      <c r="B58" s="69" t="s">
        <v>187</v>
      </c>
      <c r="C58" s="38"/>
      <c r="D58" s="38"/>
      <c r="E58" s="38"/>
      <c r="F58" s="64" t="s">
        <v>118</v>
      </c>
      <c r="G58" s="64" t="s">
        <v>119</v>
      </c>
      <c r="H58" s="64" t="s">
        <v>120</v>
      </c>
      <c r="I58" s="64" t="s">
        <v>121</v>
      </c>
      <c r="J58" s="64" t="s">
        <v>122</v>
      </c>
      <c r="K58" s="64" t="s">
        <v>123</v>
      </c>
      <c r="L58" s="64" t="s">
        <v>124</v>
      </c>
      <c r="M58" s="64" t="s">
        <v>125</v>
      </c>
      <c r="N58" s="64" t="s">
        <v>126</v>
      </c>
      <c r="O58" s="64" t="s">
        <v>127</v>
      </c>
      <c r="P58" s="64" t="s">
        <v>128</v>
      </c>
      <c r="Q58" s="64" t="s">
        <v>193</v>
      </c>
      <c r="R58" s="64" t="s">
        <v>194</v>
      </c>
      <c r="S58" s="64" t="s">
        <v>195</v>
      </c>
      <c r="T58" s="64" t="s">
        <v>196</v>
      </c>
      <c r="U58" s="64" t="s">
        <v>197</v>
      </c>
      <c r="V58" s="64" t="s">
        <v>198</v>
      </c>
      <c r="W58" s="64" t="s">
        <v>199</v>
      </c>
      <c r="X58" s="64" t="s">
        <v>200</v>
      </c>
      <c r="Y58" s="64" t="s">
        <v>201</v>
      </c>
      <c r="Z58" s="64" t="s">
        <v>202</v>
      </c>
      <c r="AA58" s="64" t="s">
        <v>203</v>
      </c>
      <c r="AB58" s="64" t="s">
        <v>204</v>
      </c>
      <c r="AC58" s="64" t="s">
        <v>205</v>
      </c>
      <c r="AD58" s="64" t="s">
        <v>206</v>
      </c>
      <c r="AE58" s="64" t="s">
        <v>207</v>
      </c>
      <c r="AF58" s="64" t="s">
        <v>208</v>
      </c>
      <c r="AG58" s="64" t="s">
        <v>209</v>
      </c>
      <c r="AH58" s="64" t="s">
        <v>210</v>
      </c>
      <c r="AI58" s="64" t="s">
        <v>211</v>
      </c>
      <c r="AJ58" s="64" t="s">
        <v>212</v>
      </c>
      <c r="AK58" s="64" t="s">
        <v>213</v>
      </c>
      <c r="AL58" s="64" t="s">
        <v>214</v>
      </c>
      <c r="AM58" s="64" t="s">
        <v>215</v>
      </c>
      <c r="AN58" s="64" t="s">
        <v>216</v>
      </c>
      <c r="AO58" s="64" t="s">
        <v>217</v>
      </c>
      <c r="AP58" s="64" t="s">
        <v>218</v>
      </c>
      <c r="AQ58" s="64" t="s">
        <v>219</v>
      </c>
      <c r="AR58" s="64" t="s">
        <v>220</v>
      </c>
      <c r="AS58" s="64" t="s">
        <v>221</v>
      </c>
    </row>
    <row r="59" spans="2:45">
      <c r="B59" s="70" t="s">
        <v>129</v>
      </c>
      <c r="C59" s="73"/>
      <c r="D59" s="74"/>
      <c r="E59" s="74"/>
      <c r="F59" s="71">
        <f t="shared" ref="F59:AS59" si="156">ROUND(F26+F42, 0)</f>
        <v>1192</v>
      </c>
      <c r="G59" s="71">
        <f t="shared" si="156"/>
        <v>1341</v>
      </c>
      <c r="H59" s="71">
        <f t="shared" si="156"/>
        <v>1862</v>
      </c>
      <c r="I59" s="71">
        <f t="shared" si="156"/>
        <v>1892</v>
      </c>
      <c r="J59" s="71">
        <f t="shared" si="156"/>
        <v>2406</v>
      </c>
      <c r="K59" s="71">
        <f t="shared" si="156"/>
        <v>2413</v>
      </c>
      <c r="L59" s="71">
        <f t="shared" si="156"/>
        <v>2905</v>
      </c>
      <c r="M59" s="71">
        <f t="shared" si="156"/>
        <v>2890</v>
      </c>
      <c r="N59" s="71">
        <f t="shared" si="156"/>
        <v>3359</v>
      </c>
      <c r="O59" s="71">
        <f t="shared" si="156"/>
        <v>3322</v>
      </c>
      <c r="P59" s="71">
        <f t="shared" si="156"/>
        <v>3754</v>
      </c>
      <c r="Q59" s="71">
        <f t="shared" si="156"/>
        <v>3680</v>
      </c>
      <c r="R59" s="71">
        <f t="shared" si="156"/>
        <v>4082</v>
      </c>
      <c r="S59" s="71">
        <f t="shared" si="156"/>
        <v>3978</v>
      </c>
      <c r="T59" s="71">
        <f t="shared" si="156"/>
        <v>4350</v>
      </c>
      <c r="U59" s="71">
        <f t="shared" si="156"/>
        <v>4216</v>
      </c>
      <c r="V59" s="71">
        <f t="shared" si="156"/>
        <v>4559</v>
      </c>
      <c r="W59" s="71">
        <f t="shared" si="156"/>
        <v>4395</v>
      </c>
      <c r="X59" s="71">
        <f t="shared" si="156"/>
        <v>4708</v>
      </c>
      <c r="Y59" s="71">
        <f t="shared" si="156"/>
        <v>4544</v>
      </c>
      <c r="Z59" s="71">
        <f t="shared" si="156"/>
        <v>4857</v>
      </c>
      <c r="AA59" s="71">
        <f t="shared" si="156"/>
        <v>4678</v>
      </c>
      <c r="AB59" s="71">
        <f t="shared" si="156"/>
        <v>4976</v>
      </c>
      <c r="AC59" s="71">
        <f t="shared" si="156"/>
        <v>4782</v>
      </c>
      <c r="AD59" s="71">
        <f t="shared" si="156"/>
        <v>5065</v>
      </c>
      <c r="AE59" s="71">
        <f t="shared" si="156"/>
        <v>4857</v>
      </c>
      <c r="AF59" s="71">
        <f t="shared" si="156"/>
        <v>5125</v>
      </c>
      <c r="AG59" s="71">
        <f t="shared" si="156"/>
        <v>4901</v>
      </c>
      <c r="AH59" s="71">
        <f t="shared" si="156"/>
        <v>5155</v>
      </c>
      <c r="AI59" s="71">
        <f t="shared" si="156"/>
        <v>4943</v>
      </c>
      <c r="AJ59" s="71">
        <f t="shared" si="156"/>
        <v>5208</v>
      </c>
      <c r="AK59" s="71">
        <f t="shared" si="156"/>
        <v>4995</v>
      </c>
      <c r="AL59" s="71">
        <f t="shared" si="156"/>
        <v>5259</v>
      </c>
      <c r="AM59" s="71">
        <f t="shared" si="156"/>
        <v>5044</v>
      </c>
      <c r="AN59" s="71">
        <f t="shared" si="156"/>
        <v>5307</v>
      </c>
      <c r="AO59" s="71">
        <f t="shared" si="156"/>
        <v>5091</v>
      </c>
      <c r="AP59" s="71">
        <f t="shared" si="156"/>
        <v>5351</v>
      </c>
      <c r="AQ59" s="71">
        <f t="shared" si="156"/>
        <v>5134</v>
      </c>
      <c r="AR59" s="71">
        <f t="shared" si="156"/>
        <v>5393</v>
      </c>
      <c r="AS59" s="71">
        <f t="shared" si="156"/>
        <v>5174</v>
      </c>
    </row>
    <row r="60" spans="2:45">
      <c r="B60" s="39" t="s">
        <v>470</v>
      </c>
      <c r="C60" s="73"/>
      <c r="D60" s="74"/>
      <c r="E60" s="74"/>
      <c r="F60" s="71">
        <f t="shared" ref="F60:AS60" si="157">ROUND(F27+F43, 0)</f>
        <v>596</v>
      </c>
      <c r="G60" s="71">
        <f t="shared" si="157"/>
        <v>626</v>
      </c>
      <c r="H60" s="71">
        <f t="shared" si="157"/>
        <v>656</v>
      </c>
      <c r="I60" s="71">
        <f t="shared" si="157"/>
        <v>685</v>
      </c>
      <c r="J60" s="71">
        <f t="shared" si="157"/>
        <v>715</v>
      </c>
      <c r="K60" s="71">
        <f t="shared" si="157"/>
        <v>700</v>
      </c>
      <c r="L60" s="71">
        <f t="shared" si="157"/>
        <v>685</v>
      </c>
      <c r="M60" s="71">
        <f t="shared" si="157"/>
        <v>670</v>
      </c>
      <c r="N60" s="71">
        <f t="shared" si="157"/>
        <v>656</v>
      </c>
      <c r="O60" s="71">
        <f t="shared" si="157"/>
        <v>641</v>
      </c>
      <c r="P60" s="71">
        <f t="shared" si="157"/>
        <v>787</v>
      </c>
      <c r="Q60" s="71">
        <f t="shared" si="157"/>
        <v>791</v>
      </c>
      <c r="R60" s="71">
        <f t="shared" si="157"/>
        <v>796</v>
      </c>
      <c r="S60" s="71">
        <f t="shared" si="157"/>
        <v>800</v>
      </c>
      <c r="T60" s="71">
        <f t="shared" si="157"/>
        <v>804</v>
      </c>
      <c r="U60" s="71">
        <f t="shared" si="157"/>
        <v>798</v>
      </c>
      <c r="V60" s="71">
        <f t="shared" si="157"/>
        <v>791</v>
      </c>
      <c r="W60" s="71">
        <f t="shared" si="157"/>
        <v>784</v>
      </c>
      <c r="X60" s="71">
        <f t="shared" si="157"/>
        <v>778</v>
      </c>
      <c r="Y60" s="71">
        <f t="shared" si="157"/>
        <v>771</v>
      </c>
      <c r="Z60" s="71">
        <f t="shared" si="157"/>
        <v>916</v>
      </c>
      <c r="AA60" s="71">
        <f t="shared" si="157"/>
        <v>920</v>
      </c>
      <c r="AB60" s="71">
        <f t="shared" si="157"/>
        <v>924</v>
      </c>
      <c r="AC60" s="71">
        <f t="shared" si="157"/>
        <v>927</v>
      </c>
      <c r="AD60" s="71">
        <f t="shared" si="157"/>
        <v>931</v>
      </c>
      <c r="AE60" s="71">
        <f t="shared" si="157"/>
        <v>924</v>
      </c>
      <c r="AF60" s="71">
        <f t="shared" si="157"/>
        <v>916</v>
      </c>
      <c r="AG60" s="71">
        <f t="shared" si="157"/>
        <v>909</v>
      </c>
      <c r="AH60" s="71">
        <f t="shared" si="157"/>
        <v>901</v>
      </c>
      <c r="AI60" s="71">
        <f t="shared" si="157"/>
        <v>894</v>
      </c>
      <c r="AJ60" s="71">
        <f t="shared" si="157"/>
        <v>1038</v>
      </c>
      <c r="AK60" s="71">
        <f t="shared" si="157"/>
        <v>1041</v>
      </c>
      <c r="AL60" s="71">
        <f t="shared" si="157"/>
        <v>1044</v>
      </c>
      <c r="AM60" s="71">
        <f t="shared" si="157"/>
        <v>1047</v>
      </c>
      <c r="AN60" s="71">
        <f t="shared" si="157"/>
        <v>1050</v>
      </c>
      <c r="AO60" s="71">
        <f t="shared" si="157"/>
        <v>1042</v>
      </c>
      <c r="AP60" s="71">
        <f t="shared" si="157"/>
        <v>1034</v>
      </c>
      <c r="AQ60" s="71">
        <f t="shared" si="157"/>
        <v>1026</v>
      </c>
      <c r="AR60" s="71">
        <f t="shared" si="157"/>
        <v>1018</v>
      </c>
      <c r="AS60" s="71">
        <f t="shared" si="157"/>
        <v>1009</v>
      </c>
    </row>
    <row r="61" spans="2:45">
      <c r="B61" s="70" t="s">
        <v>135</v>
      </c>
      <c r="C61" s="73"/>
      <c r="D61" s="74"/>
      <c r="E61" s="74"/>
      <c r="F61" s="71">
        <f t="shared" ref="F61:AS61" si="158">ROUND(F28+F44, 0)</f>
        <v>2244</v>
      </c>
      <c r="G61" s="71">
        <f t="shared" si="158"/>
        <v>3590</v>
      </c>
      <c r="H61" s="71">
        <f t="shared" si="158"/>
        <v>4712</v>
      </c>
      <c r="I61" s="71">
        <f t="shared" si="158"/>
        <v>5822</v>
      </c>
      <c r="J61" s="71">
        <f t="shared" si="158"/>
        <v>6899</v>
      </c>
      <c r="K61" s="71">
        <f t="shared" si="158"/>
        <v>7942</v>
      </c>
      <c r="L61" s="71">
        <f t="shared" si="158"/>
        <v>8952</v>
      </c>
      <c r="M61" s="71">
        <f t="shared" si="158"/>
        <v>9928</v>
      </c>
      <c r="N61" s="71">
        <f t="shared" si="158"/>
        <v>10870</v>
      </c>
      <c r="O61" s="71">
        <f t="shared" si="158"/>
        <v>11756</v>
      </c>
      <c r="P61" s="71">
        <f t="shared" si="158"/>
        <v>12598</v>
      </c>
      <c r="Q61" s="71">
        <f t="shared" si="158"/>
        <v>13394</v>
      </c>
      <c r="R61" s="71">
        <f t="shared" si="158"/>
        <v>14146</v>
      </c>
      <c r="S61" s="71">
        <f t="shared" si="158"/>
        <v>14853</v>
      </c>
      <c r="T61" s="71">
        <f t="shared" si="158"/>
        <v>15514</v>
      </c>
      <c r="U61" s="71">
        <f t="shared" si="158"/>
        <v>16131</v>
      </c>
      <c r="V61" s="71">
        <f t="shared" si="158"/>
        <v>16704</v>
      </c>
      <c r="W61" s="71">
        <f t="shared" si="158"/>
        <v>17231</v>
      </c>
      <c r="X61" s="71">
        <f t="shared" si="158"/>
        <v>17713</v>
      </c>
      <c r="Y61" s="71">
        <f t="shared" si="158"/>
        <v>18151</v>
      </c>
      <c r="Z61" s="71">
        <f t="shared" si="158"/>
        <v>18543</v>
      </c>
      <c r="AA61" s="71">
        <f t="shared" si="158"/>
        <v>18891</v>
      </c>
      <c r="AB61" s="71">
        <f t="shared" si="158"/>
        <v>19194</v>
      </c>
      <c r="AC61" s="71">
        <f t="shared" si="158"/>
        <v>19452</v>
      </c>
      <c r="AD61" s="71">
        <f t="shared" si="158"/>
        <v>19665</v>
      </c>
      <c r="AE61" s="71">
        <f t="shared" si="158"/>
        <v>19833</v>
      </c>
      <c r="AF61" s="71">
        <f t="shared" si="158"/>
        <v>19957</v>
      </c>
      <c r="AG61" s="71">
        <f t="shared" si="158"/>
        <v>20035</v>
      </c>
      <c r="AH61" s="71">
        <f t="shared" si="158"/>
        <v>20069</v>
      </c>
      <c r="AI61" s="71">
        <f t="shared" si="158"/>
        <v>20143</v>
      </c>
      <c r="AJ61" s="71">
        <f t="shared" si="158"/>
        <v>20215</v>
      </c>
      <c r="AK61" s="71">
        <f t="shared" si="158"/>
        <v>20284</v>
      </c>
      <c r="AL61" s="71">
        <f t="shared" si="158"/>
        <v>20352</v>
      </c>
      <c r="AM61" s="71">
        <f t="shared" si="158"/>
        <v>20417</v>
      </c>
      <c r="AN61" s="71">
        <f t="shared" si="158"/>
        <v>20480</v>
      </c>
      <c r="AO61" s="71">
        <f t="shared" si="158"/>
        <v>20540</v>
      </c>
      <c r="AP61" s="71">
        <f t="shared" si="158"/>
        <v>20598</v>
      </c>
      <c r="AQ61" s="71">
        <f t="shared" si="158"/>
        <v>20655</v>
      </c>
      <c r="AR61" s="71">
        <f t="shared" si="158"/>
        <v>20708</v>
      </c>
      <c r="AS61" s="71">
        <f t="shared" si="158"/>
        <v>20760</v>
      </c>
    </row>
    <row r="62" spans="2:45">
      <c r="B62" s="70" t="s">
        <v>231</v>
      </c>
      <c r="C62" s="73"/>
      <c r="D62" s="74"/>
      <c r="E62" s="74"/>
      <c r="F62" s="71">
        <f t="shared" ref="F62:AS62" si="159">ROUND(F29+F45, 0)</f>
        <v>337</v>
      </c>
      <c r="G62" s="71">
        <f t="shared" si="159"/>
        <v>449</v>
      </c>
      <c r="H62" s="71">
        <f t="shared" si="159"/>
        <v>561</v>
      </c>
      <c r="I62" s="71">
        <f t="shared" si="159"/>
        <v>673</v>
      </c>
      <c r="J62" s="71">
        <f t="shared" si="159"/>
        <v>785</v>
      </c>
      <c r="K62" s="71">
        <f t="shared" si="159"/>
        <v>785</v>
      </c>
      <c r="L62" s="71">
        <f t="shared" si="159"/>
        <v>785</v>
      </c>
      <c r="M62" s="71">
        <f t="shared" si="159"/>
        <v>785</v>
      </c>
      <c r="N62" s="71">
        <f t="shared" si="159"/>
        <v>785</v>
      </c>
      <c r="O62" s="71">
        <f t="shared" si="159"/>
        <v>785</v>
      </c>
      <c r="P62" s="71">
        <f t="shared" si="159"/>
        <v>950</v>
      </c>
      <c r="Q62" s="71">
        <f t="shared" si="159"/>
        <v>1005</v>
      </c>
      <c r="R62" s="71">
        <f t="shared" si="159"/>
        <v>1060</v>
      </c>
      <c r="S62" s="71">
        <f t="shared" si="159"/>
        <v>1115</v>
      </c>
      <c r="T62" s="71">
        <f t="shared" si="159"/>
        <v>1170</v>
      </c>
      <c r="U62" s="71">
        <f t="shared" si="159"/>
        <v>1170</v>
      </c>
      <c r="V62" s="71">
        <f t="shared" si="159"/>
        <v>1170</v>
      </c>
      <c r="W62" s="71">
        <f t="shared" si="159"/>
        <v>1170</v>
      </c>
      <c r="X62" s="71">
        <f t="shared" si="159"/>
        <v>1170</v>
      </c>
      <c r="Y62" s="71">
        <f t="shared" si="159"/>
        <v>1170</v>
      </c>
      <c r="Z62" s="71">
        <f t="shared" si="159"/>
        <v>1335</v>
      </c>
      <c r="AA62" s="71">
        <f t="shared" si="159"/>
        <v>1390</v>
      </c>
      <c r="AB62" s="71">
        <f t="shared" si="159"/>
        <v>1445</v>
      </c>
      <c r="AC62" s="71">
        <f t="shared" si="159"/>
        <v>1500</v>
      </c>
      <c r="AD62" s="71">
        <f t="shared" si="159"/>
        <v>1555</v>
      </c>
      <c r="AE62" s="71">
        <f t="shared" si="159"/>
        <v>1555</v>
      </c>
      <c r="AF62" s="71">
        <f t="shared" si="159"/>
        <v>1555</v>
      </c>
      <c r="AG62" s="71">
        <f t="shared" si="159"/>
        <v>1555</v>
      </c>
      <c r="AH62" s="71">
        <f t="shared" si="159"/>
        <v>1555</v>
      </c>
      <c r="AI62" s="71">
        <f t="shared" si="159"/>
        <v>1555</v>
      </c>
      <c r="AJ62" s="71">
        <f t="shared" si="159"/>
        <v>1720</v>
      </c>
      <c r="AK62" s="71">
        <f t="shared" si="159"/>
        <v>1775</v>
      </c>
      <c r="AL62" s="71">
        <f t="shared" si="159"/>
        <v>1830</v>
      </c>
      <c r="AM62" s="71">
        <f t="shared" si="159"/>
        <v>1885</v>
      </c>
      <c r="AN62" s="71">
        <f t="shared" si="159"/>
        <v>1940</v>
      </c>
      <c r="AO62" s="71">
        <f t="shared" si="159"/>
        <v>1940</v>
      </c>
      <c r="AP62" s="71">
        <f t="shared" si="159"/>
        <v>1940</v>
      </c>
      <c r="AQ62" s="71">
        <f t="shared" si="159"/>
        <v>1940</v>
      </c>
      <c r="AR62" s="71">
        <f t="shared" si="159"/>
        <v>1940</v>
      </c>
      <c r="AS62" s="71">
        <f t="shared" si="159"/>
        <v>1940</v>
      </c>
    </row>
    <row r="63" spans="2:45">
      <c r="B63" s="75" t="s">
        <v>232</v>
      </c>
      <c r="C63" s="73"/>
      <c r="D63" s="74"/>
      <c r="E63" s="74"/>
      <c r="F63" s="71">
        <f t="shared" ref="F63:AS63" si="160">ROUND(F30+F46, 0)</f>
        <v>104</v>
      </c>
      <c r="G63" s="71">
        <f t="shared" si="160"/>
        <v>156</v>
      </c>
      <c r="H63" s="71">
        <f t="shared" si="160"/>
        <v>209</v>
      </c>
      <c r="I63" s="71">
        <f t="shared" si="160"/>
        <v>261</v>
      </c>
      <c r="J63" s="71">
        <f t="shared" si="160"/>
        <v>313</v>
      </c>
      <c r="K63" s="71">
        <f t="shared" si="160"/>
        <v>287</v>
      </c>
      <c r="L63" s="71">
        <f t="shared" si="160"/>
        <v>261</v>
      </c>
      <c r="M63" s="71">
        <f t="shared" si="160"/>
        <v>235</v>
      </c>
      <c r="N63" s="71">
        <f t="shared" si="160"/>
        <v>209</v>
      </c>
      <c r="O63" s="71">
        <f t="shared" si="160"/>
        <v>208</v>
      </c>
      <c r="P63" s="71">
        <f t="shared" si="160"/>
        <v>279</v>
      </c>
      <c r="Q63" s="71">
        <f t="shared" si="160"/>
        <v>315</v>
      </c>
      <c r="R63" s="71">
        <f t="shared" si="160"/>
        <v>350</v>
      </c>
      <c r="S63" s="71">
        <f t="shared" si="160"/>
        <v>386</v>
      </c>
      <c r="T63" s="71">
        <f t="shared" si="160"/>
        <v>421</v>
      </c>
      <c r="U63" s="71">
        <f t="shared" si="160"/>
        <v>402</v>
      </c>
      <c r="V63" s="71">
        <f t="shared" si="160"/>
        <v>383</v>
      </c>
      <c r="W63" s="71">
        <f t="shared" si="160"/>
        <v>363</v>
      </c>
      <c r="X63" s="71">
        <f t="shared" si="160"/>
        <v>344</v>
      </c>
      <c r="Y63" s="71">
        <f t="shared" si="160"/>
        <v>342</v>
      </c>
      <c r="Z63" s="71">
        <f t="shared" si="160"/>
        <v>414</v>
      </c>
      <c r="AA63" s="71">
        <f t="shared" si="160"/>
        <v>448</v>
      </c>
      <c r="AB63" s="71">
        <f t="shared" si="160"/>
        <v>483</v>
      </c>
      <c r="AC63" s="71">
        <f t="shared" si="160"/>
        <v>518</v>
      </c>
      <c r="AD63" s="71">
        <f t="shared" si="160"/>
        <v>553</v>
      </c>
      <c r="AE63" s="71">
        <f t="shared" si="160"/>
        <v>532</v>
      </c>
      <c r="AF63" s="71">
        <f t="shared" si="160"/>
        <v>512</v>
      </c>
      <c r="AG63" s="71">
        <f t="shared" si="160"/>
        <v>492</v>
      </c>
      <c r="AH63" s="71">
        <f t="shared" si="160"/>
        <v>472</v>
      </c>
      <c r="AI63" s="71">
        <f t="shared" si="160"/>
        <v>469</v>
      </c>
      <c r="AJ63" s="71">
        <f t="shared" si="160"/>
        <v>539</v>
      </c>
      <c r="AK63" s="71">
        <f t="shared" si="160"/>
        <v>573</v>
      </c>
      <c r="AL63" s="71">
        <f t="shared" si="160"/>
        <v>606</v>
      </c>
      <c r="AM63" s="71">
        <f t="shared" si="160"/>
        <v>640</v>
      </c>
      <c r="AN63" s="71">
        <f t="shared" si="160"/>
        <v>673</v>
      </c>
      <c r="AO63" s="71">
        <f t="shared" si="160"/>
        <v>652</v>
      </c>
      <c r="AP63" s="71">
        <f t="shared" si="160"/>
        <v>631</v>
      </c>
      <c r="AQ63" s="71">
        <f t="shared" si="160"/>
        <v>609</v>
      </c>
      <c r="AR63" s="71">
        <f t="shared" si="160"/>
        <v>588</v>
      </c>
      <c r="AS63" s="71">
        <f t="shared" si="160"/>
        <v>584</v>
      </c>
    </row>
    <row r="64" spans="2:45" s="87" customFormat="1">
      <c r="B64" s="83" t="s">
        <v>133</v>
      </c>
      <c r="C64" s="84"/>
      <c r="D64" s="85"/>
      <c r="E64" s="85"/>
      <c r="F64" s="71">
        <f t="shared" ref="F64:AS64" si="161">ROUND(F31+F47, 0)</f>
        <v>66</v>
      </c>
      <c r="G64" s="71">
        <f t="shared" si="161"/>
        <v>90</v>
      </c>
      <c r="H64" s="71">
        <f t="shared" si="161"/>
        <v>107</v>
      </c>
      <c r="I64" s="71">
        <f t="shared" si="161"/>
        <v>123</v>
      </c>
      <c r="J64" s="71">
        <f t="shared" si="161"/>
        <v>139</v>
      </c>
      <c r="K64" s="71">
        <f t="shared" si="161"/>
        <v>156</v>
      </c>
      <c r="L64" s="71">
        <f t="shared" si="161"/>
        <v>162</v>
      </c>
      <c r="M64" s="71">
        <f t="shared" si="161"/>
        <v>166</v>
      </c>
      <c r="N64" s="71">
        <f t="shared" si="161"/>
        <v>170</v>
      </c>
      <c r="O64" s="71">
        <f t="shared" si="161"/>
        <v>174</v>
      </c>
      <c r="P64" s="71">
        <f t="shared" si="161"/>
        <v>191</v>
      </c>
      <c r="Q64" s="71">
        <f t="shared" si="161"/>
        <v>197</v>
      </c>
      <c r="R64" s="71">
        <f t="shared" si="161"/>
        <v>201</v>
      </c>
      <c r="S64" s="71">
        <f t="shared" si="161"/>
        <v>205</v>
      </c>
      <c r="T64" s="71">
        <f t="shared" si="161"/>
        <v>209</v>
      </c>
      <c r="U64" s="71">
        <f t="shared" si="161"/>
        <v>225</v>
      </c>
      <c r="V64" s="71">
        <f t="shared" si="161"/>
        <v>231</v>
      </c>
      <c r="W64" s="71">
        <f t="shared" si="161"/>
        <v>236</v>
      </c>
      <c r="X64" s="71">
        <f t="shared" si="161"/>
        <v>240</v>
      </c>
      <c r="Y64" s="71">
        <f t="shared" si="161"/>
        <v>244</v>
      </c>
      <c r="Z64" s="71">
        <f t="shared" si="161"/>
        <v>257</v>
      </c>
      <c r="AA64" s="71">
        <f t="shared" si="161"/>
        <v>260</v>
      </c>
      <c r="AB64" s="71">
        <f t="shared" si="161"/>
        <v>261</v>
      </c>
      <c r="AC64" s="71">
        <f t="shared" si="161"/>
        <v>261</v>
      </c>
      <c r="AD64" s="71">
        <f t="shared" si="161"/>
        <v>262</v>
      </c>
      <c r="AE64" s="71">
        <f t="shared" si="161"/>
        <v>274</v>
      </c>
      <c r="AF64" s="71">
        <f t="shared" si="161"/>
        <v>277</v>
      </c>
      <c r="AG64" s="71">
        <f t="shared" si="161"/>
        <v>277</v>
      </c>
      <c r="AH64" s="71">
        <f t="shared" si="161"/>
        <v>277</v>
      </c>
      <c r="AI64" s="71">
        <f t="shared" si="161"/>
        <v>277</v>
      </c>
      <c r="AJ64" s="71">
        <f t="shared" si="161"/>
        <v>288</v>
      </c>
      <c r="AK64" s="71">
        <f t="shared" si="161"/>
        <v>289</v>
      </c>
      <c r="AL64" s="71">
        <f t="shared" si="161"/>
        <v>288</v>
      </c>
      <c r="AM64" s="71">
        <f t="shared" si="161"/>
        <v>288</v>
      </c>
      <c r="AN64" s="71">
        <f t="shared" si="161"/>
        <v>287</v>
      </c>
      <c r="AO64" s="71">
        <f t="shared" si="161"/>
        <v>297</v>
      </c>
      <c r="AP64" s="71">
        <f t="shared" si="161"/>
        <v>298</v>
      </c>
      <c r="AQ64" s="71">
        <f t="shared" si="161"/>
        <v>296</v>
      </c>
      <c r="AR64" s="71">
        <f t="shared" si="161"/>
        <v>295</v>
      </c>
      <c r="AS64" s="71">
        <f t="shared" si="161"/>
        <v>293</v>
      </c>
    </row>
    <row r="65" spans="2:45">
      <c r="B65" s="70"/>
      <c r="C65" s="73"/>
      <c r="D65" s="74"/>
      <c r="E65" s="74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</row>
    <row r="66" spans="2:45">
      <c r="B66" s="69" t="s">
        <v>186</v>
      </c>
      <c r="C66" s="38"/>
      <c r="D66" s="38"/>
      <c r="E66" s="38"/>
      <c r="F66" s="64" t="s">
        <v>118</v>
      </c>
      <c r="G66" s="64" t="s">
        <v>119</v>
      </c>
      <c r="H66" s="64" t="s">
        <v>120</v>
      </c>
      <c r="I66" s="64" t="s">
        <v>121</v>
      </c>
      <c r="J66" s="64" t="s">
        <v>122</v>
      </c>
      <c r="K66" s="64" t="s">
        <v>123</v>
      </c>
      <c r="L66" s="64" t="s">
        <v>124</v>
      </c>
      <c r="M66" s="64" t="s">
        <v>125</v>
      </c>
      <c r="N66" s="64" t="s">
        <v>126</v>
      </c>
      <c r="O66" s="64" t="s">
        <v>127</v>
      </c>
      <c r="P66" s="64" t="s">
        <v>128</v>
      </c>
      <c r="Q66" s="64" t="s">
        <v>193</v>
      </c>
      <c r="R66" s="64" t="s">
        <v>194</v>
      </c>
      <c r="S66" s="64" t="s">
        <v>195</v>
      </c>
      <c r="T66" s="64" t="s">
        <v>196</v>
      </c>
      <c r="U66" s="64" t="s">
        <v>197</v>
      </c>
      <c r="V66" s="64" t="s">
        <v>198</v>
      </c>
      <c r="W66" s="64" t="s">
        <v>199</v>
      </c>
      <c r="X66" s="64" t="s">
        <v>200</v>
      </c>
      <c r="Y66" s="64" t="s">
        <v>201</v>
      </c>
      <c r="Z66" s="64" t="s">
        <v>202</v>
      </c>
      <c r="AA66" s="64" t="s">
        <v>203</v>
      </c>
      <c r="AB66" s="64" t="s">
        <v>204</v>
      </c>
      <c r="AC66" s="64" t="s">
        <v>205</v>
      </c>
      <c r="AD66" s="64" t="s">
        <v>206</v>
      </c>
      <c r="AE66" s="64" t="s">
        <v>207</v>
      </c>
      <c r="AF66" s="64" t="s">
        <v>208</v>
      </c>
      <c r="AG66" s="64" t="s">
        <v>209</v>
      </c>
      <c r="AH66" s="64" t="s">
        <v>210</v>
      </c>
      <c r="AI66" s="64" t="s">
        <v>211</v>
      </c>
      <c r="AJ66" s="64" t="s">
        <v>212</v>
      </c>
      <c r="AK66" s="64" t="s">
        <v>213</v>
      </c>
      <c r="AL66" s="64" t="s">
        <v>214</v>
      </c>
      <c r="AM66" s="64" t="s">
        <v>215</v>
      </c>
      <c r="AN66" s="64" t="s">
        <v>216</v>
      </c>
      <c r="AO66" s="64" t="s">
        <v>217</v>
      </c>
      <c r="AP66" s="64" t="s">
        <v>218</v>
      </c>
      <c r="AQ66" s="64" t="s">
        <v>219</v>
      </c>
      <c r="AR66" s="64" t="s">
        <v>220</v>
      </c>
      <c r="AS66" s="64" t="s">
        <v>221</v>
      </c>
    </row>
    <row r="67" spans="2:45" s="80" customFormat="1">
      <c r="B67" s="75" t="s">
        <v>136</v>
      </c>
      <c r="C67" s="76"/>
      <c r="D67" s="77"/>
      <c r="E67" s="77"/>
      <c r="F67" s="71">
        <f t="shared" ref="F67:AS67" si="162">ROUND(F34+F50, 0)</f>
        <v>31</v>
      </c>
      <c r="G67" s="71">
        <f t="shared" si="162"/>
        <v>37</v>
      </c>
      <c r="H67" s="71">
        <f t="shared" si="162"/>
        <v>42</v>
      </c>
      <c r="I67" s="71">
        <f t="shared" si="162"/>
        <v>47</v>
      </c>
      <c r="J67" s="71">
        <f t="shared" si="162"/>
        <v>52</v>
      </c>
      <c r="K67" s="71">
        <f t="shared" si="162"/>
        <v>51</v>
      </c>
      <c r="L67" s="71">
        <f t="shared" si="162"/>
        <v>50</v>
      </c>
      <c r="M67" s="71">
        <f t="shared" si="162"/>
        <v>49</v>
      </c>
      <c r="N67" s="71">
        <f t="shared" si="162"/>
        <v>48</v>
      </c>
      <c r="O67" s="71">
        <f t="shared" si="162"/>
        <v>47</v>
      </c>
      <c r="P67" s="71">
        <f t="shared" si="162"/>
        <v>57</v>
      </c>
      <c r="Q67" s="71">
        <f t="shared" si="162"/>
        <v>58</v>
      </c>
      <c r="R67" s="71">
        <f t="shared" si="162"/>
        <v>58</v>
      </c>
      <c r="S67" s="71">
        <f t="shared" si="162"/>
        <v>59</v>
      </c>
      <c r="T67" s="71">
        <f t="shared" si="162"/>
        <v>60</v>
      </c>
      <c r="U67" s="71">
        <f t="shared" si="162"/>
        <v>59</v>
      </c>
      <c r="V67" s="71">
        <f t="shared" si="162"/>
        <v>57</v>
      </c>
      <c r="W67" s="71">
        <f t="shared" si="162"/>
        <v>56</v>
      </c>
      <c r="X67" s="71">
        <f t="shared" si="162"/>
        <v>54</v>
      </c>
      <c r="Y67" s="71">
        <f t="shared" si="162"/>
        <v>53</v>
      </c>
      <c r="Z67" s="71">
        <f t="shared" si="162"/>
        <v>63</v>
      </c>
      <c r="AA67" s="71">
        <f t="shared" si="162"/>
        <v>65</v>
      </c>
      <c r="AB67" s="71">
        <f t="shared" si="162"/>
        <v>66</v>
      </c>
      <c r="AC67" s="71">
        <f t="shared" si="162"/>
        <v>67</v>
      </c>
      <c r="AD67" s="71">
        <f t="shared" si="162"/>
        <v>68</v>
      </c>
      <c r="AE67" s="71">
        <f t="shared" si="162"/>
        <v>67</v>
      </c>
      <c r="AF67" s="71">
        <f t="shared" si="162"/>
        <v>66</v>
      </c>
      <c r="AG67" s="71">
        <f t="shared" si="162"/>
        <v>65</v>
      </c>
      <c r="AH67" s="71">
        <f t="shared" si="162"/>
        <v>65</v>
      </c>
      <c r="AI67" s="71">
        <f t="shared" si="162"/>
        <v>64</v>
      </c>
      <c r="AJ67" s="71">
        <f t="shared" si="162"/>
        <v>74</v>
      </c>
      <c r="AK67" s="71">
        <f t="shared" si="162"/>
        <v>75</v>
      </c>
      <c r="AL67" s="71">
        <f t="shared" si="162"/>
        <v>76</v>
      </c>
      <c r="AM67" s="71">
        <f t="shared" si="162"/>
        <v>77</v>
      </c>
      <c r="AN67" s="71">
        <f t="shared" si="162"/>
        <v>79</v>
      </c>
      <c r="AO67" s="71">
        <f t="shared" si="162"/>
        <v>78</v>
      </c>
      <c r="AP67" s="71">
        <f t="shared" si="162"/>
        <v>77</v>
      </c>
      <c r="AQ67" s="71">
        <f t="shared" si="162"/>
        <v>76</v>
      </c>
      <c r="AR67" s="71">
        <f t="shared" si="162"/>
        <v>75</v>
      </c>
      <c r="AS67" s="71">
        <f t="shared" si="162"/>
        <v>74</v>
      </c>
    </row>
    <row r="68" spans="2:45" s="80" customFormat="1">
      <c r="B68" s="75" t="s">
        <v>139</v>
      </c>
      <c r="C68" s="76"/>
      <c r="D68" s="77"/>
      <c r="E68" s="77"/>
      <c r="F68" s="71">
        <f t="shared" ref="F68:AS68" si="163">ROUND(F35+F51, 0)</f>
        <v>19</v>
      </c>
      <c r="G68" s="71">
        <f t="shared" si="163"/>
        <v>22</v>
      </c>
      <c r="H68" s="71">
        <f t="shared" si="163"/>
        <v>25</v>
      </c>
      <c r="I68" s="71">
        <f t="shared" si="163"/>
        <v>28</v>
      </c>
      <c r="J68" s="71">
        <f t="shared" si="163"/>
        <v>31</v>
      </c>
      <c r="K68" s="71">
        <f t="shared" si="163"/>
        <v>30</v>
      </c>
      <c r="L68" s="71">
        <f t="shared" si="163"/>
        <v>30</v>
      </c>
      <c r="M68" s="71">
        <f t="shared" si="163"/>
        <v>29</v>
      </c>
      <c r="N68" s="71">
        <f t="shared" si="163"/>
        <v>29</v>
      </c>
      <c r="O68" s="71">
        <f t="shared" si="163"/>
        <v>28</v>
      </c>
      <c r="P68" s="71">
        <f t="shared" si="163"/>
        <v>34</v>
      </c>
      <c r="Q68" s="71">
        <f t="shared" si="163"/>
        <v>35</v>
      </c>
      <c r="R68" s="71">
        <f t="shared" si="163"/>
        <v>35</v>
      </c>
      <c r="S68" s="71">
        <f t="shared" si="163"/>
        <v>35</v>
      </c>
      <c r="T68" s="71">
        <f t="shared" si="163"/>
        <v>36</v>
      </c>
      <c r="U68" s="71">
        <f t="shared" si="163"/>
        <v>35</v>
      </c>
      <c r="V68" s="71">
        <f t="shared" si="163"/>
        <v>34</v>
      </c>
      <c r="W68" s="71">
        <f t="shared" si="163"/>
        <v>33</v>
      </c>
      <c r="X68" s="71">
        <f t="shared" si="163"/>
        <v>33</v>
      </c>
      <c r="Y68" s="71">
        <f t="shared" si="163"/>
        <v>32</v>
      </c>
      <c r="Z68" s="71">
        <f t="shared" si="163"/>
        <v>38</v>
      </c>
      <c r="AA68" s="71">
        <f t="shared" si="163"/>
        <v>39</v>
      </c>
      <c r="AB68" s="71">
        <f t="shared" si="163"/>
        <v>40</v>
      </c>
      <c r="AC68" s="71">
        <f t="shared" si="163"/>
        <v>40</v>
      </c>
      <c r="AD68" s="71">
        <f t="shared" si="163"/>
        <v>41</v>
      </c>
      <c r="AE68" s="71">
        <f t="shared" si="163"/>
        <v>41</v>
      </c>
      <c r="AF68" s="71">
        <f t="shared" si="163"/>
        <v>40</v>
      </c>
      <c r="AG68" s="71">
        <f t="shared" si="163"/>
        <v>39</v>
      </c>
      <c r="AH68" s="71">
        <f t="shared" si="163"/>
        <v>39</v>
      </c>
      <c r="AI68" s="71">
        <f t="shared" si="163"/>
        <v>38</v>
      </c>
      <c r="AJ68" s="71">
        <f t="shared" si="163"/>
        <v>45</v>
      </c>
      <c r="AK68" s="71">
        <f t="shared" si="163"/>
        <v>45</v>
      </c>
      <c r="AL68" s="71">
        <f t="shared" si="163"/>
        <v>46</v>
      </c>
      <c r="AM68" s="71">
        <f t="shared" si="163"/>
        <v>47</v>
      </c>
      <c r="AN68" s="71">
        <f t="shared" si="163"/>
        <v>47</v>
      </c>
      <c r="AO68" s="71">
        <f t="shared" si="163"/>
        <v>47</v>
      </c>
      <c r="AP68" s="71">
        <f t="shared" si="163"/>
        <v>46</v>
      </c>
      <c r="AQ68" s="71">
        <f t="shared" si="163"/>
        <v>46</v>
      </c>
      <c r="AR68" s="71">
        <f t="shared" si="163"/>
        <v>45</v>
      </c>
      <c r="AS68" s="71">
        <f t="shared" si="163"/>
        <v>44</v>
      </c>
    </row>
    <row r="69" spans="2:45" s="80" customFormat="1">
      <c r="B69" s="75" t="s">
        <v>141</v>
      </c>
      <c r="C69" s="76"/>
      <c r="D69" s="77"/>
      <c r="E69" s="77"/>
      <c r="F69" s="71">
        <f t="shared" ref="F69:AS69" si="164">ROUND(F36+F52, 0)</f>
        <v>75</v>
      </c>
      <c r="G69" s="71">
        <f t="shared" si="164"/>
        <v>77</v>
      </c>
      <c r="H69" s="71">
        <f t="shared" si="164"/>
        <v>78</v>
      </c>
      <c r="I69" s="71">
        <f t="shared" si="164"/>
        <v>80</v>
      </c>
      <c r="J69" s="71">
        <f t="shared" si="164"/>
        <v>81</v>
      </c>
      <c r="K69" s="71">
        <f t="shared" si="164"/>
        <v>108</v>
      </c>
      <c r="L69" s="71">
        <f t="shared" si="164"/>
        <v>108</v>
      </c>
      <c r="M69" s="71">
        <f t="shared" si="164"/>
        <v>109</v>
      </c>
      <c r="N69" s="71">
        <f t="shared" si="164"/>
        <v>109</v>
      </c>
      <c r="O69" s="71">
        <f t="shared" si="164"/>
        <v>110</v>
      </c>
      <c r="P69" s="71">
        <f t="shared" si="164"/>
        <v>136</v>
      </c>
      <c r="Q69" s="71">
        <f t="shared" si="164"/>
        <v>137</v>
      </c>
      <c r="R69" s="71">
        <f t="shared" si="164"/>
        <v>137</v>
      </c>
      <c r="S69" s="71">
        <f t="shared" si="164"/>
        <v>138</v>
      </c>
      <c r="T69" s="71">
        <f t="shared" si="164"/>
        <v>138</v>
      </c>
      <c r="U69" s="71">
        <f t="shared" si="164"/>
        <v>165</v>
      </c>
      <c r="V69" s="71">
        <f t="shared" si="164"/>
        <v>165</v>
      </c>
      <c r="W69" s="71">
        <f t="shared" si="164"/>
        <v>166</v>
      </c>
      <c r="X69" s="71">
        <f t="shared" si="164"/>
        <v>166</v>
      </c>
      <c r="Y69" s="71">
        <f t="shared" si="164"/>
        <v>167</v>
      </c>
      <c r="Z69" s="71">
        <f t="shared" si="164"/>
        <v>193</v>
      </c>
      <c r="AA69" s="71">
        <f t="shared" si="164"/>
        <v>194</v>
      </c>
      <c r="AB69" s="71">
        <f t="shared" si="164"/>
        <v>194</v>
      </c>
      <c r="AC69" s="71">
        <f t="shared" si="164"/>
        <v>195</v>
      </c>
      <c r="AD69" s="71">
        <f t="shared" si="164"/>
        <v>195</v>
      </c>
      <c r="AE69" s="71">
        <f t="shared" si="164"/>
        <v>222</v>
      </c>
      <c r="AF69" s="71">
        <f t="shared" si="164"/>
        <v>222</v>
      </c>
      <c r="AG69" s="71">
        <f t="shared" si="164"/>
        <v>223</v>
      </c>
      <c r="AH69" s="71">
        <f t="shared" si="164"/>
        <v>223</v>
      </c>
      <c r="AI69" s="71">
        <f t="shared" si="164"/>
        <v>224</v>
      </c>
      <c r="AJ69" s="71">
        <f t="shared" si="164"/>
        <v>250</v>
      </c>
      <c r="AK69" s="71">
        <f t="shared" si="164"/>
        <v>251</v>
      </c>
      <c r="AL69" s="71">
        <f t="shared" si="164"/>
        <v>251</v>
      </c>
      <c r="AM69" s="71">
        <f t="shared" si="164"/>
        <v>252</v>
      </c>
      <c r="AN69" s="71">
        <f t="shared" si="164"/>
        <v>252</v>
      </c>
      <c r="AO69" s="71">
        <f t="shared" si="164"/>
        <v>279</v>
      </c>
      <c r="AP69" s="71">
        <f t="shared" si="164"/>
        <v>279</v>
      </c>
      <c r="AQ69" s="71">
        <f t="shared" si="164"/>
        <v>280</v>
      </c>
      <c r="AR69" s="71">
        <f t="shared" si="164"/>
        <v>280</v>
      </c>
      <c r="AS69" s="71">
        <f t="shared" si="164"/>
        <v>281</v>
      </c>
    </row>
    <row r="70" spans="2:45" s="80" customFormat="1">
      <c r="B70" s="75" t="s">
        <v>142</v>
      </c>
      <c r="C70" s="76"/>
      <c r="D70" s="77"/>
      <c r="E70" s="77"/>
      <c r="F70" s="71">
        <f t="shared" ref="F70:AS70" si="165">ROUND(F37+F53, 0)</f>
        <v>136</v>
      </c>
      <c r="G70" s="71">
        <f t="shared" si="165"/>
        <v>138</v>
      </c>
      <c r="H70" s="71">
        <f t="shared" si="165"/>
        <v>139</v>
      </c>
      <c r="I70" s="71">
        <f t="shared" si="165"/>
        <v>141</v>
      </c>
      <c r="J70" s="71">
        <f t="shared" si="165"/>
        <v>143</v>
      </c>
      <c r="K70" s="71">
        <f t="shared" si="165"/>
        <v>143</v>
      </c>
      <c r="L70" s="71">
        <f t="shared" si="165"/>
        <v>143</v>
      </c>
      <c r="M70" s="71">
        <f t="shared" si="165"/>
        <v>143</v>
      </c>
      <c r="N70" s="71">
        <f t="shared" si="165"/>
        <v>143</v>
      </c>
      <c r="O70" s="71">
        <f t="shared" si="165"/>
        <v>143</v>
      </c>
      <c r="P70" s="71">
        <f t="shared" si="165"/>
        <v>170</v>
      </c>
      <c r="Q70" s="71">
        <f t="shared" si="165"/>
        <v>171</v>
      </c>
      <c r="R70" s="71">
        <f t="shared" si="165"/>
        <v>171</v>
      </c>
      <c r="S70" s="71">
        <f t="shared" si="165"/>
        <v>172</v>
      </c>
      <c r="T70" s="71">
        <f t="shared" si="165"/>
        <v>172</v>
      </c>
      <c r="U70" s="71">
        <f t="shared" si="165"/>
        <v>172</v>
      </c>
      <c r="V70" s="71">
        <f t="shared" si="165"/>
        <v>172</v>
      </c>
      <c r="W70" s="71">
        <f t="shared" si="165"/>
        <v>172</v>
      </c>
      <c r="X70" s="71">
        <f t="shared" si="165"/>
        <v>172</v>
      </c>
      <c r="Y70" s="71">
        <f t="shared" si="165"/>
        <v>172</v>
      </c>
      <c r="Z70" s="71">
        <f t="shared" si="165"/>
        <v>199</v>
      </c>
      <c r="AA70" s="71">
        <f t="shared" si="165"/>
        <v>199</v>
      </c>
      <c r="AB70" s="71">
        <f t="shared" si="165"/>
        <v>200</v>
      </c>
      <c r="AC70" s="71">
        <f t="shared" si="165"/>
        <v>200</v>
      </c>
      <c r="AD70" s="71">
        <f t="shared" si="165"/>
        <v>201</v>
      </c>
      <c r="AE70" s="71">
        <f t="shared" si="165"/>
        <v>201</v>
      </c>
      <c r="AF70" s="71">
        <f t="shared" si="165"/>
        <v>201</v>
      </c>
      <c r="AG70" s="71">
        <f t="shared" si="165"/>
        <v>201</v>
      </c>
      <c r="AH70" s="71">
        <f t="shared" si="165"/>
        <v>201</v>
      </c>
      <c r="AI70" s="71">
        <f t="shared" si="165"/>
        <v>201</v>
      </c>
      <c r="AJ70" s="71">
        <f t="shared" si="165"/>
        <v>228</v>
      </c>
      <c r="AK70" s="71">
        <f t="shared" si="165"/>
        <v>228</v>
      </c>
      <c r="AL70" s="71">
        <f t="shared" si="165"/>
        <v>229</v>
      </c>
      <c r="AM70" s="71">
        <f t="shared" si="165"/>
        <v>229</v>
      </c>
      <c r="AN70" s="71">
        <f t="shared" si="165"/>
        <v>229</v>
      </c>
      <c r="AO70" s="71">
        <f t="shared" si="165"/>
        <v>229</v>
      </c>
      <c r="AP70" s="71">
        <f t="shared" si="165"/>
        <v>229</v>
      </c>
      <c r="AQ70" s="71">
        <f t="shared" si="165"/>
        <v>229</v>
      </c>
      <c r="AR70" s="71">
        <f t="shared" si="165"/>
        <v>229</v>
      </c>
      <c r="AS70" s="71">
        <f t="shared" si="165"/>
        <v>229</v>
      </c>
    </row>
    <row r="71" spans="2:45">
      <c r="B71" s="67"/>
      <c r="C71" s="41"/>
      <c r="D71" s="41"/>
      <c r="E71" s="42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 spans="2:45" ht="15.75" thickBot="1">
      <c r="B72" s="68" t="s">
        <v>157</v>
      </c>
    </row>
    <row r="73" spans="2:45">
      <c r="B73" s="90" t="s">
        <v>187</v>
      </c>
      <c r="C73" s="91" t="s">
        <v>225</v>
      </c>
      <c r="D73" s="91" t="s">
        <v>472</v>
      </c>
      <c r="E73" s="91" t="s">
        <v>473</v>
      </c>
      <c r="F73" s="92" t="s">
        <v>118</v>
      </c>
      <c r="G73" s="92" t="s">
        <v>119</v>
      </c>
      <c r="H73" s="92" t="s">
        <v>120</v>
      </c>
      <c r="I73" s="92" t="s">
        <v>121</v>
      </c>
      <c r="J73" s="92" t="s">
        <v>122</v>
      </c>
      <c r="K73" s="92" t="s">
        <v>123</v>
      </c>
      <c r="L73" s="92" t="s">
        <v>124</v>
      </c>
      <c r="M73" s="92" t="s">
        <v>125</v>
      </c>
      <c r="N73" s="92" t="s">
        <v>126</v>
      </c>
      <c r="O73" s="92" t="s">
        <v>127</v>
      </c>
      <c r="P73" s="92" t="s">
        <v>128</v>
      </c>
      <c r="Q73" s="92" t="s">
        <v>193</v>
      </c>
      <c r="R73" s="92" t="s">
        <v>194</v>
      </c>
      <c r="S73" s="92" t="s">
        <v>195</v>
      </c>
      <c r="T73" s="92" t="s">
        <v>196</v>
      </c>
      <c r="U73" s="92" t="s">
        <v>197</v>
      </c>
      <c r="V73" s="92" t="s">
        <v>198</v>
      </c>
      <c r="W73" s="92" t="s">
        <v>199</v>
      </c>
      <c r="X73" s="92" t="s">
        <v>200</v>
      </c>
      <c r="Y73" s="92" t="s">
        <v>201</v>
      </c>
      <c r="Z73" s="92" t="s">
        <v>202</v>
      </c>
      <c r="AA73" s="92" t="s">
        <v>203</v>
      </c>
      <c r="AB73" s="92" t="s">
        <v>204</v>
      </c>
      <c r="AC73" s="92" t="s">
        <v>205</v>
      </c>
      <c r="AD73" s="92" t="s">
        <v>206</v>
      </c>
      <c r="AE73" s="92" t="s">
        <v>207</v>
      </c>
      <c r="AF73" s="92" t="s">
        <v>208</v>
      </c>
      <c r="AG73" s="92" t="s">
        <v>209</v>
      </c>
      <c r="AH73" s="92" t="s">
        <v>210</v>
      </c>
      <c r="AI73" s="92" t="s">
        <v>211</v>
      </c>
      <c r="AJ73" s="92" t="s">
        <v>212</v>
      </c>
      <c r="AK73" s="92" t="s">
        <v>213</v>
      </c>
      <c r="AL73" s="92" t="s">
        <v>214</v>
      </c>
      <c r="AM73" s="92" t="s">
        <v>215</v>
      </c>
      <c r="AN73" s="92" t="s">
        <v>216</v>
      </c>
      <c r="AO73" s="92" t="s">
        <v>217</v>
      </c>
      <c r="AP73" s="92" t="s">
        <v>218</v>
      </c>
      <c r="AQ73" s="92" t="s">
        <v>219</v>
      </c>
      <c r="AR73" s="92" t="s">
        <v>220</v>
      </c>
      <c r="AS73" s="93" t="s">
        <v>221</v>
      </c>
    </row>
    <row r="74" spans="2:45">
      <c r="B74" s="94" t="s">
        <v>129</v>
      </c>
      <c r="C74" s="39">
        <v>1</v>
      </c>
      <c r="D74" s="40">
        <v>40</v>
      </c>
      <c r="E74" s="362">
        <f>+D74/1.18</f>
        <v>33.898305084745765</v>
      </c>
      <c r="F74" s="71">
        <f t="shared" ref="F74:AS74" si="166">+F59*$E74*$C74</f>
        <v>40406.779661016953</v>
      </c>
      <c r="G74" s="71">
        <f t="shared" si="166"/>
        <v>45457.627118644072</v>
      </c>
      <c r="H74" s="71">
        <f t="shared" si="166"/>
        <v>63118.644067796617</v>
      </c>
      <c r="I74" s="71">
        <f t="shared" si="166"/>
        <v>64135.593220338989</v>
      </c>
      <c r="J74" s="71">
        <f t="shared" si="166"/>
        <v>81559.322033898308</v>
      </c>
      <c r="K74" s="71">
        <f t="shared" si="166"/>
        <v>81796.610169491527</v>
      </c>
      <c r="L74" s="71">
        <f t="shared" si="166"/>
        <v>98474.576271186452</v>
      </c>
      <c r="M74" s="71">
        <f t="shared" si="166"/>
        <v>97966.101694915254</v>
      </c>
      <c r="N74" s="71">
        <f t="shared" si="166"/>
        <v>113864.40677966102</v>
      </c>
      <c r="O74" s="71">
        <f t="shared" si="166"/>
        <v>112610.16949152543</v>
      </c>
      <c r="P74" s="71">
        <f t="shared" si="166"/>
        <v>127254.2372881356</v>
      </c>
      <c r="Q74" s="71">
        <f t="shared" si="166"/>
        <v>124745.76271186442</v>
      </c>
      <c r="R74" s="71">
        <f t="shared" si="166"/>
        <v>138372.88135593222</v>
      </c>
      <c r="S74" s="71">
        <f t="shared" si="166"/>
        <v>134847.45762711865</v>
      </c>
      <c r="T74" s="71">
        <f t="shared" si="166"/>
        <v>147457.62711864407</v>
      </c>
      <c r="U74" s="71">
        <f t="shared" si="166"/>
        <v>142915.25423728814</v>
      </c>
      <c r="V74" s="71">
        <f t="shared" si="166"/>
        <v>154542.37288135593</v>
      </c>
      <c r="W74" s="71">
        <f t="shared" si="166"/>
        <v>148983.05084745763</v>
      </c>
      <c r="X74" s="71">
        <f t="shared" si="166"/>
        <v>159593.22033898305</v>
      </c>
      <c r="Y74" s="71">
        <f t="shared" si="166"/>
        <v>154033.89830508476</v>
      </c>
      <c r="Z74" s="71">
        <f t="shared" si="166"/>
        <v>164644.06779661018</v>
      </c>
      <c r="AA74" s="71">
        <f t="shared" si="166"/>
        <v>158576.27118644069</v>
      </c>
      <c r="AB74" s="71">
        <f t="shared" si="166"/>
        <v>168677.96610169494</v>
      </c>
      <c r="AC74" s="71">
        <f t="shared" si="166"/>
        <v>162101.69491525425</v>
      </c>
      <c r="AD74" s="71">
        <f t="shared" si="166"/>
        <v>171694.9152542373</v>
      </c>
      <c r="AE74" s="71">
        <f t="shared" si="166"/>
        <v>164644.06779661018</v>
      </c>
      <c r="AF74" s="71">
        <f t="shared" si="166"/>
        <v>173728.81355932204</v>
      </c>
      <c r="AG74" s="71">
        <f t="shared" si="166"/>
        <v>166135.59322033898</v>
      </c>
      <c r="AH74" s="71">
        <f t="shared" si="166"/>
        <v>174745.76271186443</v>
      </c>
      <c r="AI74" s="71">
        <f t="shared" si="166"/>
        <v>167559.32203389832</v>
      </c>
      <c r="AJ74" s="71">
        <f t="shared" si="166"/>
        <v>176542.37288135596</v>
      </c>
      <c r="AK74" s="71">
        <f t="shared" si="166"/>
        <v>169322.03389830509</v>
      </c>
      <c r="AL74" s="71">
        <f t="shared" si="166"/>
        <v>178271.18644067796</v>
      </c>
      <c r="AM74" s="71">
        <f t="shared" si="166"/>
        <v>170983.05084745763</v>
      </c>
      <c r="AN74" s="71">
        <f t="shared" si="166"/>
        <v>179898.30508474578</v>
      </c>
      <c r="AO74" s="71">
        <f t="shared" si="166"/>
        <v>172576.27118644069</v>
      </c>
      <c r="AP74" s="71">
        <f t="shared" si="166"/>
        <v>181389.83050847458</v>
      </c>
      <c r="AQ74" s="71">
        <f t="shared" si="166"/>
        <v>174033.89830508476</v>
      </c>
      <c r="AR74" s="71">
        <f t="shared" si="166"/>
        <v>182813.55932203392</v>
      </c>
      <c r="AS74" s="95">
        <f t="shared" si="166"/>
        <v>175389.83050847458</v>
      </c>
    </row>
    <row r="75" spans="2:45">
      <c r="B75" s="39" t="s">
        <v>470</v>
      </c>
      <c r="C75" s="39">
        <v>1</v>
      </c>
      <c r="D75" s="40">
        <v>290</v>
      </c>
      <c r="E75" s="362">
        <f t="shared" ref="E75:E79" si="167">+D75/1.18</f>
        <v>245.76271186440678</v>
      </c>
      <c r="F75" s="71">
        <f t="shared" ref="F75:AS75" si="168">+F60*$E75*$C75</f>
        <v>146474.57627118644</v>
      </c>
      <c r="G75" s="71">
        <f t="shared" si="168"/>
        <v>153847.45762711865</v>
      </c>
      <c r="H75" s="71">
        <f t="shared" si="168"/>
        <v>161220.33898305084</v>
      </c>
      <c r="I75" s="71">
        <f t="shared" si="168"/>
        <v>168347.45762711865</v>
      </c>
      <c r="J75" s="71">
        <f t="shared" si="168"/>
        <v>175720.33898305084</v>
      </c>
      <c r="K75" s="71">
        <f t="shared" si="168"/>
        <v>172033.89830508476</v>
      </c>
      <c r="L75" s="71">
        <f t="shared" si="168"/>
        <v>168347.45762711865</v>
      </c>
      <c r="M75" s="71">
        <f t="shared" si="168"/>
        <v>164661.01694915254</v>
      </c>
      <c r="N75" s="71">
        <f t="shared" si="168"/>
        <v>161220.33898305084</v>
      </c>
      <c r="O75" s="71">
        <f t="shared" si="168"/>
        <v>157533.89830508476</v>
      </c>
      <c r="P75" s="71">
        <f t="shared" si="168"/>
        <v>193415.25423728814</v>
      </c>
      <c r="Q75" s="71">
        <f t="shared" si="168"/>
        <v>194398.30508474578</v>
      </c>
      <c r="R75" s="71">
        <f t="shared" si="168"/>
        <v>195627.11864406778</v>
      </c>
      <c r="S75" s="71">
        <f t="shared" si="168"/>
        <v>196610.16949152542</v>
      </c>
      <c r="T75" s="71">
        <f t="shared" si="168"/>
        <v>197593.22033898305</v>
      </c>
      <c r="U75" s="71">
        <f t="shared" si="168"/>
        <v>196118.64406779662</v>
      </c>
      <c r="V75" s="71">
        <f t="shared" si="168"/>
        <v>194398.30508474578</v>
      </c>
      <c r="W75" s="71">
        <f t="shared" si="168"/>
        <v>192677.96610169491</v>
      </c>
      <c r="X75" s="71">
        <f t="shared" si="168"/>
        <v>191203.38983050847</v>
      </c>
      <c r="Y75" s="71">
        <f t="shared" si="168"/>
        <v>189483.05084745763</v>
      </c>
      <c r="Z75" s="71">
        <f t="shared" si="168"/>
        <v>225118.64406779662</v>
      </c>
      <c r="AA75" s="71">
        <f t="shared" si="168"/>
        <v>226101.69491525425</v>
      </c>
      <c r="AB75" s="71">
        <f t="shared" si="168"/>
        <v>227084.74576271186</v>
      </c>
      <c r="AC75" s="71">
        <f t="shared" si="168"/>
        <v>227822.03389830509</v>
      </c>
      <c r="AD75" s="71">
        <f t="shared" si="168"/>
        <v>228805.08474576272</v>
      </c>
      <c r="AE75" s="71">
        <f t="shared" si="168"/>
        <v>227084.74576271186</v>
      </c>
      <c r="AF75" s="71">
        <f t="shared" si="168"/>
        <v>225118.64406779662</v>
      </c>
      <c r="AG75" s="71">
        <f t="shared" si="168"/>
        <v>223398.30508474578</v>
      </c>
      <c r="AH75" s="71">
        <f t="shared" si="168"/>
        <v>221432.20338983051</v>
      </c>
      <c r="AI75" s="71">
        <f t="shared" si="168"/>
        <v>219711.86440677967</v>
      </c>
      <c r="AJ75" s="71">
        <f t="shared" si="168"/>
        <v>255101.69491525425</v>
      </c>
      <c r="AK75" s="71">
        <f t="shared" si="168"/>
        <v>255838.98305084746</v>
      </c>
      <c r="AL75" s="71">
        <f t="shared" si="168"/>
        <v>256576.27118644069</v>
      </c>
      <c r="AM75" s="71">
        <f t="shared" si="168"/>
        <v>257313.55932203389</v>
      </c>
      <c r="AN75" s="71">
        <f t="shared" si="168"/>
        <v>258050.84745762713</v>
      </c>
      <c r="AO75" s="71">
        <f t="shared" si="168"/>
        <v>256084.74576271186</v>
      </c>
      <c r="AP75" s="71">
        <f t="shared" si="168"/>
        <v>254118.64406779662</v>
      </c>
      <c r="AQ75" s="71">
        <f t="shared" si="168"/>
        <v>252152.54237288135</v>
      </c>
      <c r="AR75" s="71">
        <f t="shared" si="168"/>
        <v>250186.44067796611</v>
      </c>
      <c r="AS75" s="95">
        <f t="shared" si="168"/>
        <v>247974.57627118644</v>
      </c>
    </row>
    <row r="76" spans="2:45" s="80" customFormat="1">
      <c r="B76" s="96" t="s">
        <v>135</v>
      </c>
      <c r="C76" s="39">
        <v>2</v>
      </c>
      <c r="D76" s="78">
        <v>10</v>
      </c>
      <c r="E76" s="362">
        <f t="shared" si="167"/>
        <v>8.4745762711864412</v>
      </c>
      <c r="F76" s="79">
        <f t="shared" ref="F76:AS76" si="169">+F61*$E76*$C76</f>
        <v>38033.898305084746</v>
      </c>
      <c r="G76" s="79">
        <f t="shared" si="169"/>
        <v>60847.457627118645</v>
      </c>
      <c r="H76" s="79">
        <f t="shared" si="169"/>
        <v>79864.406779661018</v>
      </c>
      <c r="I76" s="79">
        <f t="shared" si="169"/>
        <v>98677.966101694925</v>
      </c>
      <c r="J76" s="79">
        <f t="shared" si="169"/>
        <v>116932.20338983051</v>
      </c>
      <c r="K76" s="79">
        <f t="shared" si="169"/>
        <v>134610.16949152542</v>
      </c>
      <c r="L76" s="79">
        <f t="shared" si="169"/>
        <v>151728.81355932204</v>
      </c>
      <c r="M76" s="79">
        <f t="shared" si="169"/>
        <v>168271.18644067796</v>
      </c>
      <c r="N76" s="79">
        <f t="shared" si="169"/>
        <v>184237.28813559323</v>
      </c>
      <c r="O76" s="79">
        <f t="shared" si="169"/>
        <v>199254.2372881356</v>
      </c>
      <c r="P76" s="79">
        <f t="shared" si="169"/>
        <v>213525.42372881356</v>
      </c>
      <c r="Q76" s="79">
        <f t="shared" si="169"/>
        <v>227016.94915254239</v>
      </c>
      <c r="R76" s="79">
        <f t="shared" si="169"/>
        <v>239762.7118644068</v>
      </c>
      <c r="S76" s="79">
        <f t="shared" si="169"/>
        <v>251745.76271186443</v>
      </c>
      <c r="T76" s="79">
        <f t="shared" si="169"/>
        <v>262949.15254237287</v>
      </c>
      <c r="U76" s="79">
        <f t="shared" si="169"/>
        <v>273406.77966101695</v>
      </c>
      <c r="V76" s="79">
        <f t="shared" si="169"/>
        <v>283118.64406779665</v>
      </c>
      <c r="W76" s="79">
        <f t="shared" si="169"/>
        <v>292050.84745762713</v>
      </c>
      <c r="X76" s="79">
        <f t="shared" si="169"/>
        <v>300220.33898305084</v>
      </c>
      <c r="Y76" s="79">
        <f t="shared" si="169"/>
        <v>307644.06779661018</v>
      </c>
      <c r="Z76" s="79">
        <f t="shared" si="169"/>
        <v>314288.13559322036</v>
      </c>
      <c r="AA76" s="79">
        <f t="shared" si="169"/>
        <v>320186.44067796611</v>
      </c>
      <c r="AB76" s="79">
        <f t="shared" si="169"/>
        <v>325322.03389830509</v>
      </c>
      <c r="AC76" s="79">
        <f t="shared" si="169"/>
        <v>329694.9152542373</v>
      </c>
      <c r="AD76" s="79">
        <f t="shared" si="169"/>
        <v>333305.08474576275</v>
      </c>
      <c r="AE76" s="79">
        <f t="shared" si="169"/>
        <v>336152.54237288138</v>
      </c>
      <c r="AF76" s="79">
        <f t="shared" si="169"/>
        <v>338254.23728813563</v>
      </c>
      <c r="AG76" s="79">
        <f t="shared" si="169"/>
        <v>339576.27118644072</v>
      </c>
      <c r="AH76" s="79">
        <f t="shared" si="169"/>
        <v>340152.54237288138</v>
      </c>
      <c r="AI76" s="79">
        <f t="shared" si="169"/>
        <v>341406.77966101695</v>
      </c>
      <c r="AJ76" s="79">
        <f t="shared" si="169"/>
        <v>342627.11864406784</v>
      </c>
      <c r="AK76" s="79">
        <f t="shared" si="169"/>
        <v>343796.61016949156</v>
      </c>
      <c r="AL76" s="79">
        <f t="shared" si="169"/>
        <v>344949.15254237287</v>
      </c>
      <c r="AM76" s="79">
        <f t="shared" si="169"/>
        <v>346050.84745762713</v>
      </c>
      <c r="AN76" s="79">
        <f t="shared" si="169"/>
        <v>347118.64406779665</v>
      </c>
      <c r="AO76" s="79">
        <f t="shared" si="169"/>
        <v>348135.59322033898</v>
      </c>
      <c r="AP76" s="79">
        <f t="shared" si="169"/>
        <v>349118.64406779665</v>
      </c>
      <c r="AQ76" s="79">
        <f t="shared" si="169"/>
        <v>350084.74576271186</v>
      </c>
      <c r="AR76" s="79">
        <f t="shared" si="169"/>
        <v>350983.05084745766</v>
      </c>
      <c r="AS76" s="97">
        <f t="shared" si="169"/>
        <v>351864.40677966102</v>
      </c>
    </row>
    <row r="77" spans="2:45">
      <c r="B77" s="70" t="s">
        <v>231</v>
      </c>
      <c r="C77" s="39">
        <v>1</v>
      </c>
      <c r="D77" s="40">
        <v>270</v>
      </c>
      <c r="E77" s="362">
        <f t="shared" si="167"/>
        <v>228.81355932203391</v>
      </c>
      <c r="F77" s="71">
        <f t="shared" ref="F77:AS77" si="170">+F62*$E77*$C77</f>
        <v>77110.169491525434</v>
      </c>
      <c r="G77" s="71">
        <f t="shared" si="170"/>
        <v>102737.28813559322</v>
      </c>
      <c r="H77" s="71">
        <f t="shared" si="170"/>
        <v>128364.40677966102</v>
      </c>
      <c r="I77" s="71">
        <f t="shared" si="170"/>
        <v>153991.52542372883</v>
      </c>
      <c r="J77" s="71">
        <f t="shared" si="170"/>
        <v>179618.64406779662</v>
      </c>
      <c r="K77" s="71">
        <f t="shared" si="170"/>
        <v>179618.64406779662</v>
      </c>
      <c r="L77" s="71">
        <f t="shared" si="170"/>
        <v>179618.64406779662</v>
      </c>
      <c r="M77" s="71">
        <f t="shared" si="170"/>
        <v>179618.64406779662</v>
      </c>
      <c r="N77" s="71">
        <f t="shared" si="170"/>
        <v>179618.64406779662</v>
      </c>
      <c r="O77" s="71">
        <f t="shared" si="170"/>
        <v>179618.64406779662</v>
      </c>
      <c r="P77" s="71">
        <f t="shared" si="170"/>
        <v>217372.88135593222</v>
      </c>
      <c r="Q77" s="71">
        <f t="shared" si="170"/>
        <v>229957.62711864407</v>
      </c>
      <c r="R77" s="71">
        <f t="shared" si="170"/>
        <v>242542.37288135596</v>
      </c>
      <c r="S77" s="71">
        <f t="shared" si="170"/>
        <v>255127.11864406781</v>
      </c>
      <c r="T77" s="71">
        <f t="shared" si="170"/>
        <v>267711.8644067797</v>
      </c>
      <c r="U77" s="71">
        <f t="shared" si="170"/>
        <v>267711.8644067797</v>
      </c>
      <c r="V77" s="71">
        <f t="shared" si="170"/>
        <v>267711.8644067797</v>
      </c>
      <c r="W77" s="71">
        <f t="shared" si="170"/>
        <v>267711.8644067797</v>
      </c>
      <c r="X77" s="71">
        <f t="shared" si="170"/>
        <v>267711.8644067797</v>
      </c>
      <c r="Y77" s="71">
        <f t="shared" si="170"/>
        <v>267711.8644067797</v>
      </c>
      <c r="Z77" s="71">
        <f t="shared" si="170"/>
        <v>305466.10169491527</v>
      </c>
      <c r="AA77" s="71">
        <f t="shared" si="170"/>
        <v>318050.84745762713</v>
      </c>
      <c r="AB77" s="71">
        <f t="shared" si="170"/>
        <v>330635.59322033898</v>
      </c>
      <c r="AC77" s="71">
        <f t="shared" si="170"/>
        <v>343220.33898305084</v>
      </c>
      <c r="AD77" s="71">
        <f t="shared" si="170"/>
        <v>355805.08474576275</v>
      </c>
      <c r="AE77" s="71">
        <f t="shared" si="170"/>
        <v>355805.08474576275</v>
      </c>
      <c r="AF77" s="71">
        <f t="shared" si="170"/>
        <v>355805.08474576275</v>
      </c>
      <c r="AG77" s="71">
        <f t="shared" si="170"/>
        <v>355805.08474576275</v>
      </c>
      <c r="AH77" s="71">
        <f t="shared" si="170"/>
        <v>355805.08474576275</v>
      </c>
      <c r="AI77" s="71">
        <f t="shared" si="170"/>
        <v>355805.08474576275</v>
      </c>
      <c r="AJ77" s="71">
        <f t="shared" si="170"/>
        <v>393559.32203389832</v>
      </c>
      <c r="AK77" s="71">
        <f t="shared" si="170"/>
        <v>406144.06779661018</v>
      </c>
      <c r="AL77" s="71">
        <f t="shared" si="170"/>
        <v>418728.81355932204</v>
      </c>
      <c r="AM77" s="71">
        <f t="shared" si="170"/>
        <v>431313.55932203389</v>
      </c>
      <c r="AN77" s="71">
        <f t="shared" si="170"/>
        <v>443898.30508474581</v>
      </c>
      <c r="AO77" s="71">
        <f t="shared" si="170"/>
        <v>443898.30508474581</v>
      </c>
      <c r="AP77" s="71">
        <f t="shared" si="170"/>
        <v>443898.30508474581</v>
      </c>
      <c r="AQ77" s="71">
        <f t="shared" si="170"/>
        <v>443898.30508474581</v>
      </c>
      <c r="AR77" s="71">
        <f t="shared" si="170"/>
        <v>443898.30508474581</v>
      </c>
      <c r="AS77" s="95">
        <f t="shared" si="170"/>
        <v>443898.30508474581</v>
      </c>
    </row>
    <row r="78" spans="2:45">
      <c r="B78" s="75" t="s">
        <v>232</v>
      </c>
      <c r="C78" s="39">
        <v>1</v>
      </c>
      <c r="D78" s="40">
        <v>260</v>
      </c>
      <c r="E78" s="362">
        <f t="shared" si="167"/>
        <v>220.33898305084747</v>
      </c>
      <c r="F78" s="71">
        <f t="shared" ref="F78:AS78" si="171">+F63*$E78*$C78</f>
        <v>22915.254237288136</v>
      </c>
      <c r="G78" s="71">
        <f t="shared" si="171"/>
        <v>34372.881355932208</v>
      </c>
      <c r="H78" s="71">
        <f t="shared" si="171"/>
        <v>46050.847457627126</v>
      </c>
      <c r="I78" s="71">
        <f t="shared" si="171"/>
        <v>57508.47457627119</v>
      </c>
      <c r="J78" s="71">
        <f t="shared" si="171"/>
        <v>68966.101694915254</v>
      </c>
      <c r="K78" s="71">
        <f t="shared" si="171"/>
        <v>63237.288135593226</v>
      </c>
      <c r="L78" s="71">
        <f t="shared" si="171"/>
        <v>57508.47457627119</v>
      </c>
      <c r="M78" s="71">
        <f t="shared" si="171"/>
        <v>51779.661016949154</v>
      </c>
      <c r="N78" s="71">
        <f t="shared" si="171"/>
        <v>46050.847457627126</v>
      </c>
      <c r="O78" s="71">
        <f t="shared" si="171"/>
        <v>45830.508474576272</v>
      </c>
      <c r="P78" s="71">
        <f t="shared" si="171"/>
        <v>61474.576271186445</v>
      </c>
      <c r="Q78" s="71">
        <f t="shared" si="171"/>
        <v>69406.779661016961</v>
      </c>
      <c r="R78" s="71">
        <f t="shared" si="171"/>
        <v>77118.644067796617</v>
      </c>
      <c r="S78" s="71">
        <f t="shared" si="171"/>
        <v>85050.847457627126</v>
      </c>
      <c r="T78" s="71">
        <f t="shared" si="171"/>
        <v>92762.711864406781</v>
      </c>
      <c r="U78" s="71">
        <f t="shared" si="171"/>
        <v>88576.271186440688</v>
      </c>
      <c r="V78" s="71">
        <f t="shared" si="171"/>
        <v>84389.830508474581</v>
      </c>
      <c r="W78" s="71">
        <f t="shared" si="171"/>
        <v>79983.050847457635</v>
      </c>
      <c r="X78" s="71">
        <f t="shared" si="171"/>
        <v>75796.610169491527</v>
      </c>
      <c r="Y78" s="71">
        <f t="shared" si="171"/>
        <v>75355.932203389835</v>
      </c>
      <c r="Z78" s="71">
        <f t="shared" si="171"/>
        <v>91220.338983050853</v>
      </c>
      <c r="AA78" s="71">
        <f t="shared" si="171"/>
        <v>98711.86440677967</v>
      </c>
      <c r="AB78" s="71">
        <f t="shared" si="171"/>
        <v>106423.72881355933</v>
      </c>
      <c r="AC78" s="71">
        <f t="shared" si="171"/>
        <v>114135.593220339</v>
      </c>
      <c r="AD78" s="71">
        <f t="shared" si="171"/>
        <v>121847.45762711865</v>
      </c>
      <c r="AE78" s="71">
        <f t="shared" si="171"/>
        <v>117220.33898305085</v>
      </c>
      <c r="AF78" s="71">
        <f t="shared" si="171"/>
        <v>112813.55932203391</v>
      </c>
      <c r="AG78" s="71">
        <f t="shared" si="171"/>
        <v>108406.77966101696</v>
      </c>
      <c r="AH78" s="71">
        <f t="shared" si="171"/>
        <v>104000.00000000001</v>
      </c>
      <c r="AI78" s="71">
        <f t="shared" si="171"/>
        <v>103338.98305084747</v>
      </c>
      <c r="AJ78" s="71">
        <f t="shared" si="171"/>
        <v>118762.7118644068</v>
      </c>
      <c r="AK78" s="71">
        <f t="shared" si="171"/>
        <v>126254.2372881356</v>
      </c>
      <c r="AL78" s="71">
        <f t="shared" si="171"/>
        <v>133525.42372881356</v>
      </c>
      <c r="AM78" s="71">
        <f t="shared" si="171"/>
        <v>141016.94915254239</v>
      </c>
      <c r="AN78" s="71">
        <f t="shared" si="171"/>
        <v>148288.13559322036</v>
      </c>
      <c r="AO78" s="71">
        <f t="shared" si="171"/>
        <v>143661.01694915254</v>
      </c>
      <c r="AP78" s="71">
        <f t="shared" si="171"/>
        <v>139033.89830508476</v>
      </c>
      <c r="AQ78" s="71">
        <f t="shared" si="171"/>
        <v>134186.44067796611</v>
      </c>
      <c r="AR78" s="71">
        <f t="shared" si="171"/>
        <v>129559.32203389831</v>
      </c>
      <c r="AS78" s="95">
        <f t="shared" si="171"/>
        <v>128677.96610169492</v>
      </c>
    </row>
    <row r="79" spans="2:45">
      <c r="B79" s="94" t="s">
        <v>133</v>
      </c>
      <c r="C79" s="39">
        <v>1</v>
      </c>
      <c r="D79" s="40">
        <v>120</v>
      </c>
      <c r="E79" s="362">
        <f t="shared" si="167"/>
        <v>101.69491525423729</v>
      </c>
      <c r="F79" s="71">
        <f t="shared" ref="F79:AS79" si="172">+F64*$E79*$C79</f>
        <v>6711.8644067796613</v>
      </c>
      <c r="G79" s="71">
        <f t="shared" si="172"/>
        <v>9152.5423728813566</v>
      </c>
      <c r="H79" s="71">
        <f t="shared" si="172"/>
        <v>10881.355932203389</v>
      </c>
      <c r="I79" s="71">
        <f t="shared" si="172"/>
        <v>12508.474576271186</v>
      </c>
      <c r="J79" s="71">
        <f t="shared" si="172"/>
        <v>14135.593220338982</v>
      </c>
      <c r="K79" s="71">
        <f t="shared" si="172"/>
        <v>15864.406779661016</v>
      </c>
      <c r="L79" s="71">
        <f t="shared" si="172"/>
        <v>16474.576271186441</v>
      </c>
      <c r="M79" s="71">
        <f t="shared" si="172"/>
        <v>16881.355932203391</v>
      </c>
      <c r="N79" s="71">
        <f t="shared" si="172"/>
        <v>17288.135593220341</v>
      </c>
      <c r="O79" s="71">
        <f t="shared" si="172"/>
        <v>17694.915254237287</v>
      </c>
      <c r="P79" s="71">
        <f t="shared" si="172"/>
        <v>19423.728813559323</v>
      </c>
      <c r="Q79" s="71">
        <f t="shared" si="172"/>
        <v>20033.898305084746</v>
      </c>
      <c r="R79" s="71">
        <f t="shared" si="172"/>
        <v>20440.677966101695</v>
      </c>
      <c r="S79" s="71">
        <f t="shared" si="172"/>
        <v>20847.457627118645</v>
      </c>
      <c r="T79" s="71">
        <f t="shared" si="172"/>
        <v>21254.237288135591</v>
      </c>
      <c r="U79" s="71">
        <f t="shared" si="172"/>
        <v>22881.355932203391</v>
      </c>
      <c r="V79" s="71">
        <f t="shared" si="172"/>
        <v>23491.525423728814</v>
      </c>
      <c r="W79" s="71">
        <f t="shared" si="172"/>
        <v>24000</v>
      </c>
      <c r="X79" s="71">
        <f t="shared" si="172"/>
        <v>24406.77966101695</v>
      </c>
      <c r="Y79" s="71">
        <f t="shared" si="172"/>
        <v>24813.5593220339</v>
      </c>
      <c r="Z79" s="71">
        <f t="shared" si="172"/>
        <v>26135.593220338982</v>
      </c>
      <c r="AA79" s="71">
        <f t="shared" si="172"/>
        <v>26440.677966101695</v>
      </c>
      <c r="AB79" s="71">
        <f t="shared" si="172"/>
        <v>26542.372881355932</v>
      </c>
      <c r="AC79" s="71">
        <f t="shared" si="172"/>
        <v>26542.372881355932</v>
      </c>
      <c r="AD79" s="71">
        <f t="shared" si="172"/>
        <v>26644.067796610168</v>
      </c>
      <c r="AE79" s="71">
        <f t="shared" si="172"/>
        <v>27864.406779661018</v>
      </c>
      <c r="AF79" s="71">
        <f t="shared" si="172"/>
        <v>28169.491525423728</v>
      </c>
      <c r="AG79" s="71">
        <f t="shared" si="172"/>
        <v>28169.491525423728</v>
      </c>
      <c r="AH79" s="71">
        <f t="shared" si="172"/>
        <v>28169.491525423728</v>
      </c>
      <c r="AI79" s="71">
        <f t="shared" si="172"/>
        <v>28169.491525423728</v>
      </c>
      <c r="AJ79" s="71">
        <f t="shared" si="172"/>
        <v>29288.135593220337</v>
      </c>
      <c r="AK79" s="71">
        <f t="shared" si="172"/>
        <v>29389.830508474577</v>
      </c>
      <c r="AL79" s="71">
        <f t="shared" si="172"/>
        <v>29288.135593220337</v>
      </c>
      <c r="AM79" s="71">
        <f t="shared" si="172"/>
        <v>29288.135593220337</v>
      </c>
      <c r="AN79" s="71">
        <f t="shared" si="172"/>
        <v>29186.4406779661</v>
      </c>
      <c r="AO79" s="71">
        <f t="shared" si="172"/>
        <v>30203.389830508473</v>
      </c>
      <c r="AP79" s="71">
        <f t="shared" si="172"/>
        <v>30305.084745762713</v>
      </c>
      <c r="AQ79" s="71">
        <f t="shared" si="172"/>
        <v>30101.694915254237</v>
      </c>
      <c r="AR79" s="71">
        <f t="shared" si="172"/>
        <v>30000</v>
      </c>
      <c r="AS79" s="95">
        <f t="shared" si="172"/>
        <v>29796.610169491527</v>
      </c>
    </row>
    <row r="80" spans="2:45" s="29" customFormat="1" ht="15.75" thickBot="1">
      <c r="B80" s="98" t="s">
        <v>158</v>
      </c>
      <c r="C80" s="99"/>
      <c r="D80" s="99"/>
      <c r="E80" s="100"/>
      <c r="F80" s="101">
        <f t="shared" ref="F80:AS80" si="173">SUM(F74:F79)</f>
        <v>331652.54237288138</v>
      </c>
      <c r="G80" s="101">
        <f t="shared" si="173"/>
        <v>406415.2542372882</v>
      </c>
      <c r="H80" s="101">
        <f t="shared" si="173"/>
        <v>489500.00000000006</v>
      </c>
      <c r="I80" s="101">
        <f t="shared" si="173"/>
        <v>555169.49152542371</v>
      </c>
      <c r="J80" s="101">
        <f t="shared" si="173"/>
        <v>636932.20338983042</v>
      </c>
      <c r="K80" s="101">
        <f t="shared" si="173"/>
        <v>647161.01694915246</v>
      </c>
      <c r="L80" s="101">
        <f t="shared" si="173"/>
        <v>672152.54237288132</v>
      </c>
      <c r="M80" s="101">
        <f t="shared" si="173"/>
        <v>679177.96610169485</v>
      </c>
      <c r="N80" s="101">
        <f t="shared" si="173"/>
        <v>702279.66101694922</v>
      </c>
      <c r="O80" s="101">
        <f t="shared" si="173"/>
        <v>712542.37288135593</v>
      </c>
      <c r="P80" s="101">
        <f t="shared" si="173"/>
        <v>832466.10169491521</v>
      </c>
      <c r="Q80" s="101">
        <f t="shared" si="173"/>
        <v>865559.32203389844</v>
      </c>
      <c r="R80" s="101">
        <f t="shared" si="173"/>
        <v>913864.40677966108</v>
      </c>
      <c r="S80" s="101">
        <f t="shared" si="173"/>
        <v>944228.81355932204</v>
      </c>
      <c r="T80" s="101">
        <f t="shared" si="173"/>
        <v>989728.81355932204</v>
      </c>
      <c r="U80" s="101">
        <f t="shared" si="173"/>
        <v>991610.16949152551</v>
      </c>
      <c r="V80" s="101">
        <f t="shared" si="173"/>
        <v>1007652.5423728816</v>
      </c>
      <c r="W80" s="101">
        <f t="shared" si="173"/>
        <v>1005406.7796610169</v>
      </c>
      <c r="X80" s="101">
        <f t="shared" si="173"/>
        <v>1018932.2033898304</v>
      </c>
      <c r="Y80" s="101">
        <f t="shared" si="173"/>
        <v>1019042.3728813559</v>
      </c>
      <c r="Z80" s="101">
        <f t="shared" si="173"/>
        <v>1126872.8813559322</v>
      </c>
      <c r="AA80" s="101">
        <f t="shared" si="173"/>
        <v>1148067.7966101696</v>
      </c>
      <c r="AB80" s="101">
        <f t="shared" si="173"/>
        <v>1184686.440677966</v>
      </c>
      <c r="AC80" s="101">
        <f t="shared" si="173"/>
        <v>1203516.9491525423</v>
      </c>
      <c r="AD80" s="101">
        <f t="shared" si="173"/>
        <v>1238101.6949152541</v>
      </c>
      <c r="AE80" s="101">
        <f t="shared" si="173"/>
        <v>1228771.1864406778</v>
      </c>
      <c r="AF80" s="101">
        <f t="shared" si="173"/>
        <v>1233889.8305084747</v>
      </c>
      <c r="AG80" s="101">
        <f t="shared" si="173"/>
        <v>1221491.5254237289</v>
      </c>
      <c r="AH80" s="101">
        <f t="shared" si="173"/>
        <v>1224305.0847457629</v>
      </c>
      <c r="AI80" s="101">
        <f t="shared" si="173"/>
        <v>1215991.5254237289</v>
      </c>
      <c r="AJ80" s="101">
        <f t="shared" si="173"/>
        <v>1315881.3559322034</v>
      </c>
      <c r="AK80" s="101">
        <f t="shared" si="173"/>
        <v>1330745.7627118642</v>
      </c>
      <c r="AL80" s="101">
        <f t="shared" si="173"/>
        <v>1361338.9830508474</v>
      </c>
      <c r="AM80" s="101">
        <f t="shared" si="173"/>
        <v>1375966.1016949152</v>
      </c>
      <c r="AN80" s="101">
        <f t="shared" si="173"/>
        <v>1406440.6779661018</v>
      </c>
      <c r="AO80" s="101">
        <f t="shared" si="173"/>
        <v>1394559.3220338984</v>
      </c>
      <c r="AP80" s="101">
        <f t="shared" si="173"/>
        <v>1397864.4067796611</v>
      </c>
      <c r="AQ80" s="101">
        <f t="shared" si="173"/>
        <v>1384457.6271186438</v>
      </c>
      <c r="AR80" s="101">
        <f t="shared" si="173"/>
        <v>1387440.6779661018</v>
      </c>
      <c r="AS80" s="102">
        <f t="shared" si="173"/>
        <v>1377601.6949152541</v>
      </c>
    </row>
    <row r="81" spans="2:45" s="29" customFormat="1" ht="15.75" thickBot="1">
      <c r="B81" s="103"/>
      <c r="C81" s="104"/>
      <c r="D81" s="104"/>
      <c r="E81" s="105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7"/>
    </row>
    <row r="82" spans="2:45" s="29" customFormat="1">
      <c r="B82" s="90" t="s">
        <v>186</v>
      </c>
      <c r="C82" s="91" t="s">
        <v>225</v>
      </c>
      <c r="D82" s="91" t="s">
        <v>472</v>
      </c>
      <c r="E82" s="91" t="s">
        <v>473</v>
      </c>
      <c r="F82" s="92" t="s">
        <v>118</v>
      </c>
      <c r="G82" s="92" t="s">
        <v>119</v>
      </c>
      <c r="H82" s="92" t="s">
        <v>120</v>
      </c>
      <c r="I82" s="92" t="s">
        <v>121</v>
      </c>
      <c r="J82" s="92" t="s">
        <v>122</v>
      </c>
      <c r="K82" s="92" t="s">
        <v>123</v>
      </c>
      <c r="L82" s="92" t="s">
        <v>124</v>
      </c>
      <c r="M82" s="92" t="s">
        <v>125</v>
      </c>
      <c r="N82" s="92" t="s">
        <v>126</v>
      </c>
      <c r="O82" s="92" t="s">
        <v>127</v>
      </c>
      <c r="P82" s="92" t="s">
        <v>128</v>
      </c>
      <c r="Q82" s="92" t="s">
        <v>193</v>
      </c>
      <c r="R82" s="92" t="s">
        <v>194</v>
      </c>
      <c r="S82" s="92" t="s">
        <v>195</v>
      </c>
      <c r="T82" s="92" t="s">
        <v>196</v>
      </c>
      <c r="U82" s="92" t="s">
        <v>197</v>
      </c>
      <c r="V82" s="92" t="s">
        <v>198</v>
      </c>
      <c r="W82" s="92" t="s">
        <v>199</v>
      </c>
      <c r="X82" s="92" t="s">
        <v>200</v>
      </c>
      <c r="Y82" s="92" t="s">
        <v>201</v>
      </c>
      <c r="Z82" s="92" t="s">
        <v>202</v>
      </c>
      <c r="AA82" s="92" t="s">
        <v>203</v>
      </c>
      <c r="AB82" s="92" t="s">
        <v>204</v>
      </c>
      <c r="AC82" s="92" t="s">
        <v>205</v>
      </c>
      <c r="AD82" s="92" t="s">
        <v>206</v>
      </c>
      <c r="AE82" s="92" t="s">
        <v>207</v>
      </c>
      <c r="AF82" s="92" t="s">
        <v>208</v>
      </c>
      <c r="AG82" s="92" t="s">
        <v>209</v>
      </c>
      <c r="AH82" s="92" t="s">
        <v>210</v>
      </c>
      <c r="AI82" s="92" t="s">
        <v>211</v>
      </c>
      <c r="AJ82" s="92" t="s">
        <v>212</v>
      </c>
      <c r="AK82" s="92" t="s">
        <v>213</v>
      </c>
      <c r="AL82" s="92" t="s">
        <v>214</v>
      </c>
      <c r="AM82" s="92" t="s">
        <v>215</v>
      </c>
      <c r="AN82" s="92" t="s">
        <v>216</v>
      </c>
      <c r="AO82" s="92" t="s">
        <v>217</v>
      </c>
      <c r="AP82" s="92" t="s">
        <v>218</v>
      </c>
      <c r="AQ82" s="92" t="s">
        <v>219</v>
      </c>
      <c r="AR82" s="92" t="s">
        <v>220</v>
      </c>
      <c r="AS82" s="93" t="s">
        <v>221</v>
      </c>
    </row>
    <row r="83" spans="2:45">
      <c r="B83" s="94" t="s">
        <v>136</v>
      </c>
      <c r="C83" s="39">
        <v>1</v>
      </c>
      <c r="D83" s="40">
        <v>5000</v>
      </c>
      <c r="E83" s="362">
        <f t="shared" ref="E83:E86" si="174">+D83/1.18</f>
        <v>4237.2881355932204</v>
      </c>
      <c r="F83" s="71">
        <f t="shared" ref="F83:AS83" si="175">+F67*$E83*$C83</f>
        <v>131355.93220338982</v>
      </c>
      <c r="G83" s="71">
        <f t="shared" si="175"/>
        <v>156779.66101694916</v>
      </c>
      <c r="H83" s="71">
        <f t="shared" si="175"/>
        <v>177966.10169491527</v>
      </c>
      <c r="I83" s="71">
        <f t="shared" si="175"/>
        <v>199152.54237288135</v>
      </c>
      <c r="J83" s="71">
        <f t="shared" si="175"/>
        <v>220338.98305084746</v>
      </c>
      <c r="K83" s="71">
        <f t="shared" si="175"/>
        <v>216101.69491525425</v>
      </c>
      <c r="L83" s="71">
        <f t="shared" si="175"/>
        <v>211864.40677966102</v>
      </c>
      <c r="M83" s="71">
        <f t="shared" si="175"/>
        <v>207627.11864406781</v>
      </c>
      <c r="N83" s="71">
        <f t="shared" si="175"/>
        <v>203389.83050847458</v>
      </c>
      <c r="O83" s="71">
        <f t="shared" si="175"/>
        <v>199152.54237288135</v>
      </c>
      <c r="P83" s="71">
        <f t="shared" si="175"/>
        <v>241525.42372881356</v>
      </c>
      <c r="Q83" s="71">
        <f t="shared" si="175"/>
        <v>245762.7118644068</v>
      </c>
      <c r="R83" s="71">
        <f t="shared" si="175"/>
        <v>245762.7118644068</v>
      </c>
      <c r="S83" s="71">
        <f t="shared" si="175"/>
        <v>250000</v>
      </c>
      <c r="T83" s="71">
        <f t="shared" si="175"/>
        <v>254237.28813559323</v>
      </c>
      <c r="U83" s="71">
        <f t="shared" si="175"/>
        <v>250000</v>
      </c>
      <c r="V83" s="71">
        <f t="shared" si="175"/>
        <v>241525.42372881356</v>
      </c>
      <c r="W83" s="71">
        <f t="shared" si="175"/>
        <v>237288.13559322036</v>
      </c>
      <c r="X83" s="71">
        <f t="shared" si="175"/>
        <v>228813.55932203389</v>
      </c>
      <c r="Y83" s="71">
        <f t="shared" si="175"/>
        <v>224576.27118644069</v>
      </c>
      <c r="Z83" s="71">
        <f t="shared" si="175"/>
        <v>266949.15254237287</v>
      </c>
      <c r="AA83" s="71">
        <f t="shared" si="175"/>
        <v>275423.72881355934</v>
      </c>
      <c r="AB83" s="71">
        <f t="shared" si="175"/>
        <v>279661.01694915257</v>
      </c>
      <c r="AC83" s="71">
        <f t="shared" si="175"/>
        <v>283898.30508474575</v>
      </c>
      <c r="AD83" s="71">
        <f t="shared" si="175"/>
        <v>288135.59322033898</v>
      </c>
      <c r="AE83" s="71">
        <f t="shared" si="175"/>
        <v>283898.30508474575</v>
      </c>
      <c r="AF83" s="71">
        <f t="shared" si="175"/>
        <v>279661.01694915257</v>
      </c>
      <c r="AG83" s="71">
        <f t="shared" si="175"/>
        <v>275423.72881355934</v>
      </c>
      <c r="AH83" s="71">
        <f t="shared" si="175"/>
        <v>275423.72881355934</v>
      </c>
      <c r="AI83" s="71">
        <f t="shared" si="175"/>
        <v>271186.44067796611</v>
      </c>
      <c r="AJ83" s="71">
        <f t="shared" si="175"/>
        <v>313559.32203389832</v>
      </c>
      <c r="AK83" s="71">
        <f t="shared" si="175"/>
        <v>317796.61016949156</v>
      </c>
      <c r="AL83" s="71">
        <f t="shared" si="175"/>
        <v>322033.89830508473</v>
      </c>
      <c r="AM83" s="71">
        <f t="shared" si="175"/>
        <v>326271.18644067796</v>
      </c>
      <c r="AN83" s="71">
        <f t="shared" si="175"/>
        <v>334745.76271186443</v>
      </c>
      <c r="AO83" s="71">
        <f t="shared" si="175"/>
        <v>330508.4745762712</v>
      </c>
      <c r="AP83" s="71">
        <f t="shared" si="175"/>
        <v>326271.18644067796</v>
      </c>
      <c r="AQ83" s="71">
        <f t="shared" si="175"/>
        <v>322033.89830508473</v>
      </c>
      <c r="AR83" s="71">
        <f t="shared" si="175"/>
        <v>317796.61016949156</v>
      </c>
      <c r="AS83" s="95">
        <f t="shared" si="175"/>
        <v>313559.32203389832</v>
      </c>
    </row>
    <row r="84" spans="2:45">
      <c r="B84" s="94" t="s">
        <v>139</v>
      </c>
      <c r="C84" s="39">
        <v>1</v>
      </c>
      <c r="D84" s="40">
        <v>3500</v>
      </c>
      <c r="E84" s="362">
        <f t="shared" si="174"/>
        <v>2966.1016949152545</v>
      </c>
      <c r="F84" s="71">
        <f t="shared" ref="F84:AS84" si="176">+F68*$E84*$C84</f>
        <v>56355.932203389835</v>
      </c>
      <c r="G84" s="71">
        <f t="shared" si="176"/>
        <v>65254.237288135599</v>
      </c>
      <c r="H84" s="71">
        <f t="shared" si="176"/>
        <v>74152.542372881362</v>
      </c>
      <c r="I84" s="71">
        <f t="shared" si="176"/>
        <v>83050.847457627126</v>
      </c>
      <c r="J84" s="71">
        <f t="shared" si="176"/>
        <v>91949.152542372889</v>
      </c>
      <c r="K84" s="71">
        <f t="shared" si="176"/>
        <v>88983.050847457635</v>
      </c>
      <c r="L84" s="71">
        <f t="shared" si="176"/>
        <v>88983.050847457635</v>
      </c>
      <c r="M84" s="71">
        <f t="shared" si="176"/>
        <v>86016.94915254238</v>
      </c>
      <c r="N84" s="71">
        <f t="shared" si="176"/>
        <v>86016.94915254238</v>
      </c>
      <c r="O84" s="71">
        <f t="shared" si="176"/>
        <v>83050.847457627126</v>
      </c>
      <c r="P84" s="71">
        <f t="shared" si="176"/>
        <v>100847.45762711865</v>
      </c>
      <c r="Q84" s="71">
        <f t="shared" si="176"/>
        <v>103813.55932203391</v>
      </c>
      <c r="R84" s="71">
        <f t="shared" si="176"/>
        <v>103813.55932203391</v>
      </c>
      <c r="S84" s="71">
        <f t="shared" si="176"/>
        <v>103813.55932203391</v>
      </c>
      <c r="T84" s="71">
        <f t="shared" si="176"/>
        <v>106779.66101694916</v>
      </c>
      <c r="U84" s="71">
        <f t="shared" si="176"/>
        <v>103813.55932203391</v>
      </c>
      <c r="V84" s="71">
        <f t="shared" si="176"/>
        <v>100847.45762711865</v>
      </c>
      <c r="W84" s="71">
        <f t="shared" si="176"/>
        <v>97881.355932203398</v>
      </c>
      <c r="X84" s="71">
        <f t="shared" si="176"/>
        <v>97881.355932203398</v>
      </c>
      <c r="Y84" s="71">
        <f t="shared" si="176"/>
        <v>94915.254237288143</v>
      </c>
      <c r="Z84" s="71">
        <f t="shared" si="176"/>
        <v>112711.86440677967</v>
      </c>
      <c r="AA84" s="71">
        <f t="shared" si="176"/>
        <v>115677.96610169492</v>
      </c>
      <c r="AB84" s="71">
        <f t="shared" si="176"/>
        <v>118644.06779661018</v>
      </c>
      <c r="AC84" s="71">
        <f t="shared" si="176"/>
        <v>118644.06779661018</v>
      </c>
      <c r="AD84" s="71">
        <f t="shared" si="176"/>
        <v>121610.16949152543</v>
      </c>
      <c r="AE84" s="71">
        <f t="shared" si="176"/>
        <v>121610.16949152543</v>
      </c>
      <c r="AF84" s="71">
        <f t="shared" si="176"/>
        <v>118644.06779661018</v>
      </c>
      <c r="AG84" s="71">
        <f t="shared" si="176"/>
        <v>115677.96610169492</v>
      </c>
      <c r="AH84" s="71">
        <f t="shared" si="176"/>
        <v>115677.96610169492</v>
      </c>
      <c r="AI84" s="71">
        <f t="shared" si="176"/>
        <v>112711.86440677967</v>
      </c>
      <c r="AJ84" s="71">
        <f t="shared" si="176"/>
        <v>133474.57627118647</v>
      </c>
      <c r="AK84" s="71">
        <f t="shared" si="176"/>
        <v>133474.57627118647</v>
      </c>
      <c r="AL84" s="71">
        <f t="shared" si="176"/>
        <v>136440.67796610171</v>
      </c>
      <c r="AM84" s="71">
        <f t="shared" si="176"/>
        <v>139406.77966101695</v>
      </c>
      <c r="AN84" s="71">
        <f t="shared" si="176"/>
        <v>139406.77966101695</v>
      </c>
      <c r="AO84" s="71">
        <f t="shared" si="176"/>
        <v>139406.77966101695</v>
      </c>
      <c r="AP84" s="71">
        <f t="shared" si="176"/>
        <v>136440.67796610171</v>
      </c>
      <c r="AQ84" s="71">
        <f t="shared" si="176"/>
        <v>136440.67796610171</v>
      </c>
      <c r="AR84" s="71">
        <f t="shared" si="176"/>
        <v>133474.57627118647</v>
      </c>
      <c r="AS84" s="95">
        <f t="shared" si="176"/>
        <v>130508.4745762712</v>
      </c>
    </row>
    <row r="85" spans="2:45">
      <c r="B85" s="94" t="s">
        <v>141</v>
      </c>
      <c r="C85" s="39">
        <v>1</v>
      </c>
      <c r="D85" s="40">
        <v>1650</v>
      </c>
      <c r="E85" s="362">
        <f t="shared" si="174"/>
        <v>1398.3050847457628</v>
      </c>
      <c r="F85" s="71">
        <f t="shared" ref="F85:AS85" si="177">+F69*$E85*$C85</f>
        <v>104872.8813559322</v>
      </c>
      <c r="G85" s="71">
        <f t="shared" si="177"/>
        <v>107669.49152542373</v>
      </c>
      <c r="H85" s="71">
        <f t="shared" si="177"/>
        <v>109067.79661016949</v>
      </c>
      <c r="I85" s="71">
        <f t="shared" si="177"/>
        <v>111864.40677966102</v>
      </c>
      <c r="J85" s="71">
        <f t="shared" si="177"/>
        <v>113262.71186440678</v>
      </c>
      <c r="K85" s="71">
        <f t="shared" si="177"/>
        <v>151016.94915254237</v>
      </c>
      <c r="L85" s="71">
        <f t="shared" si="177"/>
        <v>151016.94915254237</v>
      </c>
      <c r="M85" s="71">
        <f t="shared" si="177"/>
        <v>152415.25423728814</v>
      </c>
      <c r="N85" s="71">
        <f t="shared" si="177"/>
        <v>152415.25423728814</v>
      </c>
      <c r="O85" s="71">
        <f t="shared" si="177"/>
        <v>153813.55932203389</v>
      </c>
      <c r="P85" s="71">
        <f t="shared" si="177"/>
        <v>190169.49152542374</v>
      </c>
      <c r="Q85" s="71">
        <f t="shared" si="177"/>
        <v>191567.79661016949</v>
      </c>
      <c r="R85" s="71">
        <f t="shared" si="177"/>
        <v>191567.79661016949</v>
      </c>
      <c r="S85" s="71">
        <f t="shared" si="177"/>
        <v>192966.10169491527</v>
      </c>
      <c r="T85" s="71">
        <f t="shared" si="177"/>
        <v>192966.10169491527</v>
      </c>
      <c r="U85" s="71">
        <f t="shared" si="177"/>
        <v>230720.33898305087</v>
      </c>
      <c r="V85" s="71">
        <f t="shared" si="177"/>
        <v>230720.33898305087</v>
      </c>
      <c r="W85" s="71">
        <f t="shared" si="177"/>
        <v>232118.64406779662</v>
      </c>
      <c r="X85" s="71">
        <f t="shared" si="177"/>
        <v>232118.64406779662</v>
      </c>
      <c r="Y85" s="71">
        <f t="shared" si="177"/>
        <v>233516.94915254239</v>
      </c>
      <c r="Z85" s="71">
        <f t="shared" si="177"/>
        <v>269872.88135593222</v>
      </c>
      <c r="AA85" s="71">
        <f t="shared" si="177"/>
        <v>271271.18644067796</v>
      </c>
      <c r="AB85" s="71">
        <f t="shared" si="177"/>
        <v>271271.18644067796</v>
      </c>
      <c r="AC85" s="71">
        <f t="shared" si="177"/>
        <v>272669.49152542371</v>
      </c>
      <c r="AD85" s="71">
        <f t="shared" si="177"/>
        <v>272669.49152542371</v>
      </c>
      <c r="AE85" s="71">
        <f t="shared" si="177"/>
        <v>310423.72881355934</v>
      </c>
      <c r="AF85" s="71">
        <f t="shared" si="177"/>
        <v>310423.72881355934</v>
      </c>
      <c r="AG85" s="71">
        <f t="shared" si="177"/>
        <v>311822.03389830509</v>
      </c>
      <c r="AH85" s="71">
        <f t="shared" si="177"/>
        <v>311822.03389830509</v>
      </c>
      <c r="AI85" s="71">
        <f t="shared" si="177"/>
        <v>313220.33898305084</v>
      </c>
      <c r="AJ85" s="71">
        <f t="shared" si="177"/>
        <v>349576.27118644072</v>
      </c>
      <c r="AK85" s="71">
        <f t="shared" si="177"/>
        <v>350974.57627118647</v>
      </c>
      <c r="AL85" s="71">
        <f t="shared" si="177"/>
        <v>350974.57627118647</v>
      </c>
      <c r="AM85" s="71">
        <f t="shared" si="177"/>
        <v>352372.88135593222</v>
      </c>
      <c r="AN85" s="71">
        <f t="shared" si="177"/>
        <v>352372.88135593222</v>
      </c>
      <c r="AO85" s="71">
        <f t="shared" si="177"/>
        <v>390127.11864406778</v>
      </c>
      <c r="AP85" s="71">
        <f t="shared" si="177"/>
        <v>390127.11864406778</v>
      </c>
      <c r="AQ85" s="71">
        <f t="shared" si="177"/>
        <v>391525.42372881359</v>
      </c>
      <c r="AR85" s="71">
        <f t="shared" si="177"/>
        <v>391525.42372881359</v>
      </c>
      <c r="AS85" s="95">
        <f t="shared" si="177"/>
        <v>392923.72881355934</v>
      </c>
    </row>
    <row r="86" spans="2:45">
      <c r="B86" s="94" t="s">
        <v>142</v>
      </c>
      <c r="C86" s="39">
        <v>1.5</v>
      </c>
      <c r="D86" s="40">
        <v>3500</v>
      </c>
      <c r="E86" s="362">
        <f t="shared" si="174"/>
        <v>2966.1016949152545</v>
      </c>
      <c r="F86" s="71">
        <f t="shared" ref="F86:AS86" si="178">+F70*$E86*$C86</f>
        <v>605084.74576271186</v>
      </c>
      <c r="G86" s="71">
        <f t="shared" si="178"/>
        <v>613983.05084745772</v>
      </c>
      <c r="H86" s="71">
        <f t="shared" si="178"/>
        <v>618432.20338983054</v>
      </c>
      <c r="I86" s="71">
        <f t="shared" si="178"/>
        <v>627330.50847457629</v>
      </c>
      <c r="J86" s="71">
        <f t="shared" si="178"/>
        <v>636228.81355932204</v>
      </c>
      <c r="K86" s="71">
        <f t="shared" si="178"/>
        <v>636228.81355932204</v>
      </c>
      <c r="L86" s="71">
        <f t="shared" si="178"/>
        <v>636228.81355932204</v>
      </c>
      <c r="M86" s="71">
        <f t="shared" si="178"/>
        <v>636228.81355932204</v>
      </c>
      <c r="N86" s="71">
        <f t="shared" si="178"/>
        <v>636228.81355932204</v>
      </c>
      <c r="O86" s="71">
        <f t="shared" si="178"/>
        <v>636228.81355932204</v>
      </c>
      <c r="P86" s="71">
        <f t="shared" si="178"/>
        <v>756355.93220338994</v>
      </c>
      <c r="Q86" s="71">
        <f t="shared" si="178"/>
        <v>760805.08474576275</v>
      </c>
      <c r="R86" s="71">
        <f t="shared" si="178"/>
        <v>760805.08474576275</v>
      </c>
      <c r="S86" s="71">
        <f t="shared" si="178"/>
        <v>765254.23728813569</v>
      </c>
      <c r="T86" s="71">
        <f t="shared" si="178"/>
        <v>765254.23728813569</v>
      </c>
      <c r="U86" s="71">
        <f t="shared" si="178"/>
        <v>765254.23728813569</v>
      </c>
      <c r="V86" s="71">
        <f t="shared" si="178"/>
        <v>765254.23728813569</v>
      </c>
      <c r="W86" s="71">
        <f t="shared" si="178"/>
        <v>765254.23728813569</v>
      </c>
      <c r="X86" s="71">
        <f t="shared" si="178"/>
        <v>765254.23728813569</v>
      </c>
      <c r="Y86" s="71">
        <f t="shared" si="178"/>
        <v>765254.23728813569</v>
      </c>
      <c r="Z86" s="71">
        <f t="shared" si="178"/>
        <v>885381.35593220359</v>
      </c>
      <c r="AA86" s="71">
        <f t="shared" si="178"/>
        <v>885381.35593220359</v>
      </c>
      <c r="AB86" s="71">
        <f t="shared" si="178"/>
        <v>889830.50847457629</v>
      </c>
      <c r="AC86" s="71">
        <f t="shared" si="178"/>
        <v>889830.50847457629</v>
      </c>
      <c r="AD86" s="71">
        <f t="shared" si="178"/>
        <v>894279.66101694922</v>
      </c>
      <c r="AE86" s="71">
        <f t="shared" si="178"/>
        <v>894279.66101694922</v>
      </c>
      <c r="AF86" s="71">
        <f t="shared" si="178"/>
        <v>894279.66101694922</v>
      </c>
      <c r="AG86" s="71">
        <f t="shared" si="178"/>
        <v>894279.66101694922</v>
      </c>
      <c r="AH86" s="71">
        <f t="shared" si="178"/>
        <v>894279.66101694922</v>
      </c>
      <c r="AI86" s="71">
        <f t="shared" si="178"/>
        <v>894279.66101694922</v>
      </c>
      <c r="AJ86" s="71">
        <f t="shared" si="178"/>
        <v>1014406.7796610171</v>
      </c>
      <c r="AK86" s="71">
        <f t="shared" si="178"/>
        <v>1014406.7796610171</v>
      </c>
      <c r="AL86" s="71">
        <f t="shared" si="178"/>
        <v>1018855.9322033899</v>
      </c>
      <c r="AM86" s="71">
        <f t="shared" si="178"/>
        <v>1018855.9322033899</v>
      </c>
      <c r="AN86" s="71">
        <f t="shared" si="178"/>
        <v>1018855.9322033899</v>
      </c>
      <c r="AO86" s="71">
        <f t="shared" si="178"/>
        <v>1018855.9322033899</v>
      </c>
      <c r="AP86" s="71">
        <f t="shared" si="178"/>
        <v>1018855.9322033899</v>
      </c>
      <c r="AQ86" s="71">
        <f t="shared" si="178"/>
        <v>1018855.9322033899</v>
      </c>
      <c r="AR86" s="71">
        <f t="shared" si="178"/>
        <v>1018855.9322033899</v>
      </c>
      <c r="AS86" s="95">
        <f t="shared" si="178"/>
        <v>1018855.9322033899</v>
      </c>
    </row>
    <row r="87" spans="2:45" s="29" customFormat="1" ht="15.75" thickBot="1">
      <c r="B87" s="98" t="s">
        <v>184</v>
      </c>
      <c r="C87" s="99"/>
      <c r="D87" s="99"/>
      <c r="E87" s="100"/>
      <c r="F87" s="101">
        <f>SUM(F83:F86)</f>
        <v>897669.49152542371</v>
      </c>
      <c r="G87" s="101">
        <f t="shared" ref="G87:P87" si="179">SUM(G83:G86)</f>
        <v>943686.44067796622</v>
      </c>
      <c r="H87" s="101">
        <f t="shared" si="179"/>
        <v>979618.64406779665</v>
      </c>
      <c r="I87" s="101">
        <f t="shared" si="179"/>
        <v>1021398.3050847459</v>
      </c>
      <c r="J87" s="101">
        <f t="shared" si="179"/>
        <v>1061779.6610169492</v>
      </c>
      <c r="K87" s="101">
        <f t="shared" si="179"/>
        <v>1092330.5084745763</v>
      </c>
      <c r="L87" s="101">
        <f t="shared" si="179"/>
        <v>1088093.220338983</v>
      </c>
      <c r="M87" s="101">
        <f t="shared" si="179"/>
        <v>1082288.1355932204</v>
      </c>
      <c r="N87" s="101">
        <f t="shared" si="179"/>
        <v>1078050.8474576271</v>
      </c>
      <c r="O87" s="101">
        <f t="shared" si="179"/>
        <v>1072245.7627118644</v>
      </c>
      <c r="P87" s="101">
        <f t="shared" si="179"/>
        <v>1288898.3050847459</v>
      </c>
      <c r="Q87" s="101">
        <f t="shared" ref="Q87:AS87" si="180">SUM(Q83:Q86)</f>
        <v>1301949.1525423729</v>
      </c>
      <c r="R87" s="101">
        <f t="shared" si="180"/>
        <v>1301949.1525423729</v>
      </c>
      <c r="S87" s="101">
        <f t="shared" si="180"/>
        <v>1312033.898305085</v>
      </c>
      <c r="T87" s="101">
        <f t="shared" si="180"/>
        <v>1319237.2881355933</v>
      </c>
      <c r="U87" s="101">
        <f t="shared" si="180"/>
        <v>1349788.1355932206</v>
      </c>
      <c r="V87" s="101">
        <f t="shared" si="180"/>
        <v>1338347.4576271188</v>
      </c>
      <c r="W87" s="101">
        <f t="shared" si="180"/>
        <v>1332542.3728813562</v>
      </c>
      <c r="X87" s="101">
        <f t="shared" si="180"/>
        <v>1324067.7966101696</v>
      </c>
      <c r="Y87" s="101">
        <f t="shared" si="180"/>
        <v>1318262.7118644069</v>
      </c>
      <c r="Z87" s="101">
        <f t="shared" si="180"/>
        <v>1534915.2542372884</v>
      </c>
      <c r="AA87" s="101">
        <f t="shared" si="180"/>
        <v>1547754.2372881358</v>
      </c>
      <c r="AB87" s="101">
        <f t="shared" si="180"/>
        <v>1559406.779661017</v>
      </c>
      <c r="AC87" s="101">
        <f t="shared" si="180"/>
        <v>1565042.3728813559</v>
      </c>
      <c r="AD87" s="101">
        <f t="shared" si="180"/>
        <v>1576694.9152542374</v>
      </c>
      <c r="AE87" s="101">
        <f t="shared" si="180"/>
        <v>1610211.8644067799</v>
      </c>
      <c r="AF87" s="101">
        <f t="shared" si="180"/>
        <v>1603008.4745762714</v>
      </c>
      <c r="AG87" s="101">
        <f t="shared" si="180"/>
        <v>1597203.3898305085</v>
      </c>
      <c r="AH87" s="101">
        <f t="shared" si="180"/>
        <v>1597203.3898305085</v>
      </c>
      <c r="AI87" s="101">
        <f t="shared" si="180"/>
        <v>1591398.3050847459</v>
      </c>
      <c r="AJ87" s="101">
        <f t="shared" si="180"/>
        <v>1811016.9491525427</v>
      </c>
      <c r="AK87" s="101">
        <f t="shared" si="180"/>
        <v>1816652.5423728814</v>
      </c>
      <c r="AL87" s="101">
        <f t="shared" si="180"/>
        <v>1828305.0847457629</v>
      </c>
      <c r="AM87" s="101">
        <f t="shared" si="180"/>
        <v>1836906.779661017</v>
      </c>
      <c r="AN87" s="101">
        <f t="shared" si="180"/>
        <v>1845381.3559322036</v>
      </c>
      <c r="AO87" s="101">
        <f t="shared" si="180"/>
        <v>1878898.3050847459</v>
      </c>
      <c r="AP87" s="101">
        <f t="shared" si="180"/>
        <v>1871694.9152542374</v>
      </c>
      <c r="AQ87" s="101">
        <f t="shared" si="180"/>
        <v>1868855.9322033899</v>
      </c>
      <c r="AR87" s="101">
        <f t="shared" si="180"/>
        <v>1861652.5423728814</v>
      </c>
      <c r="AS87" s="102">
        <f t="shared" si="180"/>
        <v>1855847.4576271188</v>
      </c>
    </row>
    <row r="88" spans="2:45" s="29" customFormat="1" ht="19.5" customHeight="1" thickBot="1">
      <c r="B88" s="108"/>
      <c r="C88" s="104"/>
      <c r="D88" s="104"/>
      <c r="E88" s="105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9"/>
    </row>
    <row r="89" spans="2:45">
      <c r="B89" s="90" t="s">
        <v>145</v>
      </c>
      <c r="C89" s="91"/>
      <c r="D89" s="91" t="s">
        <v>474</v>
      </c>
      <c r="E89" s="91" t="s">
        <v>475</v>
      </c>
      <c r="F89" s="92" t="s">
        <v>118</v>
      </c>
      <c r="G89" s="92" t="s">
        <v>119</v>
      </c>
      <c r="H89" s="92" t="s">
        <v>120</v>
      </c>
      <c r="I89" s="92" t="s">
        <v>121</v>
      </c>
      <c r="J89" s="92" t="s">
        <v>122</v>
      </c>
      <c r="K89" s="92" t="s">
        <v>123</v>
      </c>
      <c r="L89" s="92" t="s">
        <v>124</v>
      </c>
      <c r="M89" s="92" t="s">
        <v>125</v>
      </c>
      <c r="N89" s="92" t="s">
        <v>126</v>
      </c>
      <c r="O89" s="92" t="s">
        <v>127</v>
      </c>
      <c r="P89" s="92" t="s">
        <v>128</v>
      </c>
      <c r="Q89" s="92" t="s">
        <v>193</v>
      </c>
      <c r="R89" s="92" t="s">
        <v>194</v>
      </c>
      <c r="S89" s="92" t="s">
        <v>195</v>
      </c>
      <c r="T89" s="92" t="s">
        <v>196</v>
      </c>
      <c r="U89" s="92" t="s">
        <v>197</v>
      </c>
      <c r="V89" s="92" t="s">
        <v>198</v>
      </c>
      <c r="W89" s="92" t="s">
        <v>199</v>
      </c>
      <c r="X89" s="92" t="s">
        <v>200</v>
      </c>
      <c r="Y89" s="92" t="s">
        <v>201</v>
      </c>
      <c r="Z89" s="92" t="s">
        <v>202</v>
      </c>
      <c r="AA89" s="92" t="s">
        <v>203</v>
      </c>
      <c r="AB89" s="92" t="s">
        <v>204</v>
      </c>
      <c r="AC89" s="92" t="s">
        <v>205</v>
      </c>
      <c r="AD89" s="92" t="s">
        <v>206</v>
      </c>
      <c r="AE89" s="92" t="s">
        <v>207</v>
      </c>
      <c r="AF89" s="92" t="s">
        <v>208</v>
      </c>
      <c r="AG89" s="92" t="s">
        <v>209</v>
      </c>
      <c r="AH89" s="92" t="s">
        <v>210</v>
      </c>
      <c r="AI89" s="92" t="s">
        <v>211</v>
      </c>
      <c r="AJ89" s="92" t="s">
        <v>212</v>
      </c>
      <c r="AK89" s="92" t="s">
        <v>213</v>
      </c>
      <c r="AL89" s="92" t="s">
        <v>214</v>
      </c>
      <c r="AM89" s="92" t="s">
        <v>215</v>
      </c>
      <c r="AN89" s="92" t="s">
        <v>216</v>
      </c>
      <c r="AO89" s="92" t="s">
        <v>217</v>
      </c>
      <c r="AP89" s="92" t="s">
        <v>218</v>
      </c>
      <c r="AQ89" s="92" t="s">
        <v>219</v>
      </c>
      <c r="AR89" s="92" t="s">
        <v>220</v>
      </c>
      <c r="AS89" s="93" t="s">
        <v>221</v>
      </c>
    </row>
    <row r="90" spans="2:45">
      <c r="B90" s="94" t="s">
        <v>148</v>
      </c>
      <c r="C90" s="39" t="s">
        <v>229</v>
      </c>
      <c r="D90" s="304">
        <f>+E17</f>
        <v>43030.822498259571</v>
      </c>
      <c r="E90" s="89">
        <f>+D90/1.18</f>
        <v>36466.798727338624</v>
      </c>
      <c r="F90" s="71">
        <f>ROUND(F17*$E90, 0)</f>
        <v>38290</v>
      </c>
      <c r="G90" s="71">
        <f>ROUND(G17*$E90, 0)</f>
        <v>40113</v>
      </c>
      <c r="H90" s="71">
        <f t="shared" ref="H90:AS90" si="181">ROUND(H17*$E90, 0)</f>
        <v>41937</v>
      </c>
      <c r="I90" s="71">
        <f t="shared" si="181"/>
        <v>43760</v>
      </c>
      <c r="J90" s="71">
        <f t="shared" si="181"/>
        <v>45583</v>
      </c>
      <c r="K90" s="71">
        <f t="shared" si="181"/>
        <v>46678</v>
      </c>
      <c r="L90" s="71">
        <f t="shared" si="181"/>
        <v>47772</v>
      </c>
      <c r="M90" s="71">
        <f t="shared" si="181"/>
        <v>48866</v>
      </c>
      <c r="N90" s="71">
        <f t="shared" si="181"/>
        <v>49960</v>
      </c>
      <c r="O90" s="71">
        <f t="shared" si="181"/>
        <v>51054</v>
      </c>
      <c r="P90" s="71">
        <f t="shared" si="181"/>
        <v>51418</v>
      </c>
      <c r="Q90" s="71">
        <f t="shared" si="181"/>
        <v>51783</v>
      </c>
      <c r="R90" s="71">
        <f t="shared" si="181"/>
        <v>52148</v>
      </c>
      <c r="S90" s="71">
        <f t="shared" si="181"/>
        <v>52512</v>
      </c>
      <c r="T90" s="71">
        <f t="shared" si="181"/>
        <v>52877</v>
      </c>
      <c r="U90" s="71">
        <f t="shared" si="181"/>
        <v>53242</v>
      </c>
      <c r="V90" s="71">
        <f t="shared" si="181"/>
        <v>53606</v>
      </c>
      <c r="W90" s="71">
        <f t="shared" si="181"/>
        <v>53971</v>
      </c>
      <c r="X90" s="71">
        <f t="shared" si="181"/>
        <v>54336</v>
      </c>
      <c r="Y90" s="71">
        <f t="shared" si="181"/>
        <v>54700</v>
      </c>
      <c r="Z90" s="71">
        <f t="shared" si="181"/>
        <v>54883</v>
      </c>
      <c r="AA90" s="71">
        <f t="shared" si="181"/>
        <v>55065</v>
      </c>
      <c r="AB90" s="71">
        <f t="shared" si="181"/>
        <v>55247</v>
      </c>
      <c r="AC90" s="71">
        <f t="shared" si="181"/>
        <v>55430</v>
      </c>
      <c r="AD90" s="71">
        <f t="shared" si="181"/>
        <v>55612</v>
      </c>
      <c r="AE90" s="71">
        <f t="shared" si="181"/>
        <v>55794</v>
      </c>
      <c r="AF90" s="71">
        <f t="shared" si="181"/>
        <v>55977</v>
      </c>
      <c r="AG90" s="71">
        <f t="shared" si="181"/>
        <v>56159</v>
      </c>
      <c r="AH90" s="71">
        <f t="shared" si="181"/>
        <v>56341</v>
      </c>
      <c r="AI90" s="71">
        <f t="shared" si="181"/>
        <v>56524</v>
      </c>
      <c r="AJ90" s="71">
        <f t="shared" si="181"/>
        <v>56706</v>
      </c>
      <c r="AK90" s="71">
        <f t="shared" si="181"/>
        <v>56888</v>
      </c>
      <c r="AL90" s="71">
        <f t="shared" si="181"/>
        <v>57071</v>
      </c>
      <c r="AM90" s="71">
        <f t="shared" si="181"/>
        <v>57253</v>
      </c>
      <c r="AN90" s="71">
        <f t="shared" si="181"/>
        <v>57435</v>
      </c>
      <c r="AO90" s="71">
        <f t="shared" si="181"/>
        <v>57618</v>
      </c>
      <c r="AP90" s="71">
        <f t="shared" si="181"/>
        <v>57800</v>
      </c>
      <c r="AQ90" s="71">
        <f t="shared" si="181"/>
        <v>57982</v>
      </c>
      <c r="AR90" s="71">
        <f t="shared" si="181"/>
        <v>58165</v>
      </c>
      <c r="AS90" s="71">
        <f t="shared" si="181"/>
        <v>58347</v>
      </c>
    </row>
    <row r="91" spans="2:45">
      <c r="B91" s="94" t="s">
        <v>150</v>
      </c>
      <c r="C91" s="39" t="s">
        <v>229</v>
      </c>
      <c r="D91" s="304">
        <f t="shared" ref="D91:D92" si="182">+E18</f>
        <v>6165.294250503357</v>
      </c>
      <c r="E91" s="89">
        <f t="shared" ref="E91:E95" si="183">+D91/1.18</f>
        <v>5224.8256360197947</v>
      </c>
      <c r="F91" s="71">
        <f t="shared" ref="F91:G92" si="184">ROUND(F18*$E91, 0)</f>
        <v>5747</v>
      </c>
      <c r="G91" s="71">
        <f t="shared" si="184"/>
        <v>5852</v>
      </c>
      <c r="H91" s="71">
        <f t="shared" ref="H91:AS91" si="185">ROUND(H18*$E91, 0)</f>
        <v>5956</v>
      </c>
      <c r="I91" s="71">
        <f t="shared" si="185"/>
        <v>6061</v>
      </c>
      <c r="J91" s="71">
        <f t="shared" si="185"/>
        <v>6165</v>
      </c>
      <c r="K91" s="71">
        <f t="shared" si="185"/>
        <v>6218</v>
      </c>
      <c r="L91" s="71">
        <f t="shared" si="185"/>
        <v>6270</v>
      </c>
      <c r="M91" s="71">
        <f t="shared" si="185"/>
        <v>6322</v>
      </c>
      <c r="N91" s="71">
        <f t="shared" si="185"/>
        <v>6374</v>
      </c>
      <c r="O91" s="71">
        <f t="shared" si="185"/>
        <v>6427</v>
      </c>
      <c r="P91" s="71">
        <f t="shared" si="185"/>
        <v>6479</v>
      </c>
      <c r="Q91" s="71">
        <f t="shared" si="185"/>
        <v>6531</v>
      </c>
      <c r="R91" s="71">
        <f t="shared" si="185"/>
        <v>6583</v>
      </c>
      <c r="S91" s="71">
        <f t="shared" si="185"/>
        <v>6636</v>
      </c>
      <c r="T91" s="71">
        <f t="shared" si="185"/>
        <v>6688</v>
      </c>
      <c r="U91" s="71">
        <f t="shared" si="185"/>
        <v>6740</v>
      </c>
      <c r="V91" s="71">
        <f t="shared" si="185"/>
        <v>6792</v>
      </c>
      <c r="W91" s="71">
        <f t="shared" si="185"/>
        <v>6845</v>
      </c>
      <c r="X91" s="71">
        <f t="shared" si="185"/>
        <v>6897</v>
      </c>
      <c r="Y91" s="71">
        <f t="shared" si="185"/>
        <v>6949</v>
      </c>
      <c r="Z91" s="71">
        <f t="shared" si="185"/>
        <v>7001</v>
      </c>
      <c r="AA91" s="71">
        <f t="shared" si="185"/>
        <v>7054</v>
      </c>
      <c r="AB91" s="71">
        <f t="shared" si="185"/>
        <v>7106</v>
      </c>
      <c r="AC91" s="71">
        <f t="shared" si="185"/>
        <v>7158</v>
      </c>
      <c r="AD91" s="71">
        <f t="shared" si="185"/>
        <v>7210</v>
      </c>
      <c r="AE91" s="71">
        <f t="shared" si="185"/>
        <v>7263</v>
      </c>
      <c r="AF91" s="71">
        <f t="shared" si="185"/>
        <v>7315</v>
      </c>
      <c r="AG91" s="71">
        <f t="shared" si="185"/>
        <v>7367</v>
      </c>
      <c r="AH91" s="71">
        <f t="shared" si="185"/>
        <v>7419</v>
      </c>
      <c r="AI91" s="71">
        <f t="shared" si="185"/>
        <v>7472</v>
      </c>
      <c r="AJ91" s="71">
        <f t="shared" si="185"/>
        <v>7524</v>
      </c>
      <c r="AK91" s="71">
        <f t="shared" si="185"/>
        <v>7576</v>
      </c>
      <c r="AL91" s="71">
        <f t="shared" si="185"/>
        <v>7628</v>
      </c>
      <c r="AM91" s="71">
        <f t="shared" si="185"/>
        <v>7680</v>
      </c>
      <c r="AN91" s="71">
        <f t="shared" si="185"/>
        <v>7733</v>
      </c>
      <c r="AO91" s="71">
        <f t="shared" si="185"/>
        <v>7785</v>
      </c>
      <c r="AP91" s="71">
        <f t="shared" si="185"/>
        <v>7837</v>
      </c>
      <c r="AQ91" s="71">
        <f t="shared" si="185"/>
        <v>7889</v>
      </c>
      <c r="AR91" s="71">
        <f t="shared" si="185"/>
        <v>7942</v>
      </c>
      <c r="AS91" s="71">
        <f t="shared" si="185"/>
        <v>7994</v>
      </c>
    </row>
    <row r="92" spans="2:45">
      <c r="B92" s="94" t="s">
        <v>384</v>
      </c>
      <c r="C92" s="39" t="s">
        <v>229</v>
      </c>
      <c r="D92" s="304">
        <f t="shared" si="182"/>
        <v>78565.343251237064</v>
      </c>
      <c r="E92" s="89">
        <f t="shared" si="183"/>
        <v>66580.799365455139</v>
      </c>
      <c r="F92" s="71">
        <f t="shared" si="184"/>
        <v>69910</v>
      </c>
      <c r="G92" s="71">
        <f t="shared" si="184"/>
        <v>73239</v>
      </c>
      <c r="H92" s="71">
        <f t="shared" ref="H92:AS92" si="186">ROUND(H19*$E92, 0)</f>
        <v>76568</v>
      </c>
      <c r="I92" s="71">
        <f t="shared" si="186"/>
        <v>79897</v>
      </c>
      <c r="J92" s="71">
        <f t="shared" si="186"/>
        <v>83226</v>
      </c>
      <c r="K92" s="71">
        <f t="shared" si="186"/>
        <v>85223</v>
      </c>
      <c r="L92" s="71">
        <f t="shared" si="186"/>
        <v>87221</v>
      </c>
      <c r="M92" s="71">
        <f t="shared" si="186"/>
        <v>89218</v>
      </c>
      <c r="N92" s="71">
        <f t="shared" si="186"/>
        <v>91216</v>
      </c>
      <c r="O92" s="71">
        <f t="shared" si="186"/>
        <v>93213</v>
      </c>
      <c r="P92" s="71">
        <f t="shared" si="186"/>
        <v>93879</v>
      </c>
      <c r="Q92" s="71">
        <f t="shared" si="186"/>
        <v>94545</v>
      </c>
      <c r="R92" s="71">
        <f t="shared" si="186"/>
        <v>95211</v>
      </c>
      <c r="S92" s="71">
        <f t="shared" si="186"/>
        <v>95876</v>
      </c>
      <c r="T92" s="71">
        <f t="shared" si="186"/>
        <v>96542</v>
      </c>
      <c r="U92" s="71">
        <f t="shared" si="186"/>
        <v>97208</v>
      </c>
      <c r="V92" s="71">
        <f t="shared" si="186"/>
        <v>97874</v>
      </c>
      <c r="W92" s="71">
        <f t="shared" si="186"/>
        <v>98540</v>
      </c>
      <c r="X92" s="71">
        <f t="shared" si="186"/>
        <v>99205</v>
      </c>
      <c r="Y92" s="71">
        <f t="shared" si="186"/>
        <v>99871</v>
      </c>
      <c r="Z92" s="71">
        <f t="shared" si="186"/>
        <v>100204</v>
      </c>
      <c r="AA92" s="71">
        <f t="shared" si="186"/>
        <v>100537</v>
      </c>
      <c r="AB92" s="71">
        <f t="shared" si="186"/>
        <v>100870</v>
      </c>
      <c r="AC92" s="71">
        <f t="shared" si="186"/>
        <v>101203</v>
      </c>
      <c r="AD92" s="71">
        <f t="shared" si="186"/>
        <v>101536</v>
      </c>
      <c r="AE92" s="71">
        <f t="shared" si="186"/>
        <v>101869</v>
      </c>
      <c r="AF92" s="71">
        <f t="shared" si="186"/>
        <v>102202</v>
      </c>
      <c r="AG92" s="71">
        <f t="shared" si="186"/>
        <v>102534</v>
      </c>
      <c r="AH92" s="71">
        <f t="shared" si="186"/>
        <v>102867</v>
      </c>
      <c r="AI92" s="71">
        <f t="shared" si="186"/>
        <v>103200</v>
      </c>
      <c r="AJ92" s="71">
        <f t="shared" si="186"/>
        <v>103533</v>
      </c>
      <c r="AK92" s="71">
        <f t="shared" si="186"/>
        <v>103866</v>
      </c>
      <c r="AL92" s="71">
        <f t="shared" si="186"/>
        <v>104199</v>
      </c>
      <c r="AM92" s="71">
        <f t="shared" si="186"/>
        <v>104532</v>
      </c>
      <c r="AN92" s="71">
        <f t="shared" si="186"/>
        <v>104865</v>
      </c>
      <c r="AO92" s="71">
        <f t="shared" si="186"/>
        <v>105198</v>
      </c>
      <c r="AP92" s="71">
        <f t="shared" si="186"/>
        <v>105531</v>
      </c>
      <c r="AQ92" s="71">
        <f t="shared" si="186"/>
        <v>105863</v>
      </c>
      <c r="AR92" s="71">
        <f t="shared" si="186"/>
        <v>106196</v>
      </c>
      <c r="AS92" s="71">
        <f t="shared" si="186"/>
        <v>106529</v>
      </c>
    </row>
    <row r="93" spans="2:45" s="29" customFormat="1">
      <c r="B93" s="232" t="s">
        <v>378</v>
      </c>
      <c r="C93" s="229"/>
      <c r="D93" s="304"/>
      <c r="E93" s="230">
        <f>SUM(E90:E92)</f>
        <v>108272.42372881356</v>
      </c>
      <c r="F93" s="230">
        <f t="shared" ref="F93:AS93" si="187">SUM(F90:F92)</f>
        <v>113947</v>
      </c>
      <c r="G93" s="230">
        <f t="shared" si="187"/>
        <v>119204</v>
      </c>
      <c r="H93" s="230">
        <f t="shared" si="187"/>
        <v>124461</v>
      </c>
      <c r="I93" s="230">
        <f t="shared" si="187"/>
        <v>129718</v>
      </c>
      <c r="J93" s="230">
        <f t="shared" si="187"/>
        <v>134974</v>
      </c>
      <c r="K93" s="230">
        <f t="shared" si="187"/>
        <v>138119</v>
      </c>
      <c r="L93" s="230">
        <f t="shared" si="187"/>
        <v>141263</v>
      </c>
      <c r="M93" s="230">
        <f t="shared" si="187"/>
        <v>144406</v>
      </c>
      <c r="N93" s="230">
        <f t="shared" si="187"/>
        <v>147550</v>
      </c>
      <c r="O93" s="230">
        <f t="shared" si="187"/>
        <v>150694</v>
      </c>
      <c r="P93" s="230">
        <f t="shared" si="187"/>
        <v>151776</v>
      </c>
      <c r="Q93" s="230">
        <f t="shared" si="187"/>
        <v>152859</v>
      </c>
      <c r="R93" s="230">
        <f t="shared" si="187"/>
        <v>153942</v>
      </c>
      <c r="S93" s="230">
        <f t="shared" si="187"/>
        <v>155024</v>
      </c>
      <c r="T93" s="230">
        <f t="shared" si="187"/>
        <v>156107</v>
      </c>
      <c r="U93" s="230">
        <f t="shared" si="187"/>
        <v>157190</v>
      </c>
      <c r="V93" s="230">
        <f t="shared" si="187"/>
        <v>158272</v>
      </c>
      <c r="W93" s="230">
        <f t="shared" si="187"/>
        <v>159356</v>
      </c>
      <c r="X93" s="230">
        <f t="shared" si="187"/>
        <v>160438</v>
      </c>
      <c r="Y93" s="230">
        <f t="shared" si="187"/>
        <v>161520</v>
      </c>
      <c r="Z93" s="230">
        <f t="shared" si="187"/>
        <v>162088</v>
      </c>
      <c r="AA93" s="230">
        <f t="shared" si="187"/>
        <v>162656</v>
      </c>
      <c r="AB93" s="230">
        <f t="shared" si="187"/>
        <v>163223</v>
      </c>
      <c r="AC93" s="230">
        <f t="shared" si="187"/>
        <v>163791</v>
      </c>
      <c r="AD93" s="230">
        <f t="shared" si="187"/>
        <v>164358</v>
      </c>
      <c r="AE93" s="230">
        <f t="shared" si="187"/>
        <v>164926</v>
      </c>
      <c r="AF93" s="230">
        <f t="shared" si="187"/>
        <v>165494</v>
      </c>
      <c r="AG93" s="230">
        <f t="shared" si="187"/>
        <v>166060</v>
      </c>
      <c r="AH93" s="230">
        <f t="shared" si="187"/>
        <v>166627</v>
      </c>
      <c r="AI93" s="230">
        <f t="shared" si="187"/>
        <v>167196</v>
      </c>
      <c r="AJ93" s="230">
        <f t="shared" si="187"/>
        <v>167763</v>
      </c>
      <c r="AK93" s="230">
        <f t="shared" si="187"/>
        <v>168330</v>
      </c>
      <c r="AL93" s="230">
        <f t="shared" si="187"/>
        <v>168898</v>
      </c>
      <c r="AM93" s="230">
        <f t="shared" si="187"/>
        <v>169465</v>
      </c>
      <c r="AN93" s="230">
        <f t="shared" si="187"/>
        <v>170033</v>
      </c>
      <c r="AO93" s="230">
        <f t="shared" si="187"/>
        <v>170601</v>
      </c>
      <c r="AP93" s="230">
        <f t="shared" si="187"/>
        <v>171168</v>
      </c>
      <c r="AQ93" s="230">
        <f t="shared" si="187"/>
        <v>171734</v>
      </c>
      <c r="AR93" s="230">
        <f t="shared" si="187"/>
        <v>172303</v>
      </c>
      <c r="AS93" s="230">
        <f t="shared" si="187"/>
        <v>172870</v>
      </c>
    </row>
    <row r="94" spans="2:45" ht="16.5" customHeight="1">
      <c r="B94" s="94" t="s">
        <v>153</v>
      </c>
      <c r="C94" s="39" t="s">
        <v>230</v>
      </c>
      <c r="D94" s="304">
        <f>+E20</f>
        <v>200000</v>
      </c>
      <c r="E94" s="89">
        <f t="shared" si="183"/>
        <v>169491.52542372883</v>
      </c>
      <c r="F94" s="71">
        <f>ROUND(F20*$E94, 0)</f>
        <v>169492</v>
      </c>
      <c r="G94" s="71">
        <f>ROUND(G20*$E94, 0)</f>
        <v>169492</v>
      </c>
      <c r="H94" s="71">
        <f t="shared" ref="H94:AS94" si="188">ROUND(H20*$E94, 0)</f>
        <v>169492</v>
      </c>
      <c r="I94" s="71">
        <f t="shared" si="188"/>
        <v>169492</v>
      </c>
      <c r="J94" s="71">
        <f t="shared" si="188"/>
        <v>169492</v>
      </c>
      <c r="K94" s="71">
        <f t="shared" si="188"/>
        <v>169492</v>
      </c>
      <c r="L94" s="71">
        <f t="shared" si="188"/>
        <v>169492</v>
      </c>
      <c r="M94" s="71">
        <f t="shared" si="188"/>
        <v>169492</v>
      </c>
      <c r="N94" s="71">
        <f t="shared" si="188"/>
        <v>169492</v>
      </c>
      <c r="O94" s="71">
        <f t="shared" si="188"/>
        <v>169492</v>
      </c>
      <c r="P94" s="71">
        <f t="shared" si="188"/>
        <v>169492</v>
      </c>
      <c r="Q94" s="71">
        <f t="shared" si="188"/>
        <v>169492</v>
      </c>
      <c r="R94" s="71">
        <f t="shared" si="188"/>
        <v>169492</v>
      </c>
      <c r="S94" s="71">
        <f t="shared" si="188"/>
        <v>169492</v>
      </c>
      <c r="T94" s="71">
        <f t="shared" si="188"/>
        <v>169492</v>
      </c>
      <c r="U94" s="71">
        <f t="shared" si="188"/>
        <v>169492</v>
      </c>
      <c r="V94" s="71">
        <f t="shared" si="188"/>
        <v>169492</v>
      </c>
      <c r="W94" s="71">
        <f t="shared" si="188"/>
        <v>169492</v>
      </c>
      <c r="X94" s="71">
        <f t="shared" si="188"/>
        <v>169492</v>
      </c>
      <c r="Y94" s="71">
        <f t="shared" si="188"/>
        <v>169492</v>
      </c>
      <c r="Z94" s="71">
        <f t="shared" si="188"/>
        <v>169492</v>
      </c>
      <c r="AA94" s="71">
        <f t="shared" si="188"/>
        <v>169492</v>
      </c>
      <c r="AB94" s="71">
        <f t="shared" si="188"/>
        <v>169492</v>
      </c>
      <c r="AC94" s="71">
        <f t="shared" si="188"/>
        <v>169492</v>
      </c>
      <c r="AD94" s="71">
        <f t="shared" si="188"/>
        <v>169492</v>
      </c>
      <c r="AE94" s="71">
        <f t="shared" si="188"/>
        <v>169492</v>
      </c>
      <c r="AF94" s="71">
        <f t="shared" si="188"/>
        <v>169492</v>
      </c>
      <c r="AG94" s="71">
        <f t="shared" si="188"/>
        <v>169492</v>
      </c>
      <c r="AH94" s="71">
        <f t="shared" si="188"/>
        <v>169492</v>
      </c>
      <c r="AI94" s="71">
        <f t="shared" si="188"/>
        <v>169492</v>
      </c>
      <c r="AJ94" s="71">
        <f t="shared" si="188"/>
        <v>169492</v>
      </c>
      <c r="AK94" s="71">
        <f t="shared" si="188"/>
        <v>169492</v>
      </c>
      <c r="AL94" s="71">
        <f t="shared" si="188"/>
        <v>169492</v>
      </c>
      <c r="AM94" s="71">
        <f t="shared" si="188"/>
        <v>169492</v>
      </c>
      <c r="AN94" s="71">
        <f t="shared" si="188"/>
        <v>169492</v>
      </c>
      <c r="AO94" s="71">
        <f t="shared" si="188"/>
        <v>169492</v>
      </c>
      <c r="AP94" s="71">
        <f t="shared" si="188"/>
        <v>169492</v>
      </c>
      <c r="AQ94" s="71">
        <f t="shared" si="188"/>
        <v>169492</v>
      </c>
      <c r="AR94" s="71">
        <f t="shared" si="188"/>
        <v>169492</v>
      </c>
      <c r="AS94" s="71">
        <f t="shared" si="188"/>
        <v>169492</v>
      </c>
    </row>
    <row r="95" spans="2:45" ht="15" customHeight="1">
      <c r="B95" s="94" t="s">
        <v>155</v>
      </c>
      <c r="C95" s="39" t="s">
        <v>230</v>
      </c>
      <c r="D95" s="304">
        <f>+E21</f>
        <v>35000</v>
      </c>
      <c r="E95" s="89">
        <f t="shared" si="183"/>
        <v>29661.016949152545</v>
      </c>
      <c r="F95" s="71">
        <f>ROUND(F21*$E95, 0)</f>
        <v>29661</v>
      </c>
      <c r="G95" s="71">
        <f>ROUND(G21*$E95, 0)</f>
        <v>31144</v>
      </c>
      <c r="H95" s="71">
        <f t="shared" ref="H95:AS95" si="189">ROUND(H21*$E95, 0)</f>
        <v>32627</v>
      </c>
      <c r="I95" s="71">
        <f t="shared" si="189"/>
        <v>34110</v>
      </c>
      <c r="J95" s="71">
        <f t="shared" si="189"/>
        <v>35593</v>
      </c>
      <c r="K95" s="71">
        <f t="shared" si="189"/>
        <v>35890</v>
      </c>
      <c r="L95" s="71">
        <f t="shared" si="189"/>
        <v>36186</v>
      </c>
      <c r="M95" s="71">
        <f t="shared" si="189"/>
        <v>36483</v>
      </c>
      <c r="N95" s="71">
        <f t="shared" si="189"/>
        <v>36780</v>
      </c>
      <c r="O95" s="71">
        <f t="shared" si="189"/>
        <v>37076</v>
      </c>
      <c r="P95" s="71">
        <f t="shared" si="189"/>
        <v>37373</v>
      </c>
      <c r="Q95" s="71">
        <f t="shared" si="189"/>
        <v>37669</v>
      </c>
      <c r="R95" s="71">
        <f t="shared" si="189"/>
        <v>37966</v>
      </c>
      <c r="S95" s="71">
        <f t="shared" si="189"/>
        <v>38263</v>
      </c>
      <c r="T95" s="71">
        <f t="shared" si="189"/>
        <v>38559</v>
      </c>
      <c r="U95" s="71">
        <f t="shared" si="189"/>
        <v>38856</v>
      </c>
      <c r="V95" s="71">
        <f t="shared" si="189"/>
        <v>39153</v>
      </c>
      <c r="W95" s="71">
        <f t="shared" si="189"/>
        <v>39449</v>
      </c>
      <c r="X95" s="71">
        <f t="shared" si="189"/>
        <v>39746</v>
      </c>
      <c r="Y95" s="71">
        <f t="shared" si="189"/>
        <v>40042</v>
      </c>
      <c r="Z95" s="71">
        <f t="shared" si="189"/>
        <v>40339</v>
      </c>
      <c r="AA95" s="71">
        <f t="shared" si="189"/>
        <v>40636</v>
      </c>
      <c r="AB95" s="71">
        <f t="shared" si="189"/>
        <v>40932</v>
      </c>
      <c r="AC95" s="71">
        <f t="shared" si="189"/>
        <v>41229</v>
      </c>
      <c r="AD95" s="71">
        <f t="shared" si="189"/>
        <v>41525</v>
      </c>
      <c r="AE95" s="71">
        <f t="shared" si="189"/>
        <v>41822</v>
      </c>
      <c r="AF95" s="71">
        <f t="shared" si="189"/>
        <v>42119</v>
      </c>
      <c r="AG95" s="71">
        <f t="shared" si="189"/>
        <v>42415</v>
      </c>
      <c r="AH95" s="71">
        <f t="shared" si="189"/>
        <v>42712</v>
      </c>
      <c r="AI95" s="71">
        <f t="shared" si="189"/>
        <v>43008</v>
      </c>
      <c r="AJ95" s="71">
        <f t="shared" si="189"/>
        <v>43305</v>
      </c>
      <c r="AK95" s="71">
        <f t="shared" si="189"/>
        <v>43602</v>
      </c>
      <c r="AL95" s="71">
        <f t="shared" si="189"/>
        <v>43898</v>
      </c>
      <c r="AM95" s="71">
        <f t="shared" si="189"/>
        <v>44195</v>
      </c>
      <c r="AN95" s="71">
        <f t="shared" si="189"/>
        <v>44492</v>
      </c>
      <c r="AO95" s="71">
        <f t="shared" si="189"/>
        <v>44788</v>
      </c>
      <c r="AP95" s="71">
        <f t="shared" si="189"/>
        <v>45085</v>
      </c>
      <c r="AQ95" s="71">
        <f t="shared" si="189"/>
        <v>45381</v>
      </c>
      <c r="AR95" s="71">
        <f t="shared" si="189"/>
        <v>45678</v>
      </c>
      <c r="AS95" s="71">
        <f t="shared" si="189"/>
        <v>45975</v>
      </c>
    </row>
    <row r="96" spans="2:45" s="29" customFormat="1">
      <c r="B96" s="232" t="s">
        <v>380</v>
      </c>
      <c r="C96" s="233"/>
      <c r="D96" s="233"/>
      <c r="E96" s="234">
        <f>SUM(E94:E95)</f>
        <v>199152.54237288138</v>
      </c>
      <c r="F96" s="234">
        <f t="shared" ref="F96:AS96" si="190">SUM(F94:F95)</f>
        <v>199153</v>
      </c>
      <c r="G96" s="234">
        <f t="shared" si="190"/>
        <v>200636</v>
      </c>
      <c r="H96" s="234">
        <f t="shared" si="190"/>
        <v>202119</v>
      </c>
      <c r="I96" s="234">
        <f t="shared" si="190"/>
        <v>203602</v>
      </c>
      <c r="J96" s="234">
        <f t="shared" si="190"/>
        <v>205085</v>
      </c>
      <c r="K96" s="234">
        <f t="shared" si="190"/>
        <v>205382</v>
      </c>
      <c r="L96" s="234">
        <f t="shared" si="190"/>
        <v>205678</v>
      </c>
      <c r="M96" s="234">
        <f t="shared" si="190"/>
        <v>205975</v>
      </c>
      <c r="N96" s="234">
        <f t="shared" si="190"/>
        <v>206272</v>
      </c>
      <c r="O96" s="234">
        <f t="shared" si="190"/>
        <v>206568</v>
      </c>
      <c r="P96" s="234">
        <f t="shared" si="190"/>
        <v>206865</v>
      </c>
      <c r="Q96" s="234">
        <f t="shared" si="190"/>
        <v>207161</v>
      </c>
      <c r="R96" s="234">
        <f t="shared" si="190"/>
        <v>207458</v>
      </c>
      <c r="S96" s="234">
        <f t="shared" si="190"/>
        <v>207755</v>
      </c>
      <c r="T96" s="234">
        <f t="shared" si="190"/>
        <v>208051</v>
      </c>
      <c r="U96" s="234">
        <f t="shared" si="190"/>
        <v>208348</v>
      </c>
      <c r="V96" s="234">
        <f t="shared" si="190"/>
        <v>208645</v>
      </c>
      <c r="W96" s="234">
        <f t="shared" si="190"/>
        <v>208941</v>
      </c>
      <c r="X96" s="234">
        <f t="shared" si="190"/>
        <v>209238</v>
      </c>
      <c r="Y96" s="234">
        <f t="shared" si="190"/>
        <v>209534</v>
      </c>
      <c r="Z96" s="234">
        <f t="shared" si="190"/>
        <v>209831</v>
      </c>
      <c r="AA96" s="234">
        <f t="shared" si="190"/>
        <v>210128</v>
      </c>
      <c r="AB96" s="234">
        <f t="shared" si="190"/>
        <v>210424</v>
      </c>
      <c r="AC96" s="234">
        <f t="shared" si="190"/>
        <v>210721</v>
      </c>
      <c r="AD96" s="234">
        <f t="shared" si="190"/>
        <v>211017</v>
      </c>
      <c r="AE96" s="234">
        <f t="shared" si="190"/>
        <v>211314</v>
      </c>
      <c r="AF96" s="234">
        <f t="shared" si="190"/>
        <v>211611</v>
      </c>
      <c r="AG96" s="234">
        <f t="shared" si="190"/>
        <v>211907</v>
      </c>
      <c r="AH96" s="234">
        <f t="shared" si="190"/>
        <v>212204</v>
      </c>
      <c r="AI96" s="234">
        <f t="shared" si="190"/>
        <v>212500</v>
      </c>
      <c r="AJ96" s="234">
        <f t="shared" si="190"/>
        <v>212797</v>
      </c>
      <c r="AK96" s="234">
        <f t="shared" si="190"/>
        <v>213094</v>
      </c>
      <c r="AL96" s="234">
        <f t="shared" si="190"/>
        <v>213390</v>
      </c>
      <c r="AM96" s="234">
        <f t="shared" si="190"/>
        <v>213687</v>
      </c>
      <c r="AN96" s="234">
        <f t="shared" si="190"/>
        <v>213984</v>
      </c>
      <c r="AO96" s="234">
        <f t="shared" si="190"/>
        <v>214280</v>
      </c>
      <c r="AP96" s="234">
        <f t="shared" si="190"/>
        <v>214577</v>
      </c>
      <c r="AQ96" s="234">
        <f t="shared" si="190"/>
        <v>214873</v>
      </c>
      <c r="AR96" s="234">
        <f t="shared" si="190"/>
        <v>215170</v>
      </c>
      <c r="AS96" s="234">
        <f t="shared" si="190"/>
        <v>215467</v>
      </c>
    </row>
    <row r="97" spans="2:45" s="29" customFormat="1" ht="15.75" thickBot="1">
      <c r="B97" s="98" t="s">
        <v>185</v>
      </c>
      <c r="C97" s="99"/>
      <c r="D97" s="99"/>
      <c r="E97" s="235">
        <f t="shared" ref="E97:AS97" si="191">+E93+E96</f>
        <v>307424.96610169497</v>
      </c>
      <c r="F97" s="235">
        <f t="shared" si="191"/>
        <v>313100</v>
      </c>
      <c r="G97" s="235">
        <f t="shared" si="191"/>
        <v>319840</v>
      </c>
      <c r="H97" s="235">
        <f t="shared" si="191"/>
        <v>326580</v>
      </c>
      <c r="I97" s="235">
        <f t="shared" si="191"/>
        <v>333320</v>
      </c>
      <c r="J97" s="235">
        <f t="shared" si="191"/>
        <v>340059</v>
      </c>
      <c r="K97" s="235">
        <f t="shared" si="191"/>
        <v>343501</v>
      </c>
      <c r="L97" s="235">
        <f t="shared" si="191"/>
        <v>346941</v>
      </c>
      <c r="M97" s="235">
        <f t="shared" si="191"/>
        <v>350381</v>
      </c>
      <c r="N97" s="235">
        <f t="shared" si="191"/>
        <v>353822</v>
      </c>
      <c r="O97" s="235">
        <f t="shared" si="191"/>
        <v>357262</v>
      </c>
      <c r="P97" s="235">
        <f t="shared" si="191"/>
        <v>358641</v>
      </c>
      <c r="Q97" s="235">
        <f t="shared" si="191"/>
        <v>360020</v>
      </c>
      <c r="R97" s="235">
        <f t="shared" si="191"/>
        <v>361400</v>
      </c>
      <c r="S97" s="235">
        <f t="shared" si="191"/>
        <v>362779</v>
      </c>
      <c r="T97" s="235">
        <f t="shared" si="191"/>
        <v>364158</v>
      </c>
      <c r="U97" s="235">
        <f t="shared" si="191"/>
        <v>365538</v>
      </c>
      <c r="V97" s="235">
        <f t="shared" si="191"/>
        <v>366917</v>
      </c>
      <c r="W97" s="235">
        <f t="shared" si="191"/>
        <v>368297</v>
      </c>
      <c r="X97" s="235">
        <f t="shared" si="191"/>
        <v>369676</v>
      </c>
      <c r="Y97" s="235">
        <f t="shared" si="191"/>
        <v>371054</v>
      </c>
      <c r="Z97" s="235">
        <f t="shared" si="191"/>
        <v>371919</v>
      </c>
      <c r="AA97" s="235">
        <f t="shared" si="191"/>
        <v>372784</v>
      </c>
      <c r="AB97" s="235">
        <f t="shared" si="191"/>
        <v>373647</v>
      </c>
      <c r="AC97" s="235">
        <f t="shared" si="191"/>
        <v>374512</v>
      </c>
      <c r="AD97" s="235">
        <f t="shared" si="191"/>
        <v>375375</v>
      </c>
      <c r="AE97" s="235">
        <f t="shared" si="191"/>
        <v>376240</v>
      </c>
      <c r="AF97" s="235">
        <f t="shared" si="191"/>
        <v>377105</v>
      </c>
      <c r="AG97" s="235">
        <f t="shared" si="191"/>
        <v>377967</v>
      </c>
      <c r="AH97" s="235">
        <f t="shared" si="191"/>
        <v>378831</v>
      </c>
      <c r="AI97" s="235">
        <f t="shared" si="191"/>
        <v>379696</v>
      </c>
      <c r="AJ97" s="235">
        <f t="shared" si="191"/>
        <v>380560</v>
      </c>
      <c r="AK97" s="235">
        <f t="shared" si="191"/>
        <v>381424</v>
      </c>
      <c r="AL97" s="235">
        <f t="shared" si="191"/>
        <v>382288</v>
      </c>
      <c r="AM97" s="235">
        <f t="shared" si="191"/>
        <v>383152</v>
      </c>
      <c r="AN97" s="235">
        <f t="shared" si="191"/>
        <v>384017</v>
      </c>
      <c r="AO97" s="235">
        <f t="shared" si="191"/>
        <v>384881</v>
      </c>
      <c r="AP97" s="235">
        <f t="shared" si="191"/>
        <v>385745</v>
      </c>
      <c r="AQ97" s="235">
        <f t="shared" si="191"/>
        <v>386607</v>
      </c>
      <c r="AR97" s="235">
        <f t="shared" si="191"/>
        <v>387473</v>
      </c>
      <c r="AS97" s="235">
        <f t="shared" si="191"/>
        <v>388337</v>
      </c>
    </row>
    <row r="98" spans="2:45" s="29" customFormat="1" ht="15.75" thickBot="1">
      <c r="B98" s="108"/>
      <c r="C98" s="104"/>
      <c r="D98" s="104"/>
      <c r="E98" s="105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9"/>
    </row>
    <row r="99" spans="2:45" s="29" customFormat="1" ht="15.75" thickBot="1">
      <c r="B99" s="110" t="s">
        <v>159</v>
      </c>
      <c r="C99" s="111"/>
      <c r="D99" s="111"/>
      <c r="E99" s="112"/>
      <c r="F99" s="113">
        <f t="shared" ref="F99:AS99" si="192">+F80+F87+F97</f>
        <v>1542422.0338983051</v>
      </c>
      <c r="G99" s="113">
        <f t="shared" si="192"/>
        <v>1669941.6949152544</v>
      </c>
      <c r="H99" s="113">
        <f t="shared" si="192"/>
        <v>1795698.6440677966</v>
      </c>
      <c r="I99" s="113">
        <f t="shared" si="192"/>
        <v>1909887.7966101696</v>
      </c>
      <c r="J99" s="113">
        <f t="shared" si="192"/>
        <v>2038770.8644067796</v>
      </c>
      <c r="K99" s="113">
        <f t="shared" si="192"/>
        <v>2082992.5254237289</v>
      </c>
      <c r="L99" s="113">
        <f t="shared" si="192"/>
        <v>2107186.7627118644</v>
      </c>
      <c r="M99" s="113">
        <f t="shared" si="192"/>
        <v>2111847.1016949154</v>
      </c>
      <c r="N99" s="113">
        <f t="shared" si="192"/>
        <v>2134152.5084745763</v>
      </c>
      <c r="O99" s="113">
        <f t="shared" si="192"/>
        <v>2142050.1355932206</v>
      </c>
      <c r="P99" s="113">
        <f t="shared" si="192"/>
        <v>2480005.4067796608</v>
      </c>
      <c r="Q99" s="113">
        <f t="shared" si="192"/>
        <v>2527528.4745762711</v>
      </c>
      <c r="R99" s="113">
        <f t="shared" si="192"/>
        <v>2577213.559322034</v>
      </c>
      <c r="S99" s="113">
        <f t="shared" si="192"/>
        <v>2619041.7118644072</v>
      </c>
      <c r="T99" s="113">
        <f t="shared" si="192"/>
        <v>2673124.1016949154</v>
      </c>
      <c r="U99" s="113">
        <f t="shared" si="192"/>
        <v>2706936.3050847463</v>
      </c>
      <c r="V99" s="113">
        <f t="shared" si="192"/>
        <v>2712917.0000000005</v>
      </c>
      <c r="W99" s="113">
        <f t="shared" si="192"/>
        <v>2706246.1525423732</v>
      </c>
      <c r="X99" s="113">
        <f t="shared" si="192"/>
        <v>2712676</v>
      </c>
      <c r="Y99" s="113">
        <f t="shared" si="192"/>
        <v>2708359.0847457629</v>
      </c>
      <c r="Z99" s="113">
        <f t="shared" si="192"/>
        <v>3033707.1355932206</v>
      </c>
      <c r="AA99" s="113">
        <f t="shared" si="192"/>
        <v>3068606.0338983051</v>
      </c>
      <c r="AB99" s="113">
        <f t="shared" si="192"/>
        <v>3117740.220338983</v>
      </c>
      <c r="AC99" s="113">
        <f t="shared" si="192"/>
        <v>3143071.322033898</v>
      </c>
      <c r="AD99" s="113">
        <f t="shared" si="192"/>
        <v>3190171.6101694917</v>
      </c>
      <c r="AE99" s="113">
        <f t="shared" si="192"/>
        <v>3215223.0508474577</v>
      </c>
      <c r="AF99" s="113">
        <f t="shared" si="192"/>
        <v>3214003.3050847463</v>
      </c>
      <c r="AG99" s="113">
        <f t="shared" si="192"/>
        <v>3196661.9152542371</v>
      </c>
      <c r="AH99" s="113">
        <f t="shared" si="192"/>
        <v>3200339.4745762711</v>
      </c>
      <c r="AI99" s="113">
        <f t="shared" si="192"/>
        <v>3187085.8305084747</v>
      </c>
      <c r="AJ99" s="113">
        <f t="shared" si="192"/>
        <v>3507458.3050847463</v>
      </c>
      <c r="AK99" s="113">
        <f t="shared" si="192"/>
        <v>3528822.3050847454</v>
      </c>
      <c r="AL99" s="113">
        <f t="shared" si="192"/>
        <v>3571932.0677966103</v>
      </c>
      <c r="AM99" s="113">
        <f t="shared" si="192"/>
        <v>3596024.881355932</v>
      </c>
      <c r="AN99" s="113">
        <f t="shared" si="192"/>
        <v>3635839.0338983051</v>
      </c>
      <c r="AO99" s="113">
        <f t="shared" si="192"/>
        <v>3658338.6271186443</v>
      </c>
      <c r="AP99" s="113">
        <f t="shared" si="192"/>
        <v>3655304.3220338984</v>
      </c>
      <c r="AQ99" s="113">
        <f t="shared" si="192"/>
        <v>3639920.559322034</v>
      </c>
      <c r="AR99" s="113">
        <f t="shared" si="192"/>
        <v>3636566.2203389835</v>
      </c>
      <c r="AS99" s="114">
        <f t="shared" si="192"/>
        <v>3621786.1525423732</v>
      </c>
    </row>
    <row r="102" spans="2:45" ht="15.75" thickBot="1">
      <c r="B102" s="68" t="s">
        <v>371</v>
      </c>
    </row>
    <row r="103" spans="2:45">
      <c r="B103" s="90" t="s">
        <v>187</v>
      </c>
      <c r="C103" s="91" t="s">
        <v>225</v>
      </c>
      <c r="D103" s="91" t="s">
        <v>373</v>
      </c>
      <c r="E103" s="91" t="s">
        <v>476</v>
      </c>
      <c r="F103" s="92" t="s">
        <v>118</v>
      </c>
      <c r="G103" s="92" t="s">
        <v>119</v>
      </c>
      <c r="H103" s="92" t="s">
        <v>120</v>
      </c>
      <c r="I103" s="92" t="s">
        <v>121</v>
      </c>
      <c r="J103" s="92" t="s">
        <v>122</v>
      </c>
      <c r="K103" s="92" t="s">
        <v>123</v>
      </c>
      <c r="L103" s="92" t="s">
        <v>124</v>
      </c>
      <c r="M103" s="92" t="s">
        <v>125</v>
      </c>
      <c r="N103" s="92" t="s">
        <v>126</v>
      </c>
      <c r="O103" s="92" t="s">
        <v>127</v>
      </c>
      <c r="P103" s="92" t="s">
        <v>128</v>
      </c>
      <c r="Q103" s="92" t="s">
        <v>193</v>
      </c>
      <c r="R103" s="92" t="s">
        <v>194</v>
      </c>
      <c r="S103" s="92" t="s">
        <v>195</v>
      </c>
      <c r="T103" s="92" t="s">
        <v>196</v>
      </c>
      <c r="U103" s="92" t="s">
        <v>197</v>
      </c>
      <c r="V103" s="92" t="s">
        <v>198</v>
      </c>
      <c r="W103" s="92" t="s">
        <v>199</v>
      </c>
      <c r="X103" s="92" t="s">
        <v>200</v>
      </c>
      <c r="Y103" s="92" t="s">
        <v>201</v>
      </c>
      <c r="Z103" s="92" t="s">
        <v>202</v>
      </c>
      <c r="AA103" s="92" t="s">
        <v>203</v>
      </c>
      <c r="AB103" s="92" t="s">
        <v>204</v>
      </c>
      <c r="AC103" s="92" t="s">
        <v>205</v>
      </c>
      <c r="AD103" s="92" t="s">
        <v>206</v>
      </c>
      <c r="AE103" s="92" t="s">
        <v>207</v>
      </c>
      <c r="AF103" s="92" t="s">
        <v>208</v>
      </c>
      <c r="AG103" s="92" t="s">
        <v>209</v>
      </c>
      <c r="AH103" s="92" t="s">
        <v>210</v>
      </c>
      <c r="AI103" s="92" t="s">
        <v>211</v>
      </c>
      <c r="AJ103" s="92" t="s">
        <v>212</v>
      </c>
      <c r="AK103" s="92" t="s">
        <v>213</v>
      </c>
      <c r="AL103" s="92" t="s">
        <v>214</v>
      </c>
      <c r="AM103" s="92" t="s">
        <v>215</v>
      </c>
      <c r="AN103" s="92" t="s">
        <v>216</v>
      </c>
      <c r="AO103" s="92" t="s">
        <v>217</v>
      </c>
      <c r="AP103" s="92" t="s">
        <v>218</v>
      </c>
      <c r="AQ103" s="92" t="s">
        <v>219</v>
      </c>
      <c r="AR103" s="92" t="s">
        <v>220</v>
      </c>
      <c r="AS103" s="93" t="s">
        <v>221</v>
      </c>
    </row>
    <row r="104" spans="2:45">
      <c r="B104" s="94" t="s">
        <v>129</v>
      </c>
      <c r="C104" s="39">
        <v>1</v>
      </c>
      <c r="D104" s="228">
        <v>5.0000000000000001E-3</v>
      </c>
      <c r="E104" s="40">
        <f>23/1.18</f>
        <v>19.491525423728813</v>
      </c>
      <c r="F104" s="71">
        <f>+F59*$E104*$C104</f>
        <v>23233.898305084746</v>
      </c>
      <c r="G104" s="71">
        <f>+G59*$E104*$C104/(1+$D104)</f>
        <v>26008.09511763218</v>
      </c>
      <c r="H104" s="71">
        <f t="shared" ref="H104:AS104" si="193">+H59*$E104*$C104/(1+$D104)</f>
        <v>36112.65705371448</v>
      </c>
      <c r="I104" s="71">
        <f t="shared" si="193"/>
        <v>36694.493633527287</v>
      </c>
      <c r="J104" s="71">
        <f t="shared" si="193"/>
        <v>46663.2937009866</v>
      </c>
      <c r="K104" s="71">
        <f t="shared" si="193"/>
        <v>46799.055569609583</v>
      </c>
      <c r="L104" s="71">
        <f t="shared" si="193"/>
        <v>56341.17547853951</v>
      </c>
      <c r="M104" s="71">
        <f t="shared" si="193"/>
        <v>56050.257188633113</v>
      </c>
      <c r="N104" s="71">
        <f t="shared" si="193"/>
        <v>65146.302386373223</v>
      </c>
      <c r="O104" s="71">
        <f t="shared" si="193"/>
        <v>64428.70393793744</v>
      </c>
      <c r="P104" s="71">
        <f t="shared" si="193"/>
        <v>72807.150687241767</v>
      </c>
      <c r="Q104" s="71">
        <f t="shared" si="193"/>
        <v>71371.953790370186</v>
      </c>
      <c r="R104" s="71">
        <f t="shared" si="193"/>
        <v>79168.563959861713</v>
      </c>
      <c r="S104" s="71">
        <f t="shared" si="193"/>
        <v>77151.530483177339</v>
      </c>
      <c r="T104" s="71">
        <f t="shared" si="193"/>
        <v>84366.304072856074</v>
      </c>
      <c r="U104" s="71">
        <f t="shared" si="193"/>
        <v>81767.434016358893</v>
      </c>
      <c r="V104" s="71">
        <f t="shared" si="193"/>
        <v>88419.765578885243</v>
      </c>
      <c r="W104" s="71">
        <f t="shared" si="193"/>
        <v>85239.058942575255</v>
      </c>
      <c r="X104" s="71">
        <f t="shared" si="193"/>
        <v>91309.553925288827</v>
      </c>
      <c r="Y104" s="71">
        <f t="shared" si="193"/>
        <v>88128.847288978839</v>
      </c>
      <c r="Z104" s="71">
        <f t="shared" si="193"/>
        <v>94199.342271692381</v>
      </c>
      <c r="AA104" s="71">
        <f t="shared" si="193"/>
        <v>90727.71734547602</v>
      </c>
      <c r="AB104" s="71">
        <f t="shared" si="193"/>
        <v>96507.294038283173</v>
      </c>
      <c r="AC104" s="71">
        <f t="shared" si="193"/>
        <v>92744.750822160393</v>
      </c>
      <c r="AD104" s="71">
        <f t="shared" si="193"/>
        <v>98233.409225061143</v>
      </c>
      <c r="AE104" s="71">
        <f t="shared" si="193"/>
        <v>94199.342271692381</v>
      </c>
      <c r="AF104" s="71">
        <f t="shared" si="193"/>
        <v>99397.082384686742</v>
      </c>
      <c r="AG104" s="71">
        <f t="shared" si="193"/>
        <v>95052.70258875117</v>
      </c>
      <c r="AH104" s="71">
        <f t="shared" si="193"/>
        <v>99978.918964499549</v>
      </c>
      <c r="AI104" s="71">
        <f t="shared" si="193"/>
        <v>95867.273800489085</v>
      </c>
      <c r="AJ104" s="71">
        <f t="shared" si="193"/>
        <v>101006.83025550215</v>
      </c>
      <c r="AK104" s="71">
        <f t="shared" si="193"/>
        <v>96875.790538831279</v>
      </c>
      <c r="AL104" s="71">
        <f t="shared" si="193"/>
        <v>101995.95244118392</v>
      </c>
      <c r="AM104" s="71">
        <f t="shared" si="193"/>
        <v>97826.123619192178</v>
      </c>
      <c r="AN104" s="71">
        <f t="shared" si="193"/>
        <v>102926.8909688844</v>
      </c>
      <c r="AO104" s="71">
        <f t="shared" si="193"/>
        <v>98737.667594232233</v>
      </c>
      <c r="AP104" s="71">
        <f t="shared" si="193"/>
        <v>103780.25128594317</v>
      </c>
      <c r="AQ104" s="71">
        <f t="shared" si="193"/>
        <v>99571.633358630585</v>
      </c>
      <c r="AR104" s="71">
        <f t="shared" si="193"/>
        <v>104594.8224976811</v>
      </c>
      <c r="AS104" s="71">
        <f t="shared" si="193"/>
        <v>100347.41546504764</v>
      </c>
    </row>
    <row r="105" spans="2:45">
      <c r="B105" s="39" t="s">
        <v>470</v>
      </c>
      <c r="C105" s="39">
        <v>1</v>
      </c>
      <c r="D105" s="228">
        <v>5.0000000000000001E-3</v>
      </c>
      <c r="E105" s="40">
        <f>200/1.18</f>
        <v>169.49152542372883</v>
      </c>
      <c r="F105" s="71">
        <f t="shared" ref="F105:F109" si="194">+F60*$E105*$C105</f>
        <v>101016.94915254238</v>
      </c>
      <c r="G105" s="71">
        <f t="shared" ref="G105:AS105" si="195">+G60*$E105*$C105/(1+$D105)</f>
        <v>105573.82578632265</v>
      </c>
      <c r="H105" s="71">
        <f t="shared" si="195"/>
        <v>110633.27430643394</v>
      </c>
      <c r="I105" s="71">
        <f t="shared" si="195"/>
        <v>115524.07454254155</v>
      </c>
      <c r="J105" s="71">
        <f t="shared" si="195"/>
        <v>120583.52306265285</v>
      </c>
      <c r="K105" s="71">
        <f t="shared" si="195"/>
        <v>118053.7988025972</v>
      </c>
      <c r="L105" s="71">
        <f t="shared" si="195"/>
        <v>115524.07454254155</v>
      </c>
      <c r="M105" s="71">
        <f t="shared" si="195"/>
        <v>112994.3502824859</v>
      </c>
      <c r="N105" s="71">
        <f t="shared" si="195"/>
        <v>110633.27430643394</v>
      </c>
      <c r="O105" s="71">
        <f t="shared" si="195"/>
        <v>108103.5500463783</v>
      </c>
      <c r="P105" s="71">
        <f t="shared" si="195"/>
        <v>132726.19951092001</v>
      </c>
      <c r="Q105" s="71">
        <f t="shared" si="195"/>
        <v>133400.79264693483</v>
      </c>
      <c r="R105" s="71">
        <f t="shared" si="195"/>
        <v>134244.03406695341</v>
      </c>
      <c r="S105" s="71">
        <f t="shared" si="195"/>
        <v>134918.62720296823</v>
      </c>
      <c r="T105" s="71">
        <f t="shared" si="195"/>
        <v>135593.22033898308</v>
      </c>
      <c r="U105" s="71">
        <f t="shared" si="195"/>
        <v>134581.33063496082</v>
      </c>
      <c r="V105" s="71">
        <f t="shared" si="195"/>
        <v>133400.79264693483</v>
      </c>
      <c r="W105" s="71">
        <f t="shared" si="195"/>
        <v>132220.25465890887</v>
      </c>
      <c r="X105" s="71">
        <f t="shared" si="195"/>
        <v>131208.36495488661</v>
      </c>
      <c r="Y105" s="71">
        <f t="shared" si="195"/>
        <v>130027.82696686064</v>
      </c>
      <c r="Z105" s="71">
        <f t="shared" si="195"/>
        <v>154481.82814739863</v>
      </c>
      <c r="AA105" s="71">
        <f t="shared" si="195"/>
        <v>155156.42128341348</v>
      </c>
      <c r="AB105" s="71">
        <f t="shared" si="195"/>
        <v>155831.01441942833</v>
      </c>
      <c r="AC105" s="71">
        <f t="shared" si="195"/>
        <v>156336.95927143944</v>
      </c>
      <c r="AD105" s="71">
        <f t="shared" si="195"/>
        <v>157011.55240745429</v>
      </c>
      <c r="AE105" s="71">
        <f t="shared" si="195"/>
        <v>155831.01441942833</v>
      </c>
      <c r="AF105" s="71">
        <f t="shared" si="195"/>
        <v>154481.82814739863</v>
      </c>
      <c r="AG105" s="71">
        <f t="shared" si="195"/>
        <v>153301.29015937267</v>
      </c>
      <c r="AH105" s="71">
        <f t="shared" si="195"/>
        <v>151952.10388734296</v>
      </c>
      <c r="AI105" s="71">
        <f t="shared" si="195"/>
        <v>150771.56589931701</v>
      </c>
      <c r="AJ105" s="71">
        <f t="shared" si="195"/>
        <v>175056.91879585129</v>
      </c>
      <c r="AK105" s="71">
        <f t="shared" si="195"/>
        <v>175562.86364786242</v>
      </c>
      <c r="AL105" s="71">
        <f t="shared" si="195"/>
        <v>176068.80849987356</v>
      </c>
      <c r="AM105" s="71">
        <f t="shared" si="195"/>
        <v>176574.75335188466</v>
      </c>
      <c r="AN105" s="71">
        <f t="shared" si="195"/>
        <v>177080.69820389582</v>
      </c>
      <c r="AO105" s="71">
        <f t="shared" si="195"/>
        <v>175731.51193186615</v>
      </c>
      <c r="AP105" s="71">
        <f t="shared" si="195"/>
        <v>174382.32565983644</v>
      </c>
      <c r="AQ105" s="71">
        <f t="shared" si="195"/>
        <v>173033.13938780676</v>
      </c>
      <c r="AR105" s="71">
        <f t="shared" si="195"/>
        <v>171683.95311577708</v>
      </c>
      <c r="AS105" s="71">
        <f t="shared" si="195"/>
        <v>170166.11855974369</v>
      </c>
    </row>
    <row r="106" spans="2:45">
      <c r="B106" s="96" t="s">
        <v>135</v>
      </c>
      <c r="C106" s="39">
        <v>2</v>
      </c>
      <c r="D106" s="228">
        <v>5.0000000000000001E-3</v>
      </c>
      <c r="E106" s="78">
        <f>4/1.18</f>
        <v>3.3898305084745766</v>
      </c>
      <c r="F106" s="71">
        <f t="shared" si="194"/>
        <v>15213.5593220339</v>
      </c>
      <c r="G106" s="71">
        <f t="shared" ref="G106:AS106" si="196">+G61*$E106*$C106/(1+$D106)</f>
        <v>24217.893582932797</v>
      </c>
      <c r="H106" s="71">
        <f t="shared" si="196"/>
        <v>31786.828569019315</v>
      </c>
      <c r="I106" s="71">
        <f t="shared" si="196"/>
        <v>39274.812378784052</v>
      </c>
      <c r="J106" s="71">
        <f t="shared" si="196"/>
        <v>46540.180453663896</v>
      </c>
      <c r="K106" s="71">
        <f t="shared" si="196"/>
        <v>53576.186862298688</v>
      </c>
      <c r="L106" s="71">
        <f t="shared" si="196"/>
        <v>60389.577536048579</v>
      </c>
      <c r="M106" s="71">
        <f t="shared" si="196"/>
        <v>66973.60654355344</v>
      </c>
      <c r="N106" s="71">
        <f t="shared" si="196"/>
        <v>73328.273884813229</v>
      </c>
      <c r="O106" s="71">
        <f t="shared" si="196"/>
        <v>79305.169069904732</v>
      </c>
      <c r="P106" s="71">
        <f t="shared" si="196"/>
        <v>84985.243275149696</v>
      </c>
      <c r="Q106" s="71">
        <f t="shared" si="196"/>
        <v>90355.004637827835</v>
      </c>
      <c r="R106" s="71">
        <f t="shared" si="196"/>
        <v>95427.945020659434</v>
      </c>
      <c r="S106" s="71">
        <f t="shared" si="196"/>
        <v>100197.31849228436</v>
      </c>
      <c r="T106" s="71">
        <f t="shared" si="196"/>
        <v>104656.37912134246</v>
      </c>
      <c r="U106" s="71">
        <f t="shared" si="196"/>
        <v>108818.61877055404</v>
      </c>
      <c r="V106" s="71">
        <f t="shared" si="196"/>
        <v>112684.03743991906</v>
      </c>
      <c r="W106" s="71">
        <f t="shared" si="196"/>
        <v>116239.14326671728</v>
      </c>
      <c r="X106" s="71">
        <f t="shared" si="196"/>
        <v>119490.68218230881</v>
      </c>
      <c r="Y106" s="71">
        <f t="shared" si="196"/>
        <v>122445.40011805382</v>
      </c>
      <c r="Z106" s="71">
        <f t="shared" si="196"/>
        <v>125089.805211232</v>
      </c>
      <c r="AA106" s="71">
        <f t="shared" si="196"/>
        <v>127437.38932456364</v>
      </c>
      <c r="AB106" s="71">
        <f t="shared" si="196"/>
        <v>129481.40652668862</v>
      </c>
      <c r="AC106" s="71">
        <f t="shared" si="196"/>
        <v>131221.85681760692</v>
      </c>
      <c r="AD106" s="71">
        <f t="shared" si="196"/>
        <v>132658.74019731852</v>
      </c>
      <c r="AE106" s="71">
        <f t="shared" si="196"/>
        <v>133792.05666582345</v>
      </c>
      <c r="AF106" s="71">
        <f t="shared" si="196"/>
        <v>134628.55215448185</v>
      </c>
      <c r="AG106" s="71">
        <f t="shared" si="196"/>
        <v>135154.73480057344</v>
      </c>
      <c r="AH106" s="71">
        <f t="shared" si="196"/>
        <v>135384.09646681848</v>
      </c>
      <c r="AI106" s="71">
        <f t="shared" si="196"/>
        <v>135883.29538746946</v>
      </c>
      <c r="AJ106" s="71">
        <f t="shared" si="196"/>
        <v>136369.00244540014</v>
      </c>
      <c r="AK106" s="71">
        <f t="shared" si="196"/>
        <v>136834.47170925039</v>
      </c>
      <c r="AL106" s="71">
        <f t="shared" si="196"/>
        <v>137293.19504174049</v>
      </c>
      <c r="AM106" s="71">
        <f t="shared" si="196"/>
        <v>137731.68058015013</v>
      </c>
      <c r="AN106" s="71">
        <f t="shared" si="196"/>
        <v>138156.67425583946</v>
      </c>
      <c r="AO106" s="71">
        <f t="shared" si="196"/>
        <v>138561.43013744836</v>
      </c>
      <c r="AP106" s="71">
        <f t="shared" si="196"/>
        <v>138952.69415633698</v>
      </c>
      <c r="AQ106" s="71">
        <f t="shared" si="196"/>
        <v>139337.21224386545</v>
      </c>
      <c r="AR106" s="71">
        <f t="shared" si="196"/>
        <v>139694.74660595329</v>
      </c>
      <c r="AS106" s="71">
        <f t="shared" si="196"/>
        <v>140045.53503668105</v>
      </c>
    </row>
    <row r="107" spans="2:45">
      <c r="B107" s="70" t="s">
        <v>231</v>
      </c>
      <c r="C107" s="39">
        <v>1</v>
      </c>
      <c r="D107" s="228">
        <v>5.0000000000000001E-3</v>
      </c>
      <c r="E107" s="40">
        <f>150/1.18</f>
        <v>127.11864406779662</v>
      </c>
      <c r="F107" s="71">
        <f t="shared" si="194"/>
        <v>42838.983050847462</v>
      </c>
      <c r="G107" s="71">
        <f t="shared" ref="G107:AS107" si="197">+G62*$E107*$C107/(1+$D107)</f>
        <v>56792.30963824944</v>
      </c>
      <c r="H107" s="71">
        <f t="shared" si="197"/>
        <v>70958.765494561114</v>
      </c>
      <c r="I107" s="71">
        <f t="shared" si="197"/>
        <v>85125.221350872773</v>
      </c>
      <c r="J107" s="71">
        <f t="shared" si="197"/>
        <v>99291.677207184432</v>
      </c>
      <c r="K107" s="71">
        <f t="shared" si="197"/>
        <v>99291.677207184432</v>
      </c>
      <c r="L107" s="71">
        <f t="shared" si="197"/>
        <v>99291.677207184432</v>
      </c>
      <c r="M107" s="71">
        <f t="shared" si="197"/>
        <v>99291.677207184432</v>
      </c>
      <c r="N107" s="71">
        <f t="shared" si="197"/>
        <v>99291.677207184432</v>
      </c>
      <c r="O107" s="71">
        <f t="shared" si="197"/>
        <v>99291.677207184432</v>
      </c>
      <c r="P107" s="71">
        <f t="shared" si="197"/>
        <v>120161.90235264359</v>
      </c>
      <c r="Q107" s="71">
        <f t="shared" si="197"/>
        <v>127118.64406779665</v>
      </c>
      <c r="R107" s="71">
        <f t="shared" si="197"/>
        <v>134075.38578294968</v>
      </c>
      <c r="S107" s="71">
        <f t="shared" si="197"/>
        <v>141032.12749810272</v>
      </c>
      <c r="T107" s="71">
        <f t="shared" si="197"/>
        <v>147988.86921325576</v>
      </c>
      <c r="U107" s="71">
        <f t="shared" si="197"/>
        <v>147988.86921325576</v>
      </c>
      <c r="V107" s="71">
        <f t="shared" si="197"/>
        <v>147988.86921325576</v>
      </c>
      <c r="W107" s="71">
        <f t="shared" si="197"/>
        <v>147988.86921325576</v>
      </c>
      <c r="X107" s="71">
        <f t="shared" si="197"/>
        <v>147988.86921325576</v>
      </c>
      <c r="Y107" s="71">
        <f t="shared" si="197"/>
        <v>147988.86921325576</v>
      </c>
      <c r="Z107" s="71">
        <f t="shared" si="197"/>
        <v>168859.09435871494</v>
      </c>
      <c r="AA107" s="71">
        <f t="shared" si="197"/>
        <v>175815.83607386798</v>
      </c>
      <c r="AB107" s="71">
        <f t="shared" si="197"/>
        <v>182772.57778902102</v>
      </c>
      <c r="AC107" s="71">
        <f t="shared" si="197"/>
        <v>189729.31950417408</v>
      </c>
      <c r="AD107" s="71">
        <f t="shared" si="197"/>
        <v>196686.06121932712</v>
      </c>
      <c r="AE107" s="71">
        <f t="shared" si="197"/>
        <v>196686.06121932712</v>
      </c>
      <c r="AF107" s="71">
        <f t="shared" si="197"/>
        <v>196686.06121932712</v>
      </c>
      <c r="AG107" s="71">
        <f t="shared" si="197"/>
        <v>196686.06121932712</v>
      </c>
      <c r="AH107" s="71">
        <f t="shared" si="197"/>
        <v>196686.06121932712</v>
      </c>
      <c r="AI107" s="71">
        <f t="shared" si="197"/>
        <v>196686.06121932712</v>
      </c>
      <c r="AJ107" s="71">
        <f t="shared" si="197"/>
        <v>217556.28636478627</v>
      </c>
      <c r="AK107" s="71">
        <f t="shared" si="197"/>
        <v>224513.02807993934</v>
      </c>
      <c r="AL107" s="71">
        <f t="shared" si="197"/>
        <v>231469.76979509238</v>
      </c>
      <c r="AM107" s="71">
        <f t="shared" si="197"/>
        <v>238426.51151024544</v>
      </c>
      <c r="AN107" s="71">
        <f t="shared" si="197"/>
        <v>245383.25322539848</v>
      </c>
      <c r="AO107" s="71">
        <f t="shared" si="197"/>
        <v>245383.25322539848</v>
      </c>
      <c r="AP107" s="71">
        <f t="shared" si="197"/>
        <v>245383.25322539848</v>
      </c>
      <c r="AQ107" s="71">
        <f t="shared" si="197"/>
        <v>245383.25322539848</v>
      </c>
      <c r="AR107" s="71">
        <f t="shared" si="197"/>
        <v>245383.25322539848</v>
      </c>
      <c r="AS107" s="71">
        <f t="shared" si="197"/>
        <v>245383.25322539848</v>
      </c>
    </row>
    <row r="108" spans="2:45">
      <c r="B108" s="75" t="s">
        <v>232</v>
      </c>
      <c r="C108" s="39">
        <v>1</v>
      </c>
      <c r="D108" s="228">
        <v>5.0000000000000001E-3</v>
      </c>
      <c r="E108" s="40">
        <f>135/1.18</f>
        <v>114.40677966101696</v>
      </c>
      <c r="F108" s="71">
        <f t="shared" si="194"/>
        <v>11898.305084745763</v>
      </c>
      <c r="G108" s="71">
        <f t="shared" ref="G108:AS108" si="198">+G63*$E108*$C108/(1+$D108)</f>
        <v>17758.664305590693</v>
      </c>
      <c r="H108" s="71">
        <f t="shared" si="198"/>
        <v>23792.056665823431</v>
      </c>
      <c r="I108" s="71">
        <f t="shared" si="198"/>
        <v>29711.611434353661</v>
      </c>
      <c r="J108" s="71">
        <f t="shared" si="198"/>
        <v>35631.166202883891</v>
      </c>
      <c r="K108" s="71">
        <f t="shared" si="198"/>
        <v>32671.388818618772</v>
      </c>
      <c r="L108" s="71">
        <f t="shared" si="198"/>
        <v>29711.611434353661</v>
      </c>
      <c r="M108" s="71">
        <f t="shared" si="198"/>
        <v>26751.834050088546</v>
      </c>
      <c r="N108" s="71">
        <f t="shared" si="198"/>
        <v>23792.056665823431</v>
      </c>
      <c r="O108" s="71">
        <f t="shared" si="198"/>
        <v>23678.219074120923</v>
      </c>
      <c r="P108" s="71">
        <f t="shared" si="198"/>
        <v>31760.688084998739</v>
      </c>
      <c r="Q108" s="71">
        <f t="shared" si="198"/>
        <v>35858.841386288907</v>
      </c>
      <c r="R108" s="71">
        <f t="shared" si="198"/>
        <v>39843.157095876559</v>
      </c>
      <c r="S108" s="71">
        <f t="shared" si="198"/>
        <v>43941.310397166715</v>
      </c>
      <c r="T108" s="71">
        <f t="shared" si="198"/>
        <v>47925.626106754367</v>
      </c>
      <c r="U108" s="71">
        <f t="shared" si="198"/>
        <v>45762.711864406789</v>
      </c>
      <c r="V108" s="71">
        <f t="shared" si="198"/>
        <v>43599.797622059203</v>
      </c>
      <c r="W108" s="71">
        <f t="shared" si="198"/>
        <v>41323.045788009113</v>
      </c>
      <c r="X108" s="71">
        <f t="shared" si="198"/>
        <v>39160.131545661534</v>
      </c>
      <c r="Y108" s="71">
        <f t="shared" si="198"/>
        <v>38932.456362256518</v>
      </c>
      <c r="Z108" s="71">
        <f t="shared" si="198"/>
        <v>47128.762964836838</v>
      </c>
      <c r="AA108" s="71">
        <f t="shared" si="198"/>
        <v>50999.241082721994</v>
      </c>
      <c r="AB108" s="71">
        <f t="shared" si="198"/>
        <v>54983.556792309646</v>
      </c>
      <c r="AC108" s="71">
        <f t="shared" si="198"/>
        <v>58967.872501897298</v>
      </c>
      <c r="AD108" s="71">
        <f t="shared" si="198"/>
        <v>62952.188211484958</v>
      </c>
      <c r="AE108" s="71">
        <f t="shared" si="198"/>
        <v>60561.598785732363</v>
      </c>
      <c r="AF108" s="71">
        <f t="shared" si="198"/>
        <v>58284.846951682273</v>
      </c>
      <c r="AG108" s="71">
        <f t="shared" si="198"/>
        <v>56008.095117632191</v>
      </c>
      <c r="AH108" s="71">
        <f t="shared" si="198"/>
        <v>53731.343283582093</v>
      </c>
      <c r="AI108" s="71">
        <f t="shared" si="198"/>
        <v>53389.830508474588</v>
      </c>
      <c r="AJ108" s="71">
        <f t="shared" si="198"/>
        <v>61358.461927649892</v>
      </c>
      <c r="AK108" s="71">
        <f t="shared" si="198"/>
        <v>65228.940045535041</v>
      </c>
      <c r="AL108" s="71">
        <f t="shared" si="198"/>
        <v>68985.580571717685</v>
      </c>
      <c r="AM108" s="71">
        <f t="shared" si="198"/>
        <v>72856.05868960284</v>
      </c>
      <c r="AN108" s="71">
        <f t="shared" si="198"/>
        <v>76612.699215785498</v>
      </c>
      <c r="AO108" s="71">
        <f t="shared" si="198"/>
        <v>74222.109790032904</v>
      </c>
      <c r="AP108" s="71">
        <f t="shared" si="198"/>
        <v>71831.520364280295</v>
      </c>
      <c r="AQ108" s="71">
        <f t="shared" si="198"/>
        <v>69327.093346825204</v>
      </c>
      <c r="AR108" s="71">
        <f t="shared" si="198"/>
        <v>66936.50392107261</v>
      </c>
      <c r="AS108" s="71">
        <f t="shared" si="198"/>
        <v>66481.153554262608</v>
      </c>
    </row>
    <row r="109" spans="2:45">
      <c r="B109" s="94" t="s">
        <v>133</v>
      </c>
      <c r="C109" s="39">
        <v>1</v>
      </c>
      <c r="D109" s="228">
        <v>5.0000000000000001E-3</v>
      </c>
      <c r="E109" s="40">
        <f>85/1.18</f>
        <v>72.033898305084747</v>
      </c>
      <c r="F109" s="71">
        <f t="shared" si="194"/>
        <v>4754.2372881355932</v>
      </c>
      <c r="G109" s="71">
        <f t="shared" ref="G109:AS109" si="199">+G64*$E109*$C109/(1+$D109)</f>
        <v>6450.796863141918</v>
      </c>
      <c r="H109" s="71">
        <f t="shared" si="199"/>
        <v>7669.2807150687249</v>
      </c>
      <c r="I109" s="71">
        <f t="shared" si="199"/>
        <v>8816.0890462939551</v>
      </c>
      <c r="J109" s="71">
        <f t="shared" si="199"/>
        <v>9962.8973775191844</v>
      </c>
      <c r="K109" s="71">
        <f t="shared" si="199"/>
        <v>11181.381229445991</v>
      </c>
      <c r="L109" s="71">
        <f t="shared" si="199"/>
        <v>11611.434353655453</v>
      </c>
      <c r="M109" s="71">
        <f t="shared" si="199"/>
        <v>11898.13643646176</v>
      </c>
      <c r="N109" s="71">
        <f t="shared" si="199"/>
        <v>12184.838519268067</v>
      </c>
      <c r="O109" s="71">
        <f t="shared" si="199"/>
        <v>12471.540602074376</v>
      </c>
      <c r="P109" s="71">
        <f t="shared" si="199"/>
        <v>13690.024454001183</v>
      </c>
      <c r="Q109" s="71">
        <f t="shared" si="199"/>
        <v>14120.077578210643</v>
      </c>
      <c r="R109" s="71">
        <f t="shared" si="199"/>
        <v>14406.779661016952</v>
      </c>
      <c r="S109" s="71">
        <f t="shared" si="199"/>
        <v>14693.481743823259</v>
      </c>
      <c r="T109" s="71">
        <f t="shared" si="199"/>
        <v>14980.183826629565</v>
      </c>
      <c r="U109" s="71">
        <f t="shared" si="199"/>
        <v>16126.992157854796</v>
      </c>
      <c r="V109" s="71">
        <f t="shared" si="199"/>
        <v>16557.045282064257</v>
      </c>
      <c r="W109" s="71">
        <f t="shared" si="199"/>
        <v>16915.422885572141</v>
      </c>
      <c r="X109" s="71">
        <f t="shared" si="199"/>
        <v>17202.124968378452</v>
      </c>
      <c r="Y109" s="71">
        <f t="shared" si="199"/>
        <v>17488.827051184755</v>
      </c>
      <c r="Z109" s="71">
        <f t="shared" si="199"/>
        <v>18420.608820305257</v>
      </c>
      <c r="AA109" s="71">
        <f t="shared" si="199"/>
        <v>18635.63538240999</v>
      </c>
      <c r="AB109" s="71">
        <f t="shared" si="199"/>
        <v>18707.310903111564</v>
      </c>
      <c r="AC109" s="71">
        <f t="shared" si="199"/>
        <v>18707.310903111564</v>
      </c>
      <c r="AD109" s="71">
        <f t="shared" si="199"/>
        <v>18778.986423813141</v>
      </c>
      <c r="AE109" s="71">
        <f t="shared" si="199"/>
        <v>19639.092672232066</v>
      </c>
      <c r="AF109" s="71">
        <f t="shared" si="199"/>
        <v>19854.119234336795</v>
      </c>
      <c r="AG109" s="71">
        <f t="shared" si="199"/>
        <v>19854.119234336795</v>
      </c>
      <c r="AH109" s="71">
        <f t="shared" si="199"/>
        <v>19854.119234336795</v>
      </c>
      <c r="AI109" s="71">
        <f t="shared" si="199"/>
        <v>19854.119234336795</v>
      </c>
      <c r="AJ109" s="71">
        <f t="shared" si="199"/>
        <v>20642.549962054141</v>
      </c>
      <c r="AK109" s="71">
        <f t="shared" si="199"/>
        <v>20714.225482755715</v>
      </c>
      <c r="AL109" s="71">
        <f t="shared" si="199"/>
        <v>20642.549962054141</v>
      </c>
      <c r="AM109" s="71">
        <f t="shared" si="199"/>
        <v>20642.549962054141</v>
      </c>
      <c r="AN109" s="71">
        <f t="shared" si="199"/>
        <v>20570.874441352564</v>
      </c>
      <c r="AO109" s="71">
        <f t="shared" si="199"/>
        <v>21287.629648368329</v>
      </c>
      <c r="AP109" s="71">
        <f t="shared" si="199"/>
        <v>21359.305169069907</v>
      </c>
      <c r="AQ109" s="71">
        <f t="shared" si="199"/>
        <v>21215.954127666755</v>
      </c>
      <c r="AR109" s="71">
        <f t="shared" si="199"/>
        <v>21144.278606965177</v>
      </c>
      <c r="AS109" s="71">
        <f t="shared" si="199"/>
        <v>21000.927565562022</v>
      </c>
    </row>
    <row r="110" spans="2:45" ht="15.75" thickBot="1">
      <c r="B110" s="98" t="s">
        <v>375</v>
      </c>
      <c r="C110" s="99"/>
      <c r="D110" s="99"/>
      <c r="E110" s="100"/>
      <c r="F110" s="101">
        <f t="shared" ref="F110:AS110" si="200">SUM(F104:F109)</f>
        <v>198955.93220338985</v>
      </c>
      <c r="G110" s="101">
        <f t="shared" si="200"/>
        <v>236801.58529386966</v>
      </c>
      <c r="H110" s="101">
        <f t="shared" si="200"/>
        <v>280952.86280462105</v>
      </c>
      <c r="I110" s="101">
        <f t="shared" si="200"/>
        <v>315146.30238637322</v>
      </c>
      <c r="J110" s="101">
        <f t="shared" si="200"/>
        <v>358672.73800489079</v>
      </c>
      <c r="K110" s="101">
        <f t="shared" si="200"/>
        <v>361573.48848975467</v>
      </c>
      <c r="L110" s="101">
        <f t="shared" si="200"/>
        <v>372869.55055232311</v>
      </c>
      <c r="M110" s="101">
        <f t="shared" si="200"/>
        <v>373959.86170840723</v>
      </c>
      <c r="N110" s="101">
        <f t="shared" si="200"/>
        <v>384376.42296989635</v>
      </c>
      <c r="O110" s="101">
        <f t="shared" si="200"/>
        <v>387278.85993760015</v>
      </c>
      <c r="P110" s="101">
        <f t="shared" si="200"/>
        <v>456131.20836495503</v>
      </c>
      <c r="Q110" s="101">
        <f t="shared" si="200"/>
        <v>472225.31410742906</v>
      </c>
      <c r="R110" s="101">
        <f t="shared" si="200"/>
        <v>497165.86558731773</v>
      </c>
      <c r="S110" s="101">
        <f t="shared" si="200"/>
        <v>511934.3958175226</v>
      </c>
      <c r="T110" s="101">
        <f t="shared" si="200"/>
        <v>535510.58267982129</v>
      </c>
      <c r="U110" s="101">
        <f t="shared" si="200"/>
        <v>535045.95665739104</v>
      </c>
      <c r="V110" s="101">
        <f t="shared" si="200"/>
        <v>542650.30778311833</v>
      </c>
      <c r="W110" s="101">
        <f t="shared" si="200"/>
        <v>539925.79475503846</v>
      </c>
      <c r="X110" s="101">
        <f t="shared" si="200"/>
        <v>546359.72678977996</v>
      </c>
      <c r="Y110" s="101">
        <f t="shared" si="200"/>
        <v>545012.2270005903</v>
      </c>
      <c r="Z110" s="101">
        <f t="shared" si="200"/>
        <v>608179.44177417993</v>
      </c>
      <c r="AA110" s="101">
        <f t="shared" si="200"/>
        <v>618772.2404924531</v>
      </c>
      <c r="AB110" s="101">
        <f t="shared" si="200"/>
        <v>638283.16046884237</v>
      </c>
      <c r="AC110" s="101">
        <f t="shared" si="200"/>
        <v>647708.06982038973</v>
      </c>
      <c r="AD110" s="101">
        <f t="shared" si="200"/>
        <v>666320.93768445915</v>
      </c>
      <c r="AE110" s="101">
        <f t="shared" si="200"/>
        <v>660709.16603423574</v>
      </c>
      <c r="AF110" s="101">
        <f t="shared" si="200"/>
        <v>663332.49009191338</v>
      </c>
      <c r="AG110" s="101">
        <f t="shared" si="200"/>
        <v>656057.00311999337</v>
      </c>
      <c r="AH110" s="101">
        <f t="shared" si="200"/>
        <v>657586.64305590698</v>
      </c>
      <c r="AI110" s="101">
        <f t="shared" si="200"/>
        <v>652452.14604941406</v>
      </c>
      <c r="AJ110" s="101">
        <f t="shared" si="200"/>
        <v>711990.04975124379</v>
      </c>
      <c r="AK110" s="101">
        <f t="shared" si="200"/>
        <v>719729.31950417405</v>
      </c>
      <c r="AL110" s="101">
        <f t="shared" si="200"/>
        <v>736455.85631166212</v>
      </c>
      <c r="AM110" s="101">
        <f t="shared" si="200"/>
        <v>744057.67771312932</v>
      </c>
      <c r="AN110" s="101">
        <f t="shared" si="200"/>
        <v>760731.09031115624</v>
      </c>
      <c r="AO110" s="101">
        <f t="shared" si="200"/>
        <v>753923.60232734657</v>
      </c>
      <c r="AP110" s="101">
        <f t="shared" si="200"/>
        <v>755689.34986086527</v>
      </c>
      <c r="AQ110" s="101">
        <f t="shared" si="200"/>
        <v>747868.2856901933</v>
      </c>
      <c r="AR110" s="101">
        <f t="shared" si="200"/>
        <v>749437.55797284772</v>
      </c>
      <c r="AS110" s="102">
        <f t="shared" si="200"/>
        <v>743424.40340669546</v>
      </c>
    </row>
    <row r="111" spans="2:45" ht="15.75" thickBot="1">
      <c r="B111" s="103"/>
      <c r="C111" s="104"/>
      <c r="D111" s="104"/>
      <c r="E111" s="105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7"/>
    </row>
    <row r="112" spans="2:45">
      <c r="B112" s="90" t="s">
        <v>186</v>
      </c>
      <c r="C112" s="91" t="s">
        <v>225</v>
      </c>
      <c r="D112" s="91" t="s">
        <v>373</v>
      </c>
      <c r="E112" s="91" t="s">
        <v>476</v>
      </c>
      <c r="F112" s="92" t="s">
        <v>118</v>
      </c>
      <c r="G112" s="92" t="s">
        <v>119</v>
      </c>
      <c r="H112" s="92" t="s">
        <v>120</v>
      </c>
      <c r="I112" s="92" t="s">
        <v>121</v>
      </c>
      <c r="J112" s="92" t="s">
        <v>122</v>
      </c>
      <c r="K112" s="92" t="s">
        <v>123</v>
      </c>
      <c r="L112" s="92" t="s">
        <v>124</v>
      </c>
      <c r="M112" s="92" t="s">
        <v>125</v>
      </c>
      <c r="N112" s="92" t="s">
        <v>126</v>
      </c>
      <c r="O112" s="92" t="s">
        <v>127</v>
      </c>
      <c r="P112" s="92" t="s">
        <v>128</v>
      </c>
      <c r="Q112" s="92" t="s">
        <v>193</v>
      </c>
      <c r="R112" s="92" t="s">
        <v>194</v>
      </c>
      <c r="S112" s="92" t="s">
        <v>195</v>
      </c>
      <c r="T112" s="92" t="s">
        <v>196</v>
      </c>
      <c r="U112" s="92" t="s">
        <v>197</v>
      </c>
      <c r="V112" s="92" t="s">
        <v>198</v>
      </c>
      <c r="W112" s="92" t="s">
        <v>199</v>
      </c>
      <c r="X112" s="92" t="s">
        <v>200</v>
      </c>
      <c r="Y112" s="92" t="s">
        <v>201</v>
      </c>
      <c r="Z112" s="92" t="s">
        <v>202</v>
      </c>
      <c r="AA112" s="92" t="s">
        <v>203</v>
      </c>
      <c r="AB112" s="92" t="s">
        <v>204</v>
      </c>
      <c r="AC112" s="92" t="s">
        <v>205</v>
      </c>
      <c r="AD112" s="92" t="s">
        <v>206</v>
      </c>
      <c r="AE112" s="92" t="s">
        <v>207</v>
      </c>
      <c r="AF112" s="92" t="s">
        <v>208</v>
      </c>
      <c r="AG112" s="92" t="s">
        <v>209</v>
      </c>
      <c r="AH112" s="92" t="s">
        <v>210</v>
      </c>
      <c r="AI112" s="92" t="s">
        <v>211</v>
      </c>
      <c r="AJ112" s="92" t="s">
        <v>212</v>
      </c>
      <c r="AK112" s="92" t="s">
        <v>213</v>
      </c>
      <c r="AL112" s="92" t="s">
        <v>214</v>
      </c>
      <c r="AM112" s="92" t="s">
        <v>215</v>
      </c>
      <c r="AN112" s="92" t="s">
        <v>216</v>
      </c>
      <c r="AO112" s="92" t="s">
        <v>217</v>
      </c>
      <c r="AP112" s="92" t="s">
        <v>218</v>
      </c>
      <c r="AQ112" s="92" t="s">
        <v>219</v>
      </c>
      <c r="AR112" s="92" t="s">
        <v>220</v>
      </c>
      <c r="AS112" s="93" t="s">
        <v>221</v>
      </c>
    </row>
    <row r="113" spans="2:45">
      <c r="B113" s="94" t="s">
        <v>136</v>
      </c>
      <c r="C113" s="39">
        <v>1</v>
      </c>
      <c r="D113" s="228">
        <v>5.0000000000000001E-3</v>
      </c>
      <c r="E113" s="40">
        <f>5000/1.42/1.18</f>
        <v>2984.0057292910005</v>
      </c>
      <c r="F113" s="71">
        <f>+F67*$E113*$C113</f>
        <v>92504.177608021011</v>
      </c>
      <c r="G113" s="71">
        <f t="shared" ref="G113:AS113" si="201">+G67*$E113*$C113*(1+$D113)</f>
        <v>110960.25304368584</v>
      </c>
      <c r="H113" s="71">
        <f t="shared" si="201"/>
        <v>125954.88183337312</v>
      </c>
      <c r="I113" s="71">
        <f t="shared" si="201"/>
        <v>140949.5106230604</v>
      </c>
      <c r="J113" s="71">
        <f t="shared" si="201"/>
        <v>155944.13941274767</v>
      </c>
      <c r="K113" s="71">
        <f t="shared" si="201"/>
        <v>152945.21365481021</v>
      </c>
      <c r="L113" s="71">
        <f t="shared" si="201"/>
        <v>149946.28789687276</v>
      </c>
      <c r="M113" s="71">
        <f t="shared" si="201"/>
        <v>146947.36213893531</v>
      </c>
      <c r="N113" s="71">
        <f t="shared" si="201"/>
        <v>143948.43638099785</v>
      </c>
      <c r="O113" s="71">
        <f t="shared" si="201"/>
        <v>140949.5106230604</v>
      </c>
      <c r="P113" s="71">
        <f t="shared" si="201"/>
        <v>170938.76820243493</v>
      </c>
      <c r="Q113" s="71">
        <f t="shared" si="201"/>
        <v>173937.69396037239</v>
      </c>
      <c r="R113" s="71">
        <f t="shared" si="201"/>
        <v>173937.69396037239</v>
      </c>
      <c r="S113" s="71">
        <f t="shared" si="201"/>
        <v>176936.61971830987</v>
      </c>
      <c r="T113" s="71">
        <f t="shared" si="201"/>
        <v>179935.54547624732</v>
      </c>
      <c r="U113" s="71">
        <f t="shared" si="201"/>
        <v>176936.61971830987</v>
      </c>
      <c r="V113" s="71">
        <f t="shared" si="201"/>
        <v>170938.76820243493</v>
      </c>
      <c r="W113" s="71">
        <f t="shared" si="201"/>
        <v>167939.84244449751</v>
      </c>
      <c r="X113" s="71">
        <f t="shared" si="201"/>
        <v>161941.99092862257</v>
      </c>
      <c r="Y113" s="71">
        <f t="shared" si="201"/>
        <v>158943.06517068512</v>
      </c>
      <c r="Z113" s="71">
        <f t="shared" si="201"/>
        <v>188932.32275005968</v>
      </c>
      <c r="AA113" s="71">
        <f t="shared" si="201"/>
        <v>194930.17426593459</v>
      </c>
      <c r="AB113" s="71">
        <f t="shared" si="201"/>
        <v>197929.10002387204</v>
      </c>
      <c r="AC113" s="71">
        <f t="shared" si="201"/>
        <v>200928.0257818095</v>
      </c>
      <c r="AD113" s="71">
        <f t="shared" si="201"/>
        <v>203926.95153974695</v>
      </c>
      <c r="AE113" s="71">
        <f t="shared" si="201"/>
        <v>200928.0257818095</v>
      </c>
      <c r="AF113" s="71">
        <f t="shared" si="201"/>
        <v>197929.10002387204</v>
      </c>
      <c r="AG113" s="71">
        <f t="shared" si="201"/>
        <v>194930.17426593459</v>
      </c>
      <c r="AH113" s="71">
        <f t="shared" si="201"/>
        <v>194930.17426593459</v>
      </c>
      <c r="AI113" s="71">
        <f t="shared" si="201"/>
        <v>191931.24850799714</v>
      </c>
      <c r="AJ113" s="71">
        <f t="shared" si="201"/>
        <v>221920.50608737167</v>
      </c>
      <c r="AK113" s="71">
        <f t="shared" si="201"/>
        <v>224919.43184530915</v>
      </c>
      <c r="AL113" s="71">
        <f t="shared" si="201"/>
        <v>227918.35760324661</v>
      </c>
      <c r="AM113" s="71">
        <f t="shared" si="201"/>
        <v>230917.28336118406</v>
      </c>
      <c r="AN113" s="71">
        <f t="shared" si="201"/>
        <v>236915.13487705897</v>
      </c>
      <c r="AO113" s="71">
        <f t="shared" si="201"/>
        <v>233916.20911912149</v>
      </c>
      <c r="AP113" s="71">
        <f t="shared" si="201"/>
        <v>230917.28336118406</v>
      </c>
      <c r="AQ113" s="71">
        <f t="shared" si="201"/>
        <v>227918.35760324661</v>
      </c>
      <c r="AR113" s="71">
        <f t="shared" si="201"/>
        <v>224919.43184530915</v>
      </c>
      <c r="AS113" s="71">
        <f t="shared" si="201"/>
        <v>221920.50608737167</v>
      </c>
    </row>
    <row r="114" spans="2:45">
      <c r="B114" s="94" t="s">
        <v>139</v>
      </c>
      <c r="C114" s="39">
        <v>1</v>
      </c>
      <c r="D114" s="228">
        <v>5.0000000000000001E-3</v>
      </c>
      <c r="E114" s="40">
        <f>3500/1.42/1.18</f>
        <v>2088.8040105037003</v>
      </c>
      <c r="F114" s="71">
        <f>+F68*$E114*$C114</f>
        <v>39687.276199570304</v>
      </c>
      <c r="G114" s="71">
        <f t="shared" ref="G114:AS114" si="202">+G68*$E114*$C114*(1+$D114)</f>
        <v>46183.456672236804</v>
      </c>
      <c r="H114" s="71">
        <f t="shared" si="202"/>
        <v>52481.200763905465</v>
      </c>
      <c r="I114" s="71">
        <f t="shared" si="202"/>
        <v>58778.944855574118</v>
      </c>
      <c r="J114" s="71">
        <f t="shared" si="202"/>
        <v>65076.688947242779</v>
      </c>
      <c r="K114" s="71">
        <f t="shared" si="202"/>
        <v>62977.440916686559</v>
      </c>
      <c r="L114" s="71">
        <f t="shared" si="202"/>
        <v>62977.440916686559</v>
      </c>
      <c r="M114" s="71">
        <f t="shared" si="202"/>
        <v>60878.192886130339</v>
      </c>
      <c r="N114" s="71">
        <f t="shared" si="202"/>
        <v>60878.192886130339</v>
      </c>
      <c r="O114" s="71">
        <f t="shared" si="202"/>
        <v>58778.944855574118</v>
      </c>
      <c r="P114" s="71">
        <f t="shared" si="202"/>
        <v>71374.433038911433</v>
      </c>
      <c r="Q114" s="71">
        <f t="shared" si="202"/>
        <v>73473.681069467653</v>
      </c>
      <c r="R114" s="71">
        <f t="shared" si="202"/>
        <v>73473.681069467653</v>
      </c>
      <c r="S114" s="71">
        <f t="shared" si="202"/>
        <v>73473.681069467653</v>
      </c>
      <c r="T114" s="71">
        <f t="shared" si="202"/>
        <v>75572.929100023874</v>
      </c>
      <c r="U114" s="71">
        <f t="shared" si="202"/>
        <v>73473.681069467653</v>
      </c>
      <c r="V114" s="71">
        <f t="shared" si="202"/>
        <v>71374.433038911433</v>
      </c>
      <c r="W114" s="71">
        <f t="shared" si="202"/>
        <v>69275.185008355213</v>
      </c>
      <c r="X114" s="71">
        <f t="shared" si="202"/>
        <v>69275.185008355213</v>
      </c>
      <c r="Y114" s="71">
        <f t="shared" si="202"/>
        <v>67175.936977798992</v>
      </c>
      <c r="Z114" s="71">
        <f t="shared" si="202"/>
        <v>79771.4251611363</v>
      </c>
      <c r="AA114" s="71">
        <f t="shared" si="202"/>
        <v>81870.673191692535</v>
      </c>
      <c r="AB114" s="71">
        <f t="shared" si="202"/>
        <v>83969.92122224874</v>
      </c>
      <c r="AC114" s="71">
        <f t="shared" si="202"/>
        <v>83969.92122224874</v>
      </c>
      <c r="AD114" s="71">
        <f t="shared" si="202"/>
        <v>86069.169252804961</v>
      </c>
      <c r="AE114" s="71">
        <f t="shared" si="202"/>
        <v>86069.169252804961</v>
      </c>
      <c r="AF114" s="71">
        <f t="shared" si="202"/>
        <v>83969.92122224874</v>
      </c>
      <c r="AG114" s="71">
        <f t="shared" si="202"/>
        <v>81870.673191692535</v>
      </c>
      <c r="AH114" s="71">
        <f t="shared" si="202"/>
        <v>81870.673191692535</v>
      </c>
      <c r="AI114" s="71">
        <f t="shared" si="202"/>
        <v>79771.4251611363</v>
      </c>
      <c r="AJ114" s="71">
        <f t="shared" si="202"/>
        <v>94466.161375029842</v>
      </c>
      <c r="AK114" s="71">
        <f t="shared" si="202"/>
        <v>94466.161375029842</v>
      </c>
      <c r="AL114" s="71">
        <f t="shared" si="202"/>
        <v>96565.409405586048</v>
      </c>
      <c r="AM114" s="71">
        <f t="shared" si="202"/>
        <v>98664.657436142268</v>
      </c>
      <c r="AN114" s="71">
        <f t="shared" si="202"/>
        <v>98664.657436142268</v>
      </c>
      <c r="AO114" s="71">
        <f t="shared" si="202"/>
        <v>98664.657436142268</v>
      </c>
      <c r="AP114" s="71">
        <f t="shared" si="202"/>
        <v>96565.409405586048</v>
      </c>
      <c r="AQ114" s="71">
        <f t="shared" si="202"/>
        <v>96565.409405586048</v>
      </c>
      <c r="AR114" s="71">
        <f t="shared" si="202"/>
        <v>94466.161375029842</v>
      </c>
      <c r="AS114" s="71">
        <f t="shared" si="202"/>
        <v>92366.913344473607</v>
      </c>
    </row>
    <row r="115" spans="2:45">
      <c r="B115" s="94" t="s">
        <v>141</v>
      </c>
      <c r="C115" s="39">
        <v>1</v>
      </c>
      <c r="D115" s="228">
        <v>5.0000000000000001E-3</v>
      </c>
      <c r="E115" s="40">
        <f>1650/1.42/1.18</f>
        <v>984.72189066603028</v>
      </c>
      <c r="F115" s="71">
        <f>+F69*$E115*$C115</f>
        <v>73854.141799952267</v>
      </c>
      <c r="G115" s="71">
        <f t="shared" ref="G115:AS115" si="203">+G69*$E115*$C115*(1+$D115)</f>
        <v>76202.703509190746</v>
      </c>
      <c r="H115" s="71">
        <f t="shared" si="203"/>
        <v>77192.349009310114</v>
      </c>
      <c r="I115" s="71">
        <f t="shared" si="203"/>
        <v>79171.640009548821</v>
      </c>
      <c r="J115" s="71">
        <f t="shared" si="203"/>
        <v>80161.285509668174</v>
      </c>
      <c r="K115" s="71">
        <f t="shared" si="203"/>
        <v>106881.71401289091</v>
      </c>
      <c r="L115" s="71">
        <f t="shared" si="203"/>
        <v>106881.71401289091</v>
      </c>
      <c r="M115" s="71">
        <f t="shared" si="203"/>
        <v>107871.35951301028</v>
      </c>
      <c r="N115" s="71">
        <f t="shared" si="203"/>
        <v>107871.35951301028</v>
      </c>
      <c r="O115" s="71">
        <f t="shared" si="203"/>
        <v>108861.00501312963</v>
      </c>
      <c r="P115" s="71">
        <f t="shared" si="203"/>
        <v>134591.78801623301</v>
      </c>
      <c r="Q115" s="71">
        <f t="shared" si="203"/>
        <v>135581.43351635238</v>
      </c>
      <c r="R115" s="71">
        <f t="shared" si="203"/>
        <v>135581.43351635238</v>
      </c>
      <c r="S115" s="71">
        <f t="shared" si="203"/>
        <v>136571.07901647172</v>
      </c>
      <c r="T115" s="71">
        <f t="shared" si="203"/>
        <v>136571.07901647172</v>
      </c>
      <c r="U115" s="71">
        <f t="shared" si="203"/>
        <v>163291.50751969445</v>
      </c>
      <c r="V115" s="71">
        <f t="shared" si="203"/>
        <v>163291.50751969445</v>
      </c>
      <c r="W115" s="71">
        <f t="shared" si="203"/>
        <v>164281.15301981382</v>
      </c>
      <c r="X115" s="71">
        <f t="shared" si="203"/>
        <v>164281.15301981382</v>
      </c>
      <c r="Y115" s="71">
        <f t="shared" si="203"/>
        <v>165270.79851993319</v>
      </c>
      <c r="Z115" s="71">
        <f t="shared" si="203"/>
        <v>191001.58152303656</v>
      </c>
      <c r="AA115" s="71">
        <f t="shared" si="203"/>
        <v>191991.22702315592</v>
      </c>
      <c r="AB115" s="71">
        <f t="shared" si="203"/>
        <v>191991.22702315592</v>
      </c>
      <c r="AC115" s="71">
        <f t="shared" si="203"/>
        <v>192980.87252327526</v>
      </c>
      <c r="AD115" s="71">
        <f t="shared" si="203"/>
        <v>192980.87252327526</v>
      </c>
      <c r="AE115" s="71">
        <f t="shared" si="203"/>
        <v>219701.301026498</v>
      </c>
      <c r="AF115" s="71">
        <f t="shared" si="203"/>
        <v>219701.301026498</v>
      </c>
      <c r="AG115" s="71">
        <f t="shared" si="203"/>
        <v>220690.94652661736</v>
      </c>
      <c r="AH115" s="71">
        <f t="shared" si="203"/>
        <v>220690.94652661736</v>
      </c>
      <c r="AI115" s="71">
        <f t="shared" si="203"/>
        <v>221680.59202673673</v>
      </c>
      <c r="AJ115" s="71">
        <f t="shared" si="203"/>
        <v>247411.37502984007</v>
      </c>
      <c r="AK115" s="71">
        <f t="shared" si="203"/>
        <v>248401.02052995944</v>
      </c>
      <c r="AL115" s="71">
        <f t="shared" si="203"/>
        <v>248401.02052995944</v>
      </c>
      <c r="AM115" s="71">
        <f t="shared" si="203"/>
        <v>249390.66603007881</v>
      </c>
      <c r="AN115" s="71">
        <f t="shared" si="203"/>
        <v>249390.66603007881</v>
      </c>
      <c r="AO115" s="71">
        <f t="shared" si="203"/>
        <v>276111.09453330154</v>
      </c>
      <c r="AP115" s="71">
        <f t="shared" si="203"/>
        <v>276111.09453330154</v>
      </c>
      <c r="AQ115" s="71">
        <f t="shared" si="203"/>
        <v>277100.74003342085</v>
      </c>
      <c r="AR115" s="71">
        <f t="shared" si="203"/>
        <v>277100.74003342085</v>
      </c>
      <c r="AS115" s="71">
        <f t="shared" si="203"/>
        <v>278090.38553354028</v>
      </c>
    </row>
    <row r="116" spans="2:45">
      <c r="B116" s="94" t="s">
        <v>142</v>
      </c>
      <c r="C116" s="39">
        <v>1.5</v>
      </c>
      <c r="D116" s="228">
        <v>5.0000000000000001E-3</v>
      </c>
      <c r="E116" s="40">
        <f>3500/1.42/1.18</f>
        <v>2088.8040105037003</v>
      </c>
      <c r="F116" s="71">
        <f>+F70*$E116*$C116</f>
        <v>426116.01814275485</v>
      </c>
      <c r="G116" s="71">
        <f t="shared" ref="G116:AS116" si="204">+G70*$E116*$C116*(1+$D116)</f>
        <v>434544.34232513723</v>
      </c>
      <c r="H116" s="71">
        <f t="shared" si="204"/>
        <v>437693.21437097155</v>
      </c>
      <c r="I116" s="71">
        <f t="shared" si="204"/>
        <v>443990.95846264024</v>
      </c>
      <c r="J116" s="71">
        <f t="shared" si="204"/>
        <v>450288.70255430887</v>
      </c>
      <c r="K116" s="71">
        <f t="shared" si="204"/>
        <v>450288.70255430887</v>
      </c>
      <c r="L116" s="71">
        <f t="shared" si="204"/>
        <v>450288.70255430887</v>
      </c>
      <c r="M116" s="71">
        <f t="shared" si="204"/>
        <v>450288.70255430887</v>
      </c>
      <c r="N116" s="71">
        <f t="shared" si="204"/>
        <v>450288.70255430887</v>
      </c>
      <c r="O116" s="71">
        <f t="shared" si="204"/>
        <v>450288.70255430887</v>
      </c>
      <c r="P116" s="71">
        <f t="shared" si="204"/>
        <v>535308.24779183569</v>
      </c>
      <c r="Q116" s="71">
        <f t="shared" si="204"/>
        <v>538457.11983767</v>
      </c>
      <c r="R116" s="71">
        <f t="shared" si="204"/>
        <v>538457.11983767</v>
      </c>
      <c r="S116" s="71">
        <f t="shared" si="204"/>
        <v>541605.99188350432</v>
      </c>
      <c r="T116" s="71">
        <f t="shared" si="204"/>
        <v>541605.99188350432</v>
      </c>
      <c r="U116" s="71">
        <f t="shared" si="204"/>
        <v>541605.99188350432</v>
      </c>
      <c r="V116" s="71">
        <f t="shared" si="204"/>
        <v>541605.99188350432</v>
      </c>
      <c r="W116" s="71">
        <f t="shared" si="204"/>
        <v>541605.99188350432</v>
      </c>
      <c r="X116" s="71">
        <f t="shared" si="204"/>
        <v>541605.99188350432</v>
      </c>
      <c r="Y116" s="71">
        <f t="shared" si="204"/>
        <v>541605.99188350432</v>
      </c>
      <c r="Z116" s="71">
        <f t="shared" si="204"/>
        <v>626625.5371210312</v>
      </c>
      <c r="AA116" s="71">
        <f t="shared" si="204"/>
        <v>626625.5371210312</v>
      </c>
      <c r="AB116" s="71">
        <f t="shared" si="204"/>
        <v>629774.40916686563</v>
      </c>
      <c r="AC116" s="71">
        <f t="shared" si="204"/>
        <v>629774.40916686563</v>
      </c>
      <c r="AD116" s="71">
        <f t="shared" si="204"/>
        <v>632923.28121269995</v>
      </c>
      <c r="AE116" s="71">
        <f t="shared" si="204"/>
        <v>632923.28121269995</v>
      </c>
      <c r="AF116" s="71">
        <f t="shared" si="204"/>
        <v>632923.28121269995</v>
      </c>
      <c r="AG116" s="71">
        <f t="shared" si="204"/>
        <v>632923.28121269995</v>
      </c>
      <c r="AH116" s="71">
        <f t="shared" si="204"/>
        <v>632923.28121269995</v>
      </c>
      <c r="AI116" s="71">
        <f t="shared" si="204"/>
        <v>632923.28121269995</v>
      </c>
      <c r="AJ116" s="71">
        <f t="shared" si="204"/>
        <v>717942.82645022671</v>
      </c>
      <c r="AK116" s="71">
        <f t="shared" si="204"/>
        <v>717942.82645022671</v>
      </c>
      <c r="AL116" s="71">
        <f t="shared" si="204"/>
        <v>721091.69849606114</v>
      </c>
      <c r="AM116" s="71">
        <f t="shared" si="204"/>
        <v>721091.69849606114</v>
      </c>
      <c r="AN116" s="71">
        <f t="shared" si="204"/>
        <v>721091.69849606114</v>
      </c>
      <c r="AO116" s="71">
        <f t="shared" si="204"/>
        <v>721091.69849606114</v>
      </c>
      <c r="AP116" s="71">
        <f t="shared" si="204"/>
        <v>721091.69849606114</v>
      </c>
      <c r="AQ116" s="71">
        <f t="shared" si="204"/>
        <v>721091.69849606114</v>
      </c>
      <c r="AR116" s="71">
        <f t="shared" si="204"/>
        <v>721091.69849606114</v>
      </c>
      <c r="AS116" s="71">
        <f t="shared" si="204"/>
        <v>721091.69849606114</v>
      </c>
    </row>
    <row r="117" spans="2:45" ht="15.75" thickBot="1">
      <c r="B117" s="98" t="s">
        <v>376</v>
      </c>
      <c r="C117" s="99"/>
      <c r="D117" s="99"/>
      <c r="E117" s="100"/>
      <c r="F117" s="101">
        <f>SUM(F113:F116)</f>
        <v>632161.61375029851</v>
      </c>
      <c r="G117" s="101">
        <f t="shared" ref="G117:AS117" si="205">SUM(G113:G116)</f>
        <v>667890.75555025064</v>
      </c>
      <c r="H117" s="101">
        <f t="shared" si="205"/>
        <v>693321.6459775602</v>
      </c>
      <c r="I117" s="101">
        <f t="shared" si="205"/>
        <v>722891.05395082361</v>
      </c>
      <c r="J117" s="101">
        <f t="shared" si="205"/>
        <v>751470.81642396748</v>
      </c>
      <c r="K117" s="101">
        <f t="shared" si="205"/>
        <v>773093.07113869651</v>
      </c>
      <c r="L117" s="101">
        <f t="shared" si="205"/>
        <v>770094.14538075915</v>
      </c>
      <c r="M117" s="101">
        <f t="shared" si="205"/>
        <v>765985.61709238472</v>
      </c>
      <c r="N117" s="101">
        <f t="shared" si="205"/>
        <v>762986.69133444736</v>
      </c>
      <c r="O117" s="101">
        <f t="shared" si="205"/>
        <v>758878.16304607294</v>
      </c>
      <c r="P117" s="101">
        <f t="shared" si="205"/>
        <v>912213.23704941501</v>
      </c>
      <c r="Q117" s="101">
        <f t="shared" si="205"/>
        <v>921449.92838386237</v>
      </c>
      <c r="R117" s="101">
        <f t="shared" si="205"/>
        <v>921449.92838386237</v>
      </c>
      <c r="S117" s="101">
        <f t="shared" si="205"/>
        <v>928587.37168775359</v>
      </c>
      <c r="T117" s="101">
        <f t="shared" si="205"/>
        <v>933685.54547624721</v>
      </c>
      <c r="U117" s="101">
        <f t="shared" si="205"/>
        <v>955307.80019097636</v>
      </c>
      <c r="V117" s="101">
        <f t="shared" si="205"/>
        <v>947210.70064454514</v>
      </c>
      <c r="W117" s="101">
        <f t="shared" si="205"/>
        <v>943102.17235617083</v>
      </c>
      <c r="X117" s="101">
        <f t="shared" si="205"/>
        <v>937104.32084029587</v>
      </c>
      <c r="Y117" s="101">
        <f t="shared" si="205"/>
        <v>932995.79255192168</v>
      </c>
      <c r="Z117" s="101">
        <f t="shared" si="205"/>
        <v>1086330.8665552638</v>
      </c>
      <c r="AA117" s="101">
        <f t="shared" si="205"/>
        <v>1095417.6116018142</v>
      </c>
      <c r="AB117" s="101">
        <f t="shared" si="205"/>
        <v>1103664.6574361422</v>
      </c>
      <c r="AC117" s="101">
        <f t="shared" si="205"/>
        <v>1107653.2286941991</v>
      </c>
      <c r="AD117" s="101">
        <f t="shared" si="205"/>
        <v>1115900.2745285272</v>
      </c>
      <c r="AE117" s="101">
        <f t="shared" si="205"/>
        <v>1139621.7772738123</v>
      </c>
      <c r="AF117" s="101">
        <f t="shared" si="205"/>
        <v>1134523.6034853188</v>
      </c>
      <c r="AG117" s="101">
        <f t="shared" si="205"/>
        <v>1130415.0751969444</v>
      </c>
      <c r="AH117" s="101">
        <f t="shared" si="205"/>
        <v>1130415.0751969444</v>
      </c>
      <c r="AI117" s="101">
        <f t="shared" si="205"/>
        <v>1126306.54690857</v>
      </c>
      <c r="AJ117" s="101">
        <f t="shared" si="205"/>
        <v>1281740.8689424684</v>
      </c>
      <c r="AK117" s="101">
        <f t="shared" si="205"/>
        <v>1285729.4402005251</v>
      </c>
      <c r="AL117" s="101">
        <f t="shared" si="205"/>
        <v>1293976.4860348534</v>
      </c>
      <c r="AM117" s="101">
        <f t="shared" si="205"/>
        <v>1300064.3053234662</v>
      </c>
      <c r="AN117" s="101">
        <f t="shared" si="205"/>
        <v>1306062.1568393412</v>
      </c>
      <c r="AO117" s="101">
        <f t="shared" si="205"/>
        <v>1329783.6595846266</v>
      </c>
      <c r="AP117" s="101">
        <f t="shared" si="205"/>
        <v>1324685.4857961328</v>
      </c>
      <c r="AQ117" s="101">
        <f t="shared" si="205"/>
        <v>1322676.2055383148</v>
      </c>
      <c r="AR117" s="101">
        <f t="shared" si="205"/>
        <v>1317578.031749821</v>
      </c>
      <c r="AS117" s="102">
        <f t="shared" si="205"/>
        <v>1313469.5034614466</v>
      </c>
    </row>
    <row r="118" spans="2:45" ht="15.75" thickBot="1">
      <c r="B118" s="108"/>
      <c r="C118" s="104"/>
      <c r="D118" s="104"/>
      <c r="E118" s="105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9"/>
    </row>
    <row r="119" spans="2:45">
      <c r="B119" s="90" t="s">
        <v>145</v>
      </c>
      <c r="C119" s="91"/>
      <c r="D119" s="91" t="s">
        <v>374</v>
      </c>
      <c r="E119" s="91" t="s">
        <v>520</v>
      </c>
      <c r="F119" s="92" t="s">
        <v>118</v>
      </c>
      <c r="G119" s="92" t="s">
        <v>119</v>
      </c>
      <c r="H119" s="92" t="s">
        <v>120</v>
      </c>
      <c r="I119" s="92" t="s">
        <v>121</v>
      </c>
      <c r="J119" s="92" t="s">
        <v>122</v>
      </c>
      <c r="K119" s="92" t="s">
        <v>123</v>
      </c>
      <c r="L119" s="92" t="s">
        <v>124</v>
      </c>
      <c r="M119" s="92" t="s">
        <v>125</v>
      </c>
      <c r="N119" s="92" t="s">
        <v>126</v>
      </c>
      <c r="O119" s="92" t="s">
        <v>127</v>
      </c>
      <c r="P119" s="92" t="s">
        <v>128</v>
      </c>
      <c r="Q119" s="92" t="s">
        <v>193</v>
      </c>
      <c r="R119" s="92" t="s">
        <v>194</v>
      </c>
      <c r="S119" s="92" t="s">
        <v>195</v>
      </c>
      <c r="T119" s="92" t="s">
        <v>196</v>
      </c>
      <c r="U119" s="92" t="s">
        <v>197</v>
      </c>
      <c r="V119" s="92" t="s">
        <v>198</v>
      </c>
      <c r="W119" s="92" t="s">
        <v>199</v>
      </c>
      <c r="X119" s="92" t="s">
        <v>200</v>
      </c>
      <c r="Y119" s="92" t="s">
        <v>201</v>
      </c>
      <c r="Z119" s="92" t="s">
        <v>202</v>
      </c>
      <c r="AA119" s="92" t="s">
        <v>203</v>
      </c>
      <c r="AB119" s="92" t="s">
        <v>204</v>
      </c>
      <c r="AC119" s="92" t="s">
        <v>205</v>
      </c>
      <c r="AD119" s="92" t="s">
        <v>206</v>
      </c>
      <c r="AE119" s="92" t="s">
        <v>207</v>
      </c>
      <c r="AF119" s="92" t="s">
        <v>208</v>
      </c>
      <c r="AG119" s="92" t="s">
        <v>209</v>
      </c>
      <c r="AH119" s="92" t="s">
        <v>210</v>
      </c>
      <c r="AI119" s="92" t="s">
        <v>211</v>
      </c>
      <c r="AJ119" s="92" t="s">
        <v>212</v>
      </c>
      <c r="AK119" s="92" t="s">
        <v>213</v>
      </c>
      <c r="AL119" s="92" t="s">
        <v>214</v>
      </c>
      <c r="AM119" s="92" t="s">
        <v>215</v>
      </c>
      <c r="AN119" s="92" t="s">
        <v>216</v>
      </c>
      <c r="AO119" s="92" t="s">
        <v>217</v>
      </c>
      <c r="AP119" s="92" t="s">
        <v>218</v>
      </c>
      <c r="AQ119" s="92" t="s">
        <v>219</v>
      </c>
      <c r="AR119" s="92" t="s">
        <v>220</v>
      </c>
      <c r="AS119" s="93" t="s">
        <v>221</v>
      </c>
    </row>
    <row r="120" spans="2:45" ht="16.5" customHeight="1">
      <c r="B120" s="94" t="s">
        <v>148</v>
      </c>
      <c r="C120" s="39"/>
      <c r="D120" s="228">
        <v>5.0000000000000001E-3</v>
      </c>
      <c r="E120" s="227">
        <v>0.57999999999999996</v>
      </c>
      <c r="F120" s="71">
        <f>($E120)*F90</f>
        <v>22208.199999999997</v>
      </c>
      <c r="G120" s="71">
        <f>($E120)*G90/(1+$D120)</f>
        <v>23149.791044776121</v>
      </c>
      <c r="H120" s="71">
        <f t="shared" ref="H120:AS122" si="206">($E120)*H90/(1+$D120)</f>
        <v>24202.447761194031</v>
      </c>
      <c r="I120" s="71">
        <f t="shared" si="206"/>
        <v>25254.527363184083</v>
      </c>
      <c r="J120" s="71">
        <f t="shared" si="206"/>
        <v>26306.606965174131</v>
      </c>
      <c r="K120" s="71">
        <f t="shared" si="206"/>
        <v>26938.547263681594</v>
      </c>
      <c r="L120" s="71">
        <f t="shared" si="206"/>
        <v>27569.910447761195</v>
      </c>
      <c r="M120" s="71">
        <f t="shared" si="206"/>
        <v>28201.273631840799</v>
      </c>
      <c r="N120" s="71">
        <f t="shared" si="206"/>
        <v>28832.636815920399</v>
      </c>
      <c r="O120" s="71">
        <f t="shared" si="206"/>
        <v>29464.000000000004</v>
      </c>
      <c r="P120" s="71">
        <f t="shared" si="206"/>
        <v>29674.069651741294</v>
      </c>
      <c r="Q120" s="71">
        <f t="shared" si="206"/>
        <v>29884.716417910451</v>
      </c>
      <c r="R120" s="71">
        <f t="shared" si="206"/>
        <v>30095.363184079601</v>
      </c>
      <c r="S120" s="71">
        <f t="shared" si="206"/>
        <v>30305.432835820899</v>
      </c>
      <c r="T120" s="71">
        <f t="shared" si="206"/>
        <v>30516.079601990048</v>
      </c>
      <c r="U120" s="71">
        <f t="shared" si="206"/>
        <v>30726.726368159205</v>
      </c>
      <c r="V120" s="71">
        <f t="shared" si="206"/>
        <v>30936.796019900499</v>
      </c>
      <c r="W120" s="71">
        <f t="shared" si="206"/>
        <v>31147.442786069652</v>
      </c>
      <c r="X120" s="71">
        <f t="shared" si="206"/>
        <v>31358.089552238805</v>
      </c>
      <c r="Y120" s="71">
        <f t="shared" si="206"/>
        <v>31568.1592039801</v>
      </c>
      <c r="Z120" s="71">
        <f t="shared" si="206"/>
        <v>31673.771144278609</v>
      </c>
      <c r="AA120" s="71">
        <f t="shared" si="206"/>
        <v>31778.805970149253</v>
      </c>
      <c r="AB120" s="71">
        <f t="shared" si="206"/>
        <v>31883.840796019904</v>
      </c>
      <c r="AC120" s="71">
        <f t="shared" si="206"/>
        <v>31989.45273631841</v>
      </c>
      <c r="AD120" s="71">
        <f t="shared" si="206"/>
        <v>32094.487562189057</v>
      </c>
      <c r="AE120" s="71">
        <f t="shared" si="206"/>
        <v>32199.5223880597</v>
      </c>
      <c r="AF120" s="71">
        <f t="shared" si="206"/>
        <v>32305.13432835821</v>
      </c>
      <c r="AG120" s="71">
        <f t="shared" si="206"/>
        <v>32410.169154228857</v>
      </c>
      <c r="AH120" s="71">
        <f t="shared" si="206"/>
        <v>32515.203980099504</v>
      </c>
      <c r="AI120" s="71">
        <f t="shared" si="206"/>
        <v>32620.81592039801</v>
      </c>
      <c r="AJ120" s="71">
        <f t="shared" si="206"/>
        <v>32725.850746268658</v>
      </c>
      <c r="AK120" s="71">
        <f t="shared" si="206"/>
        <v>32830.885572139305</v>
      </c>
      <c r="AL120" s="71">
        <f t="shared" si="206"/>
        <v>32936.497512437818</v>
      </c>
      <c r="AM120" s="71">
        <f t="shared" si="206"/>
        <v>33041.532338308461</v>
      </c>
      <c r="AN120" s="71">
        <f t="shared" si="206"/>
        <v>33146.567164179105</v>
      </c>
      <c r="AO120" s="71">
        <f t="shared" si="206"/>
        <v>33252.179104477611</v>
      </c>
      <c r="AP120" s="71">
        <f t="shared" si="206"/>
        <v>33357.213930348262</v>
      </c>
      <c r="AQ120" s="71">
        <f t="shared" si="206"/>
        <v>33462.248756218905</v>
      </c>
      <c r="AR120" s="71">
        <f t="shared" si="206"/>
        <v>33567.860696517411</v>
      </c>
      <c r="AS120" s="71">
        <f t="shared" si="206"/>
        <v>33672.895522388055</v>
      </c>
    </row>
    <row r="121" spans="2:45" ht="15" customHeight="1">
      <c r="B121" s="94" t="s">
        <v>150</v>
      </c>
      <c r="C121" s="39"/>
      <c r="D121" s="228">
        <v>5.0000000000000001E-3</v>
      </c>
      <c r="E121" s="227">
        <v>0.57999999999999996</v>
      </c>
      <c r="F121" s="71">
        <f t="shared" ref="F121:F122" si="207">($E121)*F91</f>
        <v>3333.2599999999998</v>
      </c>
      <c r="G121" s="71">
        <f t="shared" ref="G121:V122" si="208">($E121)*G91/(1+$D121)</f>
        <v>3377.273631840796</v>
      </c>
      <c r="H121" s="71">
        <f t="shared" si="208"/>
        <v>3437.2935323383085</v>
      </c>
      <c r="I121" s="71">
        <f t="shared" si="208"/>
        <v>3497.8905472636816</v>
      </c>
      <c r="J121" s="71">
        <f t="shared" si="208"/>
        <v>3557.9104477611941</v>
      </c>
      <c r="K121" s="71">
        <f t="shared" si="208"/>
        <v>3588.4975124378111</v>
      </c>
      <c r="L121" s="71">
        <f t="shared" si="208"/>
        <v>3618.5074626865676</v>
      </c>
      <c r="M121" s="71">
        <f t="shared" si="208"/>
        <v>3648.5174129353236</v>
      </c>
      <c r="N121" s="71">
        <f t="shared" si="208"/>
        <v>3678.5273631840796</v>
      </c>
      <c r="O121" s="71">
        <f t="shared" si="208"/>
        <v>3709.1144278606967</v>
      </c>
      <c r="P121" s="71">
        <f t="shared" si="208"/>
        <v>3739.1243781094527</v>
      </c>
      <c r="Q121" s="71">
        <f t="shared" si="208"/>
        <v>3769.1343283582091</v>
      </c>
      <c r="R121" s="71">
        <f t="shared" si="208"/>
        <v>3799.1442786069656</v>
      </c>
      <c r="S121" s="71">
        <f t="shared" si="208"/>
        <v>3829.7313432835822</v>
      </c>
      <c r="T121" s="71">
        <f t="shared" si="208"/>
        <v>3859.7412935323382</v>
      </c>
      <c r="U121" s="71">
        <f t="shared" si="208"/>
        <v>3889.7512437810947</v>
      </c>
      <c r="V121" s="71">
        <f t="shared" si="208"/>
        <v>3919.7611940298507</v>
      </c>
      <c r="W121" s="71">
        <f t="shared" si="206"/>
        <v>3950.3482587064682</v>
      </c>
      <c r="X121" s="71">
        <f t="shared" si="206"/>
        <v>3980.3582089552242</v>
      </c>
      <c r="Y121" s="71">
        <f t="shared" si="206"/>
        <v>4010.3681592039802</v>
      </c>
      <c r="Z121" s="71">
        <f t="shared" si="206"/>
        <v>4040.3781094527367</v>
      </c>
      <c r="AA121" s="71">
        <f t="shared" si="206"/>
        <v>4070.9651741293533</v>
      </c>
      <c r="AB121" s="71">
        <f t="shared" si="206"/>
        <v>4100.9751243781093</v>
      </c>
      <c r="AC121" s="71">
        <f t="shared" si="206"/>
        <v>4130.9850746268658</v>
      </c>
      <c r="AD121" s="71">
        <f t="shared" si="206"/>
        <v>4160.9950248756213</v>
      </c>
      <c r="AE121" s="71">
        <f t="shared" si="206"/>
        <v>4191.5820895522393</v>
      </c>
      <c r="AF121" s="71">
        <f t="shared" si="206"/>
        <v>4221.5920398009957</v>
      </c>
      <c r="AG121" s="71">
        <f t="shared" si="206"/>
        <v>4251.6019900497513</v>
      </c>
      <c r="AH121" s="71">
        <f t="shared" si="206"/>
        <v>4281.6119402985078</v>
      </c>
      <c r="AI121" s="71">
        <f t="shared" si="206"/>
        <v>4312.1990049751239</v>
      </c>
      <c r="AJ121" s="71">
        <f t="shared" si="206"/>
        <v>4342.2089552238813</v>
      </c>
      <c r="AK121" s="71">
        <f t="shared" si="206"/>
        <v>4372.2189054726368</v>
      </c>
      <c r="AL121" s="71">
        <f t="shared" si="206"/>
        <v>4402.2288557213933</v>
      </c>
      <c r="AM121" s="71">
        <f t="shared" si="206"/>
        <v>4432.2388059701498</v>
      </c>
      <c r="AN121" s="71">
        <f t="shared" si="206"/>
        <v>4462.8258706467659</v>
      </c>
      <c r="AO121" s="71">
        <f t="shared" si="206"/>
        <v>4492.8358208955224</v>
      </c>
      <c r="AP121" s="71">
        <f t="shared" si="206"/>
        <v>4522.8457711442788</v>
      </c>
      <c r="AQ121" s="71">
        <f t="shared" si="206"/>
        <v>4552.8557213930353</v>
      </c>
      <c r="AR121" s="71">
        <f t="shared" si="206"/>
        <v>4583.4427860696514</v>
      </c>
      <c r="AS121" s="71">
        <f t="shared" si="206"/>
        <v>4613.4527363184079</v>
      </c>
    </row>
    <row r="122" spans="2:45" ht="17.25" customHeight="1">
      <c r="B122" s="94" t="s">
        <v>381</v>
      </c>
      <c r="C122" s="39"/>
      <c r="D122" s="228">
        <v>5.0000000000000001E-3</v>
      </c>
      <c r="E122" s="227">
        <v>0.57999999999999996</v>
      </c>
      <c r="F122" s="71">
        <f t="shared" si="207"/>
        <v>40547.799999999996</v>
      </c>
      <c r="G122" s="71">
        <f t="shared" si="208"/>
        <v>42267.283582089549</v>
      </c>
      <c r="H122" s="71">
        <f t="shared" si="206"/>
        <v>44188.497512437811</v>
      </c>
      <c r="I122" s="71">
        <f t="shared" si="206"/>
        <v>46109.711442786072</v>
      </c>
      <c r="J122" s="71">
        <f t="shared" si="206"/>
        <v>48030.925373134327</v>
      </c>
      <c r="K122" s="71">
        <f t="shared" si="206"/>
        <v>49183.422885572138</v>
      </c>
      <c r="L122" s="71">
        <f t="shared" si="206"/>
        <v>50336.497512437811</v>
      </c>
      <c r="M122" s="71">
        <f t="shared" si="206"/>
        <v>51488.995024875621</v>
      </c>
      <c r="N122" s="71">
        <f t="shared" si="206"/>
        <v>52642.069651741294</v>
      </c>
      <c r="O122" s="71">
        <f t="shared" si="206"/>
        <v>53794.567164179105</v>
      </c>
      <c r="P122" s="71">
        <f t="shared" si="206"/>
        <v>54178.925373134334</v>
      </c>
      <c r="Q122" s="71">
        <f t="shared" si="206"/>
        <v>54563.283582089556</v>
      </c>
      <c r="R122" s="71">
        <f t="shared" si="206"/>
        <v>54947.641791044778</v>
      </c>
      <c r="S122" s="71">
        <f t="shared" si="206"/>
        <v>55331.422885572138</v>
      </c>
      <c r="T122" s="71">
        <f t="shared" si="206"/>
        <v>55715.78109452736</v>
      </c>
      <c r="U122" s="71">
        <f t="shared" si="206"/>
        <v>56100.139303482596</v>
      </c>
      <c r="V122" s="71">
        <f t="shared" si="206"/>
        <v>56484.497512437818</v>
      </c>
      <c r="W122" s="71">
        <f t="shared" si="206"/>
        <v>56868.85572139304</v>
      </c>
      <c r="X122" s="71">
        <f t="shared" si="206"/>
        <v>57252.636815920399</v>
      </c>
      <c r="Y122" s="71">
        <f t="shared" si="206"/>
        <v>57636.995024875621</v>
      </c>
      <c r="Z122" s="71">
        <f t="shared" si="206"/>
        <v>57829.174129353232</v>
      </c>
      <c r="AA122" s="71">
        <f t="shared" si="206"/>
        <v>58021.353233830851</v>
      </c>
      <c r="AB122" s="71">
        <f t="shared" si="206"/>
        <v>58213.532338308461</v>
      </c>
      <c r="AC122" s="71">
        <f t="shared" si="206"/>
        <v>58405.711442786072</v>
      </c>
      <c r="AD122" s="71">
        <f t="shared" si="206"/>
        <v>58597.890547263683</v>
      </c>
      <c r="AE122" s="71">
        <f t="shared" si="206"/>
        <v>58790.069651741294</v>
      </c>
      <c r="AF122" s="71">
        <f t="shared" si="206"/>
        <v>58982.248756218905</v>
      </c>
      <c r="AG122" s="71">
        <f t="shared" si="206"/>
        <v>59173.850746268654</v>
      </c>
      <c r="AH122" s="71">
        <f t="shared" si="206"/>
        <v>59366.029850746265</v>
      </c>
      <c r="AI122" s="71">
        <f t="shared" si="206"/>
        <v>59558.208955223883</v>
      </c>
      <c r="AJ122" s="71">
        <f t="shared" si="206"/>
        <v>59750.388059701501</v>
      </c>
      <c r="AK122" s="71">
        <f t="shared" si="206"/>
        <v>59942.567164179112</v>
      </c>
      <c r="AL122" s="71">
        <f t="shared" si="206"/>
        <v>60134.746268656723</v>
      </c>
      <c r="AM122" s="71">
        <f t="shared" si="206"/>
        <v>60326.925373134334</v>
      </c>
      <c r="AN122" s="71">
        <f t="shared" si="206"/>
        <v>60519.104477611945</v>
      </c>
      <c r="AO122" s="71">
        <f t="shared" si="206"/>
        <v>60711.283582089556</v>
      </c>
      <c r="AP122" s="71">
        <f t="shared" si="206"/>
        <v>60903.462686567167</v>
      </c>
      <c r="AQ122" s="71">
        <f t="shared" si="206"/>
        <v>61095.064676616916</v>
      </c>
      <c r="AR122" s="71">
        <f t="shared" si="206"/>
        <v>61287.243781094527</v>
      </c>
      <c r="AS122" s="71">
        <f t="shared" si="206"/>
        <v>61479.422885572138</v>
      </c>
    </row>
    <row r="123" spans="2:45" s="29" customFormat="1" ht="17.25" customHeight="1">
      <c r="B123" s="232" t="s">
        <v>382</v>
      </c>
      <c r="C123" s="229"/>
      <c r="D123" s="236"/>
      <c r="E123" s="237"/>
      <c r="F123" s="231">
        <f>SUM(F120:F122)</f>
        <v>66089.259999999995</v>
      </c>
      <c r="G123" s="231">
        <f t="shared" ref="G123:AS123" si="209">SUM(G120:G122)</f>
        <v>68794.348258706465</v>
      </c>
      <c r="H123" s="231">
        <f t="shared" si="209"/>
        <v>71828.238805970148</v>
      </c>
      <c r="I123" s="231">
        <f t="shared" si="209"/>
        <v>74862.129353233846</v>
      </c>
      <c r="J123" s="231">
        <f t="shared" si="209"/>
        <v>77895.442786069645</v>
      </c>
      <c r="K123" s="231">
        <f t="shared" si="209"/>
        <v>79710.467661691539</v>
      </c>
      <c r="L123" s="231">
        <f t="shared" si="209"/>
        <v>81524.915422885577</v>
      </c>
      <c r="M123" s="231">
        <f t="shared" si="209"/>
        <v>83338.786069651745</v>
      </c>
      <c r="N123" s="231">
        <f t="shared" si="209"/>
        <v>85153.233830845769</v>
      </c>
      <c r="O123" s="231">
        <f t="shared" si="209"/>
        <v>86967.681592039808</v>
      </c>
      <c r="P123" s="231">
        <f t="shared" si="209"/>
        <v>87592.119402985089</v>
      </c>
      <c r="Q123" s="231">
        <f t="shared" si="209"/>
        <v>88217.134328358225</v>
      </c>
      <c r="R123" s="231">
        <f t="shared" si="209"/>
        <v>88842.149253731346</v>
      </c>
      <c r="S123" s="231">
        <f t="shared" si="209"/>
        <v>89466.587064676627</v>
      </c>
      <c r="T123" s="231">
        <f t="shared" si="209"/>
        <v>90091.601990049749</v>
      </c>
      <c r="U123" s="231">
        <f t="shared" si="209"/>
        <v>90716.616915422899</v>
      </c>
      <c r="V123" s="231">
        <f t="shared" si="209"/>
        <v>91341.054726368166</v>
      </c>
      <c r="W123" s="231">
        <f t="shared" si="209"/>
        <v>91966.646766169171</v>
      </c>
      <c r="X123" s="231">
        <f t="shared" si="209"/>
        <v>92591.084577114438</v>
      </c>
      <c r="Y123" s="231">
        <f t="shared" si="209"/>
        <v>93215.522388059704</v>
      </c>
      <c r="Z123" s="231">
        <f t="shared" si="209"/>
        <v>93543.323383084586</v>
      </c>
      <c r="AA123" s="231">
        <f t="shared" si="209"/>
        <v>93871.124378109467</v>
      </c>
      <c r="AB123" s="231">
        <f t="shared" si="209"/>
        <v>94198.348258706479</v>
      </c>
      <c r="AC123" s="231">
        <f t="shared" si="209"/>
        <v>94526.149253731346</v>
      </c>
      <c r="AD123" s="231">
        <f t="shared" si="209"/>
        <v>94853.373134328358</v>
      </c>
      <c r="AE123" s="231">
        <f t="shared" si="209"/>
        <v>95181.174129353225</v>
      </c>
      <c r="AF123" s="231">
        <f t="shared" si="209"/>
        <v>95508.975124378107</v>
      </c>
      <c r="AG123" s="231">
        <f t="shared" si="209"/>
        <v>95835.621890547263</v>
      </c>
      <c r="AH123" s="231">
        <f t="shared" si="209"/>
        <v>96162.845771144275</v>
      </c>
      <c r="AI123" s="231">
        <f t="shared" si="209"/>
        <v>96491.223880597012</v>
      </c>
      <c r="AJ123" s="231">
        <f t="shared" si="209"/>
        <v>96818.447761194038</v>
      </c>
      <c r="AK123" s="231">
        <f t="shared" si="209"/>
        <v>97145.67164179105</v>
      </c>
      <c r="AL123" s="231">
        <f t="shared" si="209"/>
        <v>97473.472636815932</v>
      </c>
      <c r="AM123" s="231">
        <f t="shared" si="209"/>
        <v>97800.696517412944</v>
      </c>
      <c r="AN123" s="231">
        <f t="shared" si="209"/>
        <v>98128.497512437811</v>
      </c>
      <c r="AO123" s="231">
        <f t="shared" si="209"/>
        <v>98456.298507462692</v>
      </c>
      <c r="AP123" s="231">
        <f t="shared" si="209"/>
        <v>98783.522388059704</v>
      </c>
      <c r="AQ123" s="231">
        <f t="shared" si="209"/>
        <v>99110.169154228846</v>
      </c>
      <c r="AR123" s="231">
        <f t="shared" si="209"/>
        <v>99438.547263681598</v>
      </c>
      <c r="AS123" s="231">
        <f t="shared" si="209"/>
        <v>99765.771144278609</v>
      </c>
    </row>
    <row r="124" spans="2:45" ht="15.75" customHeight="1">
      <c r="B124" s="94" t="s">
        <v>153</v>
      </c>
      <c r="C124" s="39"/>
      <c r="D124" s="228">
        <v>0</v>
      </c>
      <c r="E124" s="227">
        <v>0.2</v>
      </c>
      <c r="F124" s="71">
        <f>($E124)*F94</f>
        <v>33898.400000000001</v>
      </c>
      <c r="G124" s="71">
        <f>($E124)*G94/(1+$D124)</f>
        <v>33898.400000000001</v>
      </c>
      <c r="H124" s="71">
        <f t="shared" ref="H124:AS124" si="210">($E124)*H94/(1+$D124)</f>
        <v>33898.400000000001</v>
      </c>
      <c r="I124" s="71">
        <f t="shared" si="210"/>
        <v>33898.400000000001</v>
      </c>
      <c r="J124" s="71">
        <f t="shared" si="210"/>
        <v>33898.400000000001</v>
      </c>
      <c r="K124" s="71">
        <f t="shared" si="210"/>
        <v>33898.400000000001</v>
      </c>
      <c r="L124" s="71">
        <f t="shared" si="210"/>
        <v>33898.400000000001</v>
      </c>
      <c r="M124" s="71">
        <f t="shared" si="210"/>
        <v>33898.400000000001</v>
      </c>
      <c r="N124" s="71">
        <f t="shared" si="210"/>
        <v>33898.400000000001</v>
      </c>
      <c r="O124" s="71">
        <f t="shared" si="210"/>
        <v>33898.400000000001</v>
      </c>
      <c r="P124" s="71">
        <f t="shared" si="210"/>
        <v>33898.400000000001</v>
      </c>
      <c r="Q124" s="71">
        <f t="shared" si="210"/>
        <v>33898.400000000001</v>
      </c>
      <c r="R124" s="71">
        <f t="shared" si="210"/>
        <v>33898.400000000001</v>
      </c>
      <c r="S124" s="71">
        <f t="shared" si="210"/>
        <v>33898.400000000001</v>
      </c>
      <c r="T124" s="71">
        <f t="shared" si="210"/>
        <v>33898.400000000001</v>
      </c>
      <c r="U124" s="71">
        <f t="shared" si="210"/>
        <v>33898.400000000001</v>
      </c>
      <c r="V124" s="71">
        <f t="shared" si="210"/>
        <v>33898.400000000001</v>
      </c>
      <c r="W124" s="71">
        <f t="shared" si="210"/>
        <v>33898.400000000001</v>
      </c>
      <c r="X124" s="71">
        <f t="shared" si="210"/>
        <v>33898.400000000001</v>
      </c>
      <c r="Y124" s="71">
        <f t="shared" si="210"/>
        <v>33898.400000000001</v>
      </c>
      <c r="Z124" s="71">
        <f t="shared" si="210"/>
        <v>33898.400000000001</v>
      </c>
      <c r="AA124" s="71">
        <f t="shared" si="210"/>
        <v>33898.400000000001</v>
      </c>
      <c r="AB124" s="71">
        <f t="shared" si="210"/>
        <v>33898.400000000001</v>
      </c>
      <c r="AC124" s="71">
        <f t="shared" si="210"/>
        <v>33898.400000000001</v>
      </c>
      <c r="AD124" s="71">
        <f t="shared" si="210"/>
        <v>33898.400000000001</v>
      </c>
      <c r="AE124" s="71">
        <f t="shared" si="210"/>
        <v>33898.400000000001</v>
      </c>
      <c r="AF124" s="71">
        <f t="shared" si="210"/>
        <v>33898.400000000001</v>
      </c>
      <c r="AG124" s="71">
        <f t="shared" si="210"/>
        <v>33898.400000000001</v>
      </c>
      <c r="AH124" s="71">
        <f t="shared" si="210"/>
        <v>33898.400000000001</v>
      </c>
      <c r="AI124" s="71">
        <f t="shared" si="210"/>
        <v>33898.400000000001</v>
      </c>
      <c r="AJ124" s="71">
        <f t="shared" si="210"/>
        <v>33898.400000000001</v>
      </c>
      <c r="AK124" s="71">
        <f t="shared" si="210"/>
        <v>33898.400000000001</v>
      </c>
      <c r="AL124" s="71">
        <f t="shared" si="210"/>
        <v>33898.400000000001</v>
      </c>
      <c r="AM124" s="71">
        <f t="shared" si="210"/>
        <v>33898.400000000001</v>
      </c>
      <c r="AN124" s="71">
        <f t="shared" si="210"/>
        <v>33898.400000000001</v>
      </c>
      <c r="AO124" s="71">
        <f t="shared" si="210"/>
        <v>33898.400000000001</v>
      </c>
      <c r="AP124" s="71">
        <f t="shared" si="210"/>
        <v>33898.400000000001</v>
      </c>
      <c r="AQ124" s="71">
        <f t="shared" si="210"/>
        <v>33898.400000000001</v>
      </c>
      <c r="AR124" s="71">
        <f t="shared" si="210"/>
        <v>33898.400000000001</v>
      </c>
      <c r="AS124" s="71">
        <f t="shared" si="210"/>
        <v>33898.400000000001</v>
      </c>
    </row>
    <row r="125" spans="2:45">
      <c r="B125" s="94" t="s">
        <v>155</v>
      </c>
      <c r="C125" s="39"/>
      <c r="D125" s="228">
        <v>5.0000000000000001E-3</v>
      </c>
      <c r="E125" s="227">
        <v>0.46</v>
      </c>
      <c r="F125" s="71">
        <f>($E125)*F95</f>
        <v>13644.060000000001</v>
      </c>
      <c r="G125" s="71">
        <f>($E125)*G95/(1+$D125)</f>
        <v>14254.965174129355</v>
      </c>
      <c r="H125" s="71">
        <f t="shared" ref="H125:AS125" si="211">($E125)*H95/(1+$D125)</f>
        <v>14933.751243781096</v>
      </c>
      <c r="I125" s="71">
        <f t="shared" si="211"/>
        <v>15612.537313432838</v>
      </c>
      <c r="J125" s="71">
        <f t="shared" si="211"/>
        <v>16291.32338308458</v>
      </c>
      <c r="K125" s="71">
        <f t="shared" si="211"/>
        <v>16427.263681592041</v>
      </c>
      <c r="L125" s="71">
        <f t="shared" si="211"/>
        <v>16562.74626865672</v>
      </c>
      <c r="M125" s="71">
        <f t="shared" si="211"/>
        <v>16698.686567164183</v>
      </c>
      <c r="N125" s="71">
        <f t="shared" si="211"/>
        <v>16834.626865671642</v>
      </c>
      <c r="O125" s="71">
        <f t="shared" si="211"/>
        <v>16970.10945273632</v>
      </c>
      <c r="P125" s="71">
        <f t="shared" si="211"/>
        <v>17106.049751243783</v>
      </c>
      <c r="Q125" s="71">
        <f t="shared" si="211"/>
        <v>17241.532338308461</v>
      </c>
      <c r="R125" s="71">
        <f t="shared" si="211"/>
        <v>17377.472636815924</v>
      </c>
      <c r="S125" s="71">
        <f t="shared" si="211"/>
        <v>17513.412935323384</v>
      </c>
      <c r="T125" s="71">
        <f t="shared" si="211"/>
        <v>17648.895522388062</v>
      </c>
      <c r="U125" s="71">
        <f t="shared" si="211"/>
        <v>17784.835820895525</v>
      </c>
      <c r="V125" s="71">
        <f t="shared" si="211"/>
        <v>17920.776119402988</v>
      </c>
      <c r="W125" s="71">
        <f t="shared" si="211"/>
        <v>18056.258706467663</v>
      </c>
      <c r="X125" s="71">
        <f t="shared" si="211"/>
        <v>18192.199004975126</v>
      </c>
      <c r="Y125" s="71">
        <f t="shared" si="211"/>
        <v>18327.681592039804</v>
      </c>
      <c r="Z125" s="71">
        <f t="shared" si="211"/>
        <v>18463.621890547267</v>
      </c>
      <c r="AA125" s="71">
        <f t="shared" si="211"/>
        <v>18599.56218905473</v>
      </c>
      <c r="AB125" s="71">
        <f t="shared" si="211"/>
        <v>18735.044776119405</v>
      </c>
      <c r="AC125" s="71">
        <f t="shared" si="211"/>
        <v>18870.985074626868</v>
      </c>
      <c r="AD125" s="71">
        <f t="shared" si="211"/>
        <v>19006.467661691546</v>
      </c>
      <c r="AE125" s="71">
        <f t="shared" si="211"/>
        <v>19142.407960199009</v>
      </c>
      <c r="AF125" s="71">
        <f t="shared" si="211"/>
        <v>19278.348258706472</v>
      </c>
      <c r="AG125" s="71">
        <f t="shared" si="211"/>
        <v>19413.830845771146</v>
      </c>
      <c r="AH125" s="71">
        <f t="shared" si="211"/>
        <v>19549.771144278609</v>
      </c>
      <c r="AI125" s="71">
        <f t="shared" si="211"/>
        <v>19685.253731343288</v>
      </c>
      <c r="AJ125" s="71">
        <f t="shared" si="211"/>
        <v>19821.194029850747</v>
      </c>
      <c r="AK125" s="71">
        <f t="shared" si="211"/>
        <v>19957.134328358214</v>
      </c>
      <c r="AL125" s="71">
        <f t="shared" si="211"/>
        <v>20092.616915422888</v>
      </c>
      <c r="AM125" s="71">
        <f t="shared" si="211"/>
        <v>20228.557213930351</v>
      </c>
      <c r="AN125" s="71">
        <f t="shared" si="211"/>
        <v>20364.497512437814</v>
      </c>
      <c r="AO125" s="71">
        <f t="shared" si="211"/>
        <v>20499.980099502489</v>
      </c>
      <c r="AP125" s="71">
        <f t="shared" si="211"/>
        <v>20635.920398009956</v>
      </c>
      <c r="AQ125" s="71">
        <f t="shared" si="211"/>
        <v>20771.40298507463</v>
      </c>
      <c r="AR125" s="71">
        <f t="shared" si="211"/>
        <v>20907.343283582093</v>
      </c>
      <c r="AS125" s="71">
        <f t="shared" si="211"/>
        <v>21043.283582089556</v>
      </c>
    </row>
    <row r="126" spans="2:45" s="29" customFormat="1">
      <c r="B126" s="232" t="s">
        <v>383</v>
      </c>
      <c r="C126" s="233"/>
      <c r="D126" s="238"/>
      <c r="E126" s="239"/>
      <c r="F126" s="240">
        <f>SUM(F124:F125)</f>
        <v>47542.460000000006</v>
      </c>
      <c r="G126" s="240">
        <f t="shared" ref="G126:AS126" si="212">SUM(G124:G125)</f>
        <v>48153.365174129358</v>
      </c>
      <c r="H126" s="240">
        <f t="shared" si="212"/>
        <v>48832.151243781096</v>
      </c>
      <c r="I126" s="240">
        <f t="shared" si="212"/>
        <v>49510.937313432842</v>
      </c>
      <c r="J126" s="240">
        <f t="shared" si="212"/>
        <v>50189.72338308458</v>
      </c>
      <c r="K126" s="240">
        <f t="shared" si="212"/>
        <v>50325.663681592043</v>
      </c>
      <c r="L126" s="240">
        <f t="shared" si="212"/>
        <v>50461.146268656725</v>
      </c>
      <c r="M126" s="240">
        <f t="shared" si="212"/>
        <v>50597.08656716418</v>
      </c>
      <c r="N126" s="240">
        <f t="shared" si="212"/>
        <v>50733.026865671643</v>
      </c>
      <c r="O126" s="240">
        <f t="shared" si="212"/>
        <v>50868.509452736325</v>
      </c>
      <c r="P126" s="240">
        <f t="shared" si="212"/>
        <v>51004.449751243781</v>
      </c>
      <c r="Q126" s="240">
        <f t="shared" si="212"/>
        <v>51139.932338308463</v>
      </c>
      <c r="R126" s="240">
        <f t="shared" si="212"/>
        <v>51275.872636815926</v>
      </c>
      <c r="S126" s="240">
        <f t="shared" si="212"/>
        <v>51411.812935323382</v>
      </c>
      <c r="T126" s="240">
        <f t="shared" si="212"/>
        <v>51547.295522388064</v>
      </c>
      <c r="U126" s="240">
        <f t="shared" si="212"/>
        <v>51683.235820895527</v>
      </c>
      <c r="V126" s="240">
        <f t="shared" si="212"/>
        <v>51819.17611940299</v>
      </c>
      <c r="W126" s="240">
        <f t="shared" si="212"/>
        <v>51954.658706467664</v>
      </c>
      <c r="X126" s="240">
        <f t="shared" si="212"/>
        <v>52090.599004975127</v>
      </c>
      <c r="Y126" s="240">
        <f t="shared" si="212"/>
        <v>52226.081592039802</v>
      </c>
      <c r="Z126" s="240">
        <f t="shared" si="212"/>
        <v>52362.021890547272</v>
      </c>
      <c r="AA126" s="240">
        <f t="shared" si="212"/>
        <v>52497.962189054728</v>
      </c>
      <c r="AB126" s="240">
        <f t="shared" si="212"/>
        <v>52633.444776119402</v>
      </c>
      <c r="AC126" s="240">
        <f t="shared" si="212"/>
        <v>52769.385074626873</v>
      </c>
      <c r="AD126" s="240">
        <f t="shared" si="212"/>
        <v>52904.867661691547</v>
      </c>
      <c r="AE126" s="240">
        <f t="shared" si="212"/>
        <v>53040.80796019901</v>
      </c>
      <c r="AF126" s="240">
        <f t="shared" si="212"/>
        <v>53176.748258706473</v>
      </c>
      <c r="AG126" s="240">
        <f t="shared" si="212"/>
        <v>53312.230845771148</v>
      </c>
      <c r="AH126" s="240">
        <f t="shared" si="212"/>
        <v>53448.171144278611</v>
      </c>
      <c r="AI126" s="240">
        <f t="shared" si="212"/>
        <v>53583.653731343293</v>
      </c>
      <c r="AJ126" s="240">
        <f t="shared" si="212"/>
        <v>53719.594029850748</v>
      </c>
      <c r="AK126" s="240">
        <f t="shared" si="212"/>
        <v>53855.534328358219</v>
      </c>
      <c r="AL126" s="240">
        <f t="shared" si="212"/>
        <v>53991.016915422893</v>
      </c>
      <c r="AM126" s="240">
        <f t="shared" si="212"/>
        <v>54126.957213930349</v>
      </c>
      <c r="AN126" s="240">
        <f t="shared" si="212"/>
        <v>54262.897512437819</v>
      </c>
      <c r="AO126" s="240">
        <f t="shared" si="212"/>
        <v>54398.380099502494</v>
      </c>
      <c r="AP126" s="240">
        <f t="shared" si="212"/>
        <v>54534.320398009957</v>
      </c>
      <c r="AQ126" s="240">
        <f t="shared" si="212"/>
        <v>54669.802985074632</v>
      </c>
      <c r="AR126" s="240">
        <f t="shared" si="212"/>
        <v>54805.743283582095</v>
      </c>
      <c r="AS126" s="240">
        <f t="shared" si="212"/>
        <v>54941.683582089558</v>
      </c>
    </row>
    <row r="127" spans="2:45" ht="15.75" thickBot="1">
      <c r="B127" s="98" t="s">
        <v>377</v>
      </c>
      <c r="C127" s="99"/>
      <c r="D127" s="99"/>
      <c r="E127" s="100"/>
      <c r="F127" s="101">
        <f>+F123+F126</f>
        <v>113631.72</v>
      </c>
      <c r="G127" s="101">
        <f t="shared" ref="G127:AS127" si="213">+G123+G126</f>
        <v>116947.71343283582</v>
      </c>
      <c r="H127" s="101">
        <f t="shared" si="213"/>
        <v>120660.39004975124</v>
      </c>
      <c r="I127" s="101">
        <f t="shared" si="213"/>
        <v>124373.06666666668</v>
      </c>
      <c r="J127" s="101">
        <f t="shared" si="213"/>
        <v>128085.16616915422</v>
      </c>
      <c r="K127" s="101">
        <f t="shared" si="213"/>
        <v>130036.13134328357</v>
      </c>
      <c r="L127" s="101">
        <f t="shared" si="213"/>
        <v>131986.0616915423</v>
      </c>
      <c r="M127" s="101">
        <f t="shared" si="213"/>
        <v>133935.87263681594</v>
      </c>
      <c r="N127" s="101">
        <f t="shared" si="213"/>
        <v>135886.26069651742</v>
      </c>
      <c r="O127" s="101">
        <f t="shared" si="213"/>
        <v>137836.19104477612</v>
      </c>
      <c r="P127" s="101">
        <f t="shared" si="213"/>
        <v>138596.56915422887</v>
      </c>
      <c r="Q127" s="101">
        <f t="shared" si="213"/>
        <v>139357.06666666668</v>
      </c>
      <c r="R127" s="101">
        <f t="shared" si="213"/>
        <v>140118.02189054727</v>
      </c>
      <c r="S127" s="101">
        <f t="shared" si="213"/>
        <v>140878.40000000002</v>
      </c>
      <c r="T127" s="101">
        <f t="shared" si="213"/>
        <v>141638.8975124378</v>
      </c>
      <c r="U127" s="101">
        <f t="shared" si="213"/>
        <v>142399.85273631843</v>
      </c>
      <c r="V127" s="101">
        <f t="shared" si="213"/>
        <v>143160.23084577115</v>
      </c>
      <c r="W127" s="101">
        <f t="shared" si="213"/>
        <v>143921.30547263683</v>
      </c>
      <c r="X127" s="101">
        <f t="shared" si="213"/>
        <v>144681.68358208955</v>
      </c>
      <c r="Y127" s="101">
        <f t="shared" si="213"/>
        <v>145441.60398009949</v>
      </c>
      <c r="Z127" s="101">
        <f t="shared" si="213"/>
        <v>145905.34527363186</v>
      </c>
      <c r="AA127" s="101">
        <f t="shared" si="213"/>
        <v>146369.0865671642</v>
      </c>
      <c r="AB127" s="101">
        <f t="shared" si="213"/>
        <v>146831.79303482588</v>
      </c>
      <c r="AC127" s="101">
        <f t="shared" si="213"/>
        <v>147295.53432835822</v>
      </c>
      <c r="AD127" s="101">
        <f t="shared" si="213"/>
        <v>147758.24079601991</v>
      </c>
      <c r="AE127" s="101">
        <f t="shared" si="213"/>
        <v>148221.98208955224</v>
      </c>
      <c r="AF127" s="101">
        <f t="shared" si="213"/>
        <v>148685.72338308458</v>
      </c>
      <c r="AG127" s="101">
        <f t="shared" si="213"/>
        <v>149147.85273631843</v>
      </c>
      <c r="AH127" s="101">
        <f t="shared" si="213"/>
        <v>149611.01691542289</v>
      </c>
      <c r="AI127" s="101">
        <f t="shared" si="213"/>
        <v>150074.87761194032</v>
      </c>
      <c r="AJ127" s="101">
        <f t="shared" si="213"/>
        <v>150538.04179104479</v>
      </c>
      <c r="AK127" s="101">
        <f t="shared" si="213"/>
        <v>151001.20597014925</v>
      </c>
      <c r="AL127" s="101">
        <f t="shared" si="213"/>
        <v>151464.48955223884</v>
      </c>
      <c r="AM127" s="101">
        <f t="shared" si="213"/>
        <v>151927.65373134328</v>
      </c>
      <c r="AN127" s="101">
        <f t="shared" si="213"/>
        <v>152391.39502487564</v>
      </c>
      <c r="AO127" s="101">
        <f t="shared" si="213"/>
        <v>152854.67860696517</v>
      </c>
      <c r="AP127" s="101">
        <f t="shared" si="213"/>
        <v>153317.84278606967</v>
      </c>
      <c r="AQ127" s="101">
        <f t="shared" si="213"/>
        <v>153779.97213930349</v>
      </c>
      <c r="AR127" s="101">
        <f t="shared" si="213"/>
        <v>154244.29054726369</v>
      </c>
      <c r="AS127" s="101">
        <f t="shared" si="213"/>
        <v>154707.45472636816</v>
      </c>
    </row>
    <row r="128" spans="2:45" ht="15.75" thickBot="1">
      <c r="B128" s="108"/>
      <c r="C128" s="104"/>
      <c r="D128" s="104"/>
      <c r="E128" s="105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9"/>
    </row>
    <row r="129" spans="2:45" ht="15.75" thickBot="1">
      <c r="B129" s="110" t="s">
        <v>385</v>
      </c>
      <c r="C129" s="111"/>
      <c r="D129" s="111"/>
      <c r="E129" s="112"/>
      <c r="F129" s="113">
        <f>+F117+F127</f>
        <v>745793.33375029848</v>
      </c>
      <c r="G129" s="113">
        <f t="shared" ref="G129:AS129" si="214">+G117+G127</f>
        <v>784838.46898308652</v>
      </c>
      <c r="H129" s="113">
        <f t="shared" si="214"/>
        <v>813982.03602731146</v>
      </c>
      <c r="I129" s="113">
        <f t="shared" si="214"/>
        <v>847264.12061749026</v>
      </c>
      <c r="J129" s="113">
        <f t="shared" si="214"/>
        <v>879555.98259312171</v>
      </c>
      <c r="K129" s="113">
        <f t="shared" si="214"/>
        <v>903129.20248198009</v>
      </c>
      <c r="L129" s="113">
        <f t="shared" si="214"/>
        <v>902080.20707230142</v>
      </c>
      <c r="M129" s="113">
        <f t="shared" si="214"/>
        <v>899921.48972920072</v>
      </c>
      <c r="N129" s="113">
        <f t="shared" si="214"/>
        <v>898872.95203096478</v>
      </c>
      <c r="O129" s="113">
        <f t="shared" si="214"/>
        <v>896714.35409084905</v>
      </c>
      <c r="P129" s="113">
        <f t="shared" si="214"/>
        <v>1050809.8062036438</v>
      </c>
      <c r="Q129" s="113">
        <f t="shared" si="214"/>
        <v>1060806.995050529</v>
      </c>
      <c r="R129" s="113">
        <f t="shared" si="214"/>
        <v>1061567.9502744097</v>
      </c>
      <c r="S129" s="113">
        <f t="shared" si="214"/>
        <v>1069465.7716877535</v>
      </c>
      <c r="T129" s="113">
        <f t="shared" si="214"/>
        <v>1075324.4429886851</v>
      </c>
      <c r="U129" s="113">
        <f t="shared" si="214"/>
        <v>1097707.6529272948</v>
      </c>
      <c r="V129" s="113">
        <f t="shared" si="214"/>
        <v>1090370.9314903163</v>
      </c>
      <c r="W129" s="113">
        <f t="shared" si="214"/>
        <v>1087023.4778288077</v>
      </c>
      <c r="X129" s="113">
        <f t="shared" si="214"/>
        <v>1081786.0044223855</v>
      </c>
      <c r="Y129" s="113">
        <f t="shared" si="214"/>
        <v>1078437.3965320212</v>
      </c>
      <c r="Z129" s="113">
        <f t="shared" si="214"/>
        <v>1232236.2118288956</v>
      </c>
      <c r="AA129" s="113">
        <f t="shared" si="214"/>
        <v>1241786.6981689783</v>
      </c>
      <c r="AB129" s="113">
        <f t="shared" si="214"/>
        <v>1250496.4504709681</v>
      </c>
      <c r="AC129" s="113">
        <f t="shared" si="214"/>
        <v>1254948.7630225574</v>
      </c>
      <c r="AD129" s="113">
        <f t="shared" si="214"/>
        <v>1263658.515324547</v>
      </c>
      <c r="AE129" s="113">
        <f t="shared" si="214"/>
        <v>1287843.7593633647</v>
      </c>
      <c r="AF129" s="113">
        <f t="shared" si="214"/>
        <v>1283209.3268684035</v>
      </c>
      <c r="AG129" s="113">
        <f t="shared" si="214"/>
        <v>1279562.9279332629</v>
      </c>
      <c r="AH129" s="113">
        <f t="shared" si="214"/>
        <v>1280026.0921123673</v>
      </c>
      <c r="AI129" s="113">
        <f t="shared" si="214"/>
        <v>1276381.4245205102</v>
      </c>
      <c r="AJ129" s="113">
        <f t="shared" si="214"/>
        <v>1432278.9107335133</v>
      </c>
      <c r="AK129" s="113">
        <f t="shared" si="214"/>
        <v>1436730.6461706744</v>
      </c>
      <c r="AL129" s="113">
        <f t="shared" si="214"/>
        <v>1445440.9755870923</v>
      </c>
      <c r="AM129" s="113">
        <f t="shared" si="214"/>
        <v>1451991.9590548095</v>
      </c>
      <c r="AN129" s="113">
        <f t="shared" si="214"/>
        <v>1458453.5518642168</v>
      </c>
      <c r="AO129" s="113">
        <f t="shared" si="214"/>
        <v>1482638.3381915917</v>
      </c>
      <c r="AP129" s="113">
        <f t="shared" si="214"/>
        <v>1478003.3285822026</v>
      </c>
      <c r="AQ129" s="113">
        <f t="shared" si="214"/>
        <v>1476456.1776776183</v>
      </c>
      <c r="AR129" s="113">
        <f t="shared" si="214"/>
        <v>1471822.3222970846</v>
      </c>
      <c r="AS129" s="113">
        <f t="shared" si="214"/>
        <v>1468176.9581878148</v>
      </c>
    </row>
    <row r="130" spans="2:45" ht="15.75" thickBot="1"/>
    <row r="131" spans="2:45" ht="15.75" thickBot="1">
      <c r="B131" s="302" t="s">
        <v>386</v>
      </c>
      <c r="C131" s="241"/>
      <c r="D131" s="241"/>
      <c r="E131" s="241"/>
      <c r="F131" s="242">
        <f>+F129+F110</f>
        <v>944749.2659536883</v>
      </c>
      <c r="G131" s="242">
        <f t="shared" ref="G131:AS131" si="215">+G129+G110</f>
        <v>1021640.0542769562</v>
      </c>
      <c r="H131" s="242">
        <f t="shared" si="215"/>
        <v>1094934.8988319326</v>
      </c>
      <c r="I131" s="242">
        <f t="shared" si="215"/>
        <v>1162410.4230038635</v>
      </c>
      <c r="J131" s="242">
        <f t="shared" si="215"/>
        <v>1238228.7205980124</v>
      </c>
      <c r="K131" s="242">
        <f t="shared" si="215"/>
        <v>1264702.6909717347</v>
      </c>
      <c r="L131" s="242">
        <f t="shared" si="215"/>
        <v>1274949.7576246245</v>
      </c>
      <c r="M131" s="242">
        <f t="shared" si="215"/>
        <v>1273881.351437608</v>
      </c>
      <c r="N131" s="242">
        <f t="shared" si="215"/>
        <v>1283249.375000861</v>
      </c>
      <c r="O131" s="242">
        <f t="shared" si="215"/>
        <v>1283993.2140284493</v>
      </c>
      <c r="P131" s="242">
        <f t="shared" si="215"/>
        <v>1506941.0145685989</v>
      </c>
      <c r="Q131" s="242">
        <f t="shared" si="215"/>
        <v>1533032.309157958</v>
      </c>
      <c r="R131" s="242">
        <f t="shared" si="215"/>
        <v>1558733.8158617276</v>
      </c>
      <c r="S131" s="242">
        <f t="shared" si="215"/>
        <v>1581400.1675052762</v>
      </c>
      <c r="T131" s="242">
        <f t="shared" si="215"/>
        <v>1610835.0256685065</v>
      </c>
      <c r="U131" s="242">
        <f t="shared" si="215"/>
        <v>1632753.6095846859</v>
      </c>
      <c r="V131" s="242">
        <f t="shared" si="215"/>
        <v>1633021.2392734345</v>
      </c>
      <c r="W131" s="242">
        <f t="shared" si="215"/>
        <v>1626949.272583846</v>
      </c>
      <c r="X131" s="242">
        <f t="shared" si="215"/>
        <v>1628145.7312121654</v>
      </c>
      <c r="Y131" s="242">
        <f t="shared" si="215"/>
        <v>1623449.6235326114</v>
      </c>
      <c r="Z131" s="242">
        <f t="shared" si="215"/>
        <v>1840415.6536030755</v>
      </c>
      <c r="AA131" s="242">
        <f t="shared" si="215"/>
        <v>1860558.9386614314</v>
      </c>
      <c r="AB131" s="242">
        <f t="shared" si="215"/>
        <v>1888779.6109398105</v>
      </c>
      <c r="AC131" s="242">
        <f t="shared" si="215"/>
        <v>1902656.832842947</v>
      </c>
      <c r="AD131" s="242">
        <f t="shared" si="215"/>
        <v>1929979.4530090061</v>
      </c>
      <c r="AE131" s="242">
        <f t="shared" si="215"/>
        <v>1948552.9253976005</v>
      </c>
      <c r="AF131" s="242">
        <f t="shared" si="215"/>
        <v>1946541.8169603168</v>
      </c>
      <c r="AG131" s="242">
        <f t="shared" si="215"/>
        <v>1935619.9310532562</v>
      </c>
      <c r="AH131" s="242">
        <f t="shared" si="215"/>
        <v>1937612.7351682743</v>
      </c>
      <c r="AI131" s="242">
        <f t="shared" si="215"/>
        <v>1928833.5705699243</v>
      </c>
      <c r="AJ131" s="242">
        <f t="shared" si="215"/>
        <v>2144268.9604847571</v>
      </c>
      <c r="AK131" s="242">
        <f t="shared" si="215"/>
        <v>2156459.9656748483</v>
      </c>
      <c r="AL131" s="242">
        <f t="shared" si="215"/>
        <v>2181896.8318987545</v>
      </c>
      <c r="AM131" s="242">
        <f t="shared" si="215"/>
        <v>2196049.6367679387</v>
      </c>
      <c r="AN131" s="242">
        <f t="shared" si="215"/>
        <v>2219184.6421753732</v>
      </c>
      <c r="AO131" s="242">
        <f t="shared" si="215"/>
        <v>2236561.940518938</v>
      </c>
      <c r="AP131" s="242">
        <f t="shared" si="215"/>
        <v>2233692.6784430677</v>
      </c>
      <c r="AQ131" s="242">
        <f t="shared" si="215"/>
        <v>2224324.4633678114</v>
      </c>
      <c r="AR131" s="242">
        <f t="shared" si="215"/>
        <v>2221259.8802699326</v>
      </c>
      <c r="AS131" s="243">
        <f t="shared" si="215"/>
        <v>2211601.3615945103</v>
      </c>
    </row>
    <row r="134" spans="2:45" ht="15.75" thickBot="1">
      <c r="B134" s="29" t="s">
        <v>522</v>
      </c>
    </row>
    <row r="135" spans="2:45" s="319" customFormat="1" ht="12">
      <c r="B135" s="317" t="s">
        <v>397</v>
      </c>
      <c r="C135" s="318"/>
      <c r="D135" s="91" t="s">
        <v>374</v>
      </c>
      <c r="E135" s="91" t="s">
        <v>523</v>
      </c>
      <c r="F135" s="92" t="s">
        <v>118</v>
      </c>
      <c r="G135" s="92" t="s">
        <v>119</v>
      </c>
      <c r="H135" s="92" t="s">
        <v>120</v>
      </c>
      <c r="I135" s="92" t="s">
        <v>121</v>
      </c>
      <c r="J135" s="92" t="s">
        <v>122</v>
      </c>
      <c r="K135" s="92" t="s">
        <v>123</v>
      </c>
      <c r="L135" s="92" t="s">
        <v>124</v>
      </c>
      <c r="M135" s="92" t="s">
        <v>125</v>
      </c>
      <c r="N135" s="92" t="s">
        <v>126</v>
      </c>
      <c r="O135" s="92" t="s">
        <v>127</v>
      </c>
      <c r="P135" s="92" t="s">
        <v>128</v>
      </c>
      <c r="Q135" s="92" t="s">
        <v>193</v>
      </c>
      <c r="R135" s="92" t="s">
        <v>194</v>
      </c>
      <c r="S135" s="92" t="s">
        <v>195</v>
      </c>
      <c r="T135" s="92" t="s">
        <v>196</v>
      </c>
      <c r="U135" s="92" t="s">
        <v>197</v>
      </c>
      <c r="V135" s="92" t="s">
        <v>198</v>
      </c>
      <c r="W135" s="92" t="s">
        <v>199</v>
      </c>
      <c r="X135" s="92" t="s">
        <v>200</v>
      </c>
      <c r="Y135" s="92" t="s">
        <v>201</v>
      </c>
      <c r="Z135" s="92" t="s">
        <v>202</v>
      </c>
      <c r="AA135" s="92" t="s">
        <v>203</v>
      </c>
      <c r="AB135" s="92" t="s">
        <v>204</v>
      </c>
      <c r="AC135" s="92" t="s">
        <v>205</v>
      </c>
      <c r="AD135" s="92" t="s">
        <v>206</v>
      </c>
      <c r="AE135" s="92" t="s">
        <v>207</v>
      </c>
      <c r="AF135" s="92" t="s">
        <v>208</v>
      </c>
      <c r="AG135" s="92" t="s">
        <v>209</v>
      </c>
      <c r="AH135" s="92" t="s">
        <v>210</v>
      </c>
      <c r="AI135" s="92" t="s">
        <v>211</v>
      </c>
      <c r="AJ135" s="92" t="s">
        <v>212</v>
      </c>
      <c r="AK135" s="92" t="s">
        <v>213</v>
      </c>
      <c r="AL135" s="92" t="s">
        <v>214</v>
      </c>
      <c r="AM135" s="92" t="s">
        <v>215</v>
      </c>
      <c r="AN135" s="92" t="s">
        <v>216</v>
      </c>
      <c r="AO135" s="92" t="s">
        <v>217</v>
      </c>
      <c r="AP135" s="92" t="s">
        <v>218</v>
      </c>
      <c r="AQ135" s="92" t="s">
        <v>219</v>
      </c>
      <c r="AR135" s="92" t="s">
        <v>220</v>
      </c>
      <c r="AS135" s="93" t="s">
        <v>221</v>
      </c>
    </row>
    <row r="136" spans="2:45" s="319" customFormat="1" ht="12">
      <c r="B136" s="320" t="s">
        <v>394</v>
      </c>
      <c r="C136" s="321"/>
      <c r="D136" s="228">
        <v>5.0000000000000001E-3</v>
      </c>
      <c r="E136" s="322">
        <f>'PRESUPUESTO ANUAL BASE'!C73</f>
        <v>75525</v>
      </c>
      <c r="F136" s="322">
        <f>+E136</f>
        <v>75525</v>
      </c>
      <c r="G136" s="322">
        <f>+F136/(1+$D136)</f>
        <v>75149.253731343299</v>
      </c>
      <c r="H136" s="322">
        <f t="shared" ref="H136:AS136" si="216">+G136/(1+$D136)</f>
        <v>74775.376847107764</v>
      </c>
      <c r="I136" s="322">
        <f t="shared" si="216"/>
        <v>74403.360046873408</v>
      </c>
      <c r="J136" s="322">
        <f t="shared" si="216"/>
        <v>74033.194076490967</v>
      </c>
      <c r="K136" s="322">
        <f t="shared" si="216"/>
        <v>73664.869727851721</v>
      </c>
      <c r="L136" s="322">
        <f t="shared" si="216"/>
        <v>73298.377838658431</v>
      </c>
      <c r="M136" s="322">
        <f t="shared" si="216"/>
        <v>72933.709292197454</v>
      </c>
      <c r="N136" s="322">
        <f t="shared" si="216"/>
        <v>72570.855017111899</v>
      </c>
      <c r="O136" s="322">
        <f t="shared" si="216"/>
        <v>72209.80598717602</v>
      </c>
      <c r="P136" s="322">
        <f t="shared" si="216"/>
        <v>71850.553221070673</v>
      </c>
      <c r="Q136" s="322">
        <f t="shared" si="216"/>
        <v>71493.087782159884</v>
      </c>
      <c r="R136" s="322">
        <f t="shared" si="216"/>
        <v>71137.400778268551</v>
      </c>
      <c r="S136" s="322">
        <f t="shared" si="216"/>
        <v>70783.483361461258</v>
      </c>
      <c r="T136" s="322">
        <f t="shared" si="216"/>
        <v>70431.326727822161</v>
      </c>
      <c r="U136" s="322">
        <f t="shared" si="216"/>
        <v>70080.922117235983</v>
      </c>
      <c r="V136" s="322">
        <f t="shared" si="216"/>
        <v>69732.260813170142</v>
      </c>
      <c r="W136" s="322">
        <f t="shared" si="216"/>
        <v>69385.334142457854</v>
      </c>
      <c r="X136" s="322">
        <f t="shared" si="216"/>
        <v>69040.133475082446</v>
      </c>
      <c r="Y136" s="322">
        <f t="shared" si="216"/>
        <v>68696.650223962642</v>
      </c>
      <c r="Z136" s="322">
        <f t="shared" si="216"/>
        <v>68354.875844738955</v>
      </c>
      <c r="AA136" s="322">
        <f t="shared" si="216"/>
        <v>68014.801835561157</v>
      </c>
      <c r="AB136" s="322">
        <f t="shared" si="216"/>
        <v>67676.419736876778</v>
      </c>
      <c r="AC136" s="322">
        <f t="shared" si="216"/>
        <v>67339.721131220678</v>
      </c>
      <c r="AD136" s="322">
        <f t="shared" si="216"/>
        <v>67004.697643005653</v>
      </c>
      <c r="AE136" s="322">
        <f t="shared" si="216"/>
        <v>66671.340938314082</v>
      </c>
      <c r="AF136" s="322">
        <f t="shared" si="216"/>
        <v>66339.642724690639</v>
      </c>
      <c r="AG136" s="322">
        <f t="shared" si="216"/>
        <v>66009.594750935968</v>
      </c>
      <c r="AH136" s="322">
        <f t="shared" si="216"/>
        <v>65681.188806901468</v>
      </c>
      <c r="AI136" s="322">
        <f t="shared" si="216"/>
        <v>65354.416723285052</v>
      </c>
      <c r="AJ136" s="322">
        <f t="shared" si="216"/>
        <v>65029.27037142792</v>
      </c>
      <c r="AK136" s="322">
        <f t="shared" si="216"/>
        <v>64705.741663112363</v>
      </c>
      <c r="AL136" s="322">
        <f t="shared" si="216"/>
        <v>64383.822550360564</v>
      </c>
      <c r="AM136" s="322">
        <f t="shared" si="216"/>
        <v>64063.505025234401</v>
      </c>
      <c r="AN136" s="322">
        <f t="shared" si="216"/>
        <v>63744.781119636224</v>
      </c>
      <c r="AO136" s="322">
        <f t="shared" si="216"/>
        <v>63427.642905110675</v>
      </c>
      <c r="AP136" s="322">
        <f t="shared" si="216"/>
        <v>63112.082492647445</v>
      </c>
      <c r="AQ136" s="322">
        <f t="shared" si="216"/>
        <v>62798.09203248503</v>
      </c>
      <c r="AR136" s="322">
        <f t="shared" si="216"/>
        <v>62485.663713915463</v>
      </c>
      <c r="AS136" s="323">
        <f t="shared" si="216"/>
        <v>62174.78976509002</v>
      </c>
    </row>
    <row r="137" spans="2:45" s="319" customFormat="1" ht="12">
      <c r="B137" s="320" t="s">
        <v>395</v>
      </c>
      <c r="C137" s="321"/>
      <c r="D137" s="228">
        <v>5.0000000000000001E-3</v>
      </c>
      <c r="E137" s="322">
        <f>'PRESUPUESTO ANUAL BASE'!C148</f>
        <v>56535</v>
      </c>
      <c r="F137" s="322">
        <f>+E137</f>
        <v>56535</v>
      </c>
      <c r="G137" s="322">
        <f>+F137/(1+$D137)</f>
        <v>56253.731343283587</v>
      </c>
      <c r="H137" s="322">
        <f t="shared" ref="H137:AS137" si="217">+G137/(1+$D137)</f>
        <v>55973.862033118006</v>
      </c>
      <c r="I137" s="322">
        <f t="shared" si="217"/>
        <v>55695.385107580114</v>
      </c>
      <c r="J137" s="322">
        <f t="shared" si="217"/>
        <v>55418.293639383206</v>
      </c>
      <c r="K137" s="322">
        <f t="shared" si="217"/>
        <v>55142.580735704687</v>
      </c>
      <c r="L137" s="322">
        <f t="shared" si="217"/>
        <v>54868.239538014619</v>
      </c>
      <c r="M137" s="322">
        <f t="shared" si="217"/>
        <v>54595.263221905101</v>
      </c>
      <c r="N137" s="322">
        <f t="shared" si="217"/>
        <v>54323.644996920506</v>
      </c>
      <c r="O137" s="322">
        <f t="shared" si="217"/>
        <v>54053.378106388569</v>
      </c>
      <c r="P137" s="322">
        <f t="shared" si="217"/>
        <v>53784.455827252314</v>
      </c>
      <c r="Q137" s="322">
        <f t="shared" si="217"/>
        <v>53516.871469902806</v>
      </c>
      <c r="R137" s="322">
        <f t="shared" si="217"/>
        <v>53250.618378012747</v>
      </c>
      <c r="S137" s="322">
        <f t="shared" si="217"/>
        <v>52985.689928370899</v>
      </c>
      <c r="T137" s="322">
        <f t="shared" si="217"/>
        <v>52722.079530717318</v>
      </c>
      <c r="U137" s="322">
        <f t="shared" si="217"/>
        <v>52459.780627579428</v>
      </c>
      <c r="V137" s="322">
        <f t="shared" si="217"/>
        <v>52198.786694108887</v>
      </c>
      <c r="W137" s="322">
        <f t="shared" si="217"/>
        <v>51939.091237919296</v>
      </c>
      <c r="X137" s="322">
        <f t="shared" si="217"/>
        <v>51680.687798924679</v>
      </c>
      <c r="Y137" s="322">
        <f t="shared" si="217"/>
        <v>51423.569949178789</v>
      </c>
      <c r="Z137" s="322">
        <f t="shared" si="217"/>
        <v>51167.731292715216</v>
      </c>
      <c r="AA137" s="322">
        <f t="shared" si="217"/>
        <v>50913.16546538828</v>
      </c>
      <c r="AB137" s="322">
        <f t="shared" si="217"/>
        <v>50659.866134714714</v>
      </c>
      <c r="AC137" s="322">
        <f t="shared" si="217"/>
        <v>50407.826999716141</v>
      </c>
      <c r="AD137" s="322">
        <f t="shared" si="217"/>
        <v>50157.041790762334</v>
      </c>
      <c r="AE137" s="322">
        <f t="shared" si="217"/>
        <v>49907.504269415265</v>
      </c>
      <c r="AF137" s="322">
        <f t="shared" si="217"/>
        <v>49659.208228273899</v>
      </c>
      <c r="AG137" s="322">
        <f t="shared" si="217"/>
        <v>49412.147490819807</v>
      </c>
      <c r="AH137" s="322">
        <f t="shared" si="217"/>
        <v>49166.315911263497</v>
      </c>
      <c r="AI137" s="322">
        <f t="shared" si="217"/>
        <v>48921.707374391546</v>
      </c>
      <c r="AJ137" s="322">
        <f t="shared" si="217"/>
        <v>48678.315795414477</v>
      </c>
      <c r="AK137" s="322">
        <f t="shared" si="217"/>
        <v>48436.135119815408</v>
      </c>
      <c r="AL137" s="322">
        <f t="shared" si="217"/>
        <v>48195.159323199419</v>
      </c>
      <c r="AM137" s="322">
        <f t="shared" si="217"/>
        <v>47955.382411143706</v>
      </c>
      <c r="AN137" s="322">
        <f t="shared" si="217"/>
        <v>47716.798419048471</v>
      </c>
      <c r="AO137" s="322">
        <f t="shared" si="217"/>
        <v>47479.401411988532</v>
      </c>
      <c r="AP137" s="322">
        <f t="shared" si="217"/>
        <v>47243.185484565707</v>
      </c>
      <c r="AQ137" s="322">
        <f t="shared" si="217"/>
        <v>47008.144760761905</v>
      </c>
      <c r="AR137" s="322">
        <f t="shared" si="217"/>
        <v>46774.273393792944</v>
      </c>
      <c r="AS137" s="323">
        <f t="shared" si="217"/>
        <v>46541.56556596313</v>
      </c>
    </row>
    <row r="138" spans="2:45" s="328" customFormat="1" ht="12">
      <c r="B138" s="324" t="s">
        <v>402</v>
      </c>
      <c r="C138" s="325"/>
      <c r="D138" s="236"/>
      <c r="E138" s="326">
        <f>SUM(E136:E137)</f>
        <v>132060</v>
      </c>
      <c r="F138" s="326">
        <f t="shared" ref="F138:AS138" si="218">SUM(F136:F137)</f>
        <v>132060</v>
      </c>
      <c r="G138" s="326">
        <f t="shared" si="218"/>
        <v>131402.98507462689</v>
      </c>
      <c r="H138" s="326">
        <f t="shared" si="218"/>
        <v>130749.23888022578</v>
      </c>
      <c r="I138" s="326">
        <f t="shared" si="218"/>
        <v>130098.74515445353</v>
      </c>
      <c r="J138" s="326">
        <f t="shared" si="218"/>
        <v>129451.48771587417</v>
      </c>
      <c r="K138" s="326">
        <f t="shared" si="218"/>
        <v>128807.45046355641</v>
      </c>
      <c r="L138" s="326">
        <f t="shared" si="218"/>
        <v>128166.61737667305</v>
      </c>
      <c r="M138" s="326">
        <f t="shared" si="218"/>
        <v>127528.97251410256</v>
      </c>
      <c r="N138" s="326">
        <f t="shared" si="218"/>
        <v>126894.50001403241</v>
      </c>
      <c r="O138" s="326">
        <f t="shared" si="218"/>
        <v>126263.18409356459</v>
      </c>
      <c r="P138" s="326">
        <f t="shared" si="218"/>
        <v>125635.00904832299</v>
      </c>
      <c r="Q138" s="326">
        <f t="shared" si="218"/>
        <v>125009.95925206269</v>
      </c>
      <c r="R138" s="326">
        <f t="shared" si="218"/>
        <v>124388.0191562813</v>
      </c>
      <c r="S138" s="326">
        <f t="shared" si="218"/>
        <v>123769.17328983216</v>
      </c>
      <c r="T138" s="326">
        <f t="shared" si="218"/>
        <v>123153.40625853947</v>
      </c>
      <c r="U138" s="326">
        <f t="shared" si="218"/>
        <v>122540.70274481541</v>
      </c>
      <c r="V138" s="326">
        <f t="shared" si="218"/>
        <v>121931.04750727903</v>
      </c>
      <c r="W138" s="326">
        <f t="shared" si="218"/>
        <v>121324.42538037716</v>
      </c>
      <c r="X138" s="326">
        <f t="shared" si="218"/>
        <v>120720.82127400712</v>
      </c>
      <c r="Y138" s="326">
        <f t="shared" si="218"/>
        <v>120120.22017314142</v>
      </c>
      <c r="Z138" s="326">
        <f t="shared" si="218"/>
        <v>119522.60713745418</v>
      </c>
      <c r="AA138" s="326">
        <f t="shared" si="218"/>
        <v>118927.96730094944</v>
      </c>
      <c r="AB138" s="326">
        <f t="shared" si="218"/>
        <v>118336.28587159149</v>
      </c>
      <c r="AC138" s="326">
        <f t="shared" si="218"/>
        <v>117747.54813093682</v>
      </c>
      <c r="AD138" s="326">
        <f t="shared" si="218"/>
        <v>117161.73943376799</v>
      </c>
      <c r="AE138" s="326">
        <f t="shared" si="218"/>
        <v>116578.84520772935</v>
      </c>
      <c r="AF138" s="326">
        <f t="shared" si="218"/>
        <v>115998.85095296454</v>
      </c>
      <c r="AG138" s="326">
        <f t="shared" si="218"/>
        <v>115421.74224175577</v>
      </c>
      <c r="AH138" s="326">
        <f t="shared" si="218"/>
        <v>114847.50471816497</v>
      </c>
      <c r="AI138" s="326">
        <f t="shared" si="218"/>
        <v>114276.1240976766</v>
      </c>
      <c r="AJ138" s="326">
        <f t="shared" si="218"/>
        <v>113707.5861668424</v>
      </c>
      <c r="AK138" s="326">
        <f t="shared" si="218"/>
        <v>113141.87678292778</v>
      </c>
      <c r="AL138" s="326">
        <f t="shared" si="218"/>
        <v>112578.98187355998</v>
      </c>
      <c r="AM138" s="326">
        <f t="shared" si="218"/>
        <v>112018.88743637811</v>
      </c>
      <c r="AN138" s="326">
        <f t="shared" si="218"/>
        <v>111461.57953868469</v>
      </c>
      <c r="AO138" s="326">
        <f t="shared" si="218"/>
        <v>110907.04431709921</v>
      </c>
      <c r="AP138" s="326">
        <f t="shared" si="218"/>
        <v>110355.26797721315</v>
      </c>
      <c r="AQ138" s="326">
        <f t="shared" si="218"/>
        <v>109806.23679324694</v>
      </c>
      <c r="AR138" s="326">
        <f t="shared" si="218"/>
        <v>109259.93710770841</v>
      </c>
      <c r="AS138" s="327">
        <f t="shared" si="218"/>
        <v>108716.35533105314</v>
      </c>
    </row>
    <row r="139" spans="2:45" s="319" customFormat="1" ht="12">
      <c r="B139" s="329" t="s">
        <v>396</v>
      </c>
      <c r="C139" s="321"/>
      <c r="D139" s="38" t="s">
        <v>398</v>
      </c>
      <c r="E139" s="38" t="s">
        <v>523</v>
      </c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21"/>
      <c r="AB139" s="321"/>
      <c r="AC139" s="321"/>
      <c r="AD139" s="321"/>
      <c r="AE139" s="321"/>
      <c r="AF139" s="321"/>
      <c r="AG139" s="321"/>
      <c r="AH139" s="321"/>
      <c r="AI139" s="321"/>
      <c r="AJ139" s="321"/>
      <c r="AK139" s="321"/>
      <c r="AL139" s="321"/>
      <c r="AM139" s="321"/>
      <c r="AN139" s="321"/>
      <c r="AO139" s="321"/>
      <c r="AP139" s="321"/>
      <c r="AQ139" s="321"/>
      <c r="AR139" s="321"/>
      <c r="AS139" s="330"/>
    </row>
    <row r="140" spans="2:45" s="319" customFormat="1" ht="12">
      <c r="B140" s="320" t="s">
        <v>394</v>
      </c>
      <c r="C140" s="321"/>
      <c r="D140" s="228">
        <v>0.01</v>
      </c>
      <c r="E140" s="322">
        <f>'PRESUPUESTO ANUAL BASE'!C82</f>
        <v>13800</v>
      </c>
      <c r="F140" s="322">
        <f>+E140</f>
        <v>13800</v>
      </c>
      <c r="G140" s="322">
        <f>+F140*(1+$D140)</f>
        <v>13938</v>
      </c>
      <c r="H140" s="322">
        <f t="shared" ref="H140:AS140" si="219">+G140*(1+$D140)</f>
        <v>14077.380000000001</v>
      </c>
      <c r="I140" s="322">
        <f t="shared" si="219"/>
        <v>14218.153800000002</v>
      </c>
      <c r="J140" s="322">
        <f t="shared" si="219"/>
        <v>14360.335338000003</v>
      </c>
      <c r="K140" s="322">
        <f t="shared" si="219"/>
        <v>14503.938691380003</v>
      </c>
      <c r="L140" s="322">
        <f t="shared" si="219"/>
        <v>14648.978078293803</v>
      </c>
      <c r="M140" s="322">
        <f t="shared" si="219"/>
        <v>14795.467859076742</v>
      </c>
      <c r="N140" s="322">
        <f t="shared" si="219"/>
        <v>14943.422537667509</v>
      </c>
      <c r="O140" s="322">
        <f t="shared" si="219"/>
        <v>15092.856763044185</v>
      </c>
      <c r="P140" s="322">
        <f t="shared" si="219"/>
        <v>15243.785330674627</v>
      </c>
      <c r="Q140" s="322">
        <f t="shared" si="219"/>
        <v>15396.223183981374</v>
      </c>
      <c r="R140" s="322">
        <f t="shared" si="219"/>
        <v>15550.185415821188</v>
      </c>
      <c r="S140" s="322">
        <f t="shared" si="219"/>
        <v>15705.6872699794</v>
      </c>
      <c r="T140" s="322">
        <f t="shared" si="219"/>
        <v>15862.744142679194</v>
      </c>
      <c r="U140" s="322">
        <f t="shared" si="219"/>
        <v>16021.371584105986</v>
      </c>
      <c r="V140" s="322">
        <f t="shared" si="219"/>
        <v>16181.585299947046</v>
      </c>
      <c r="W140" s="322">
        <f t="shared" si="219"/>
        <v>16343.401152946517</v>
      </c>
      <c r="X140" s="322">
        <f t="shared" si="219"/>
        <v>16506.835164475982</v>
      </c>
      <c r="Y140" s="322">
        <f t="shared" si="219"/>
        <v>16671.903516120743</v>
      </c>
      <c r="Z140" s="322">
        <f t="shared" si="219"/>
        <v>16838.622551281951</v>
      </c>
      <c r="AA140" s="322">
        <f t="shared" si="219"/>
        <v>17007.00877679477</v>
      </c>
      <c r="AB140" s="322">
        <f t="shared" si="219"/>
        <v>17177.078864562718</v>
      </c>
      <c r="AC140" s="322">
        <f t="shared" si="219"/>
        <v>17348.849653208345</v>
      </c>
      <c r="AD140" s="322">
        <f t="shared" si="219"/>
        <v>17522.33814974043</v>
      </c>
      <c r="AE140" s="322">
        <f t="shared" si="219"/>
        <v>17697.561531237836</v>
      </c>
      <c r="AF140" s="322">
        <f t="shared" si="219"/>
        <v>17874.537146550214</v>
      </c>
      <c r="AG140" s="322">
        <f t="shared" si="219"/>
        <v>18053.282518015716</v>
      </c>
      <c r="AH140" s="322">
        <f t="shared" si="219"/>
        <v>18233.815343195874</v>
      </c>
      <c r="AI140" s="322">
        <f t="shared" si="219"/>
        <v>18416.153496627834</v>
      </c>
      <c r="AJ140" s="322">
        <f t="shared" si="219"/>
        <v>18600.315031594113</v>
      </c>
      <c r="AK140" s="322">
        <f t="shared" si="219"/>
        <v>18786.318181910054</v>
      </c>
      <c r="AL140" s="322">
        <f t="shared" si="219"/>
        <v>18974.181363729156</v>
      </c>
      <c r="AM140" s="322">
        <f t="shared" si="219"/>
        <v>19163.923177366447</v>
      </c>
      <c r="AN140" s="322">
        <f t="shared" si="219"/>
        <v>19355.562409140111</v>
      </c>
      <c r="AO140" s="322">
        <f t="shared" si="219"/>
        <v>19549.118033231513</v>
      </c>
      <c r="AP140" s="322">
        <f t="shared" si="219"/>
        <v>19744.609213563828</v>
      </c>
      <c r="AQ140" s="322">
        <f t="shared" si="219"/>
        <v>19942.055305699465</v>
      </c>
      <c r="AR140" s="322">
        <f t="shared" si="219"/>
        <v>20141.475858756461</v>
      </c>
      <c r="AS140" s="323">
        <f t="shared" si="219"/>
        <v>20342.890617344026</v>
      </c>
    </row>
    <row r="141" spans="2:45" s="319" customFormat="1" ht="12">
      <c r="B141" s="320" t="s">
        <v>395</v>
      </c>
      <c r="C141" s="321"/>
      <c r="D141" s="228">
        <v>0.01</v>
      </c>
      <c r="E141" s="322">
        <f>'PRESUPUESTO ANUAL BASE'!C156</f>
        <v>11100</v>
      </c>
      <c r="F141" s="322">
        <f>+E141</f>
        <v>11100</v>
      </c>
      <c r="G141" s="322">
        <f>+F141*(1+$D141)</f>
        <v>11211</v>
      </c>
      <c r="H141" s="322">
        <f t="shared" ref="H141:AS141" si="220">+G141*(1+$D141)</f>
        <v>11323.11</v>
      </c>
      <c r="I141" s="322">
        <f t="shared" si="220"/>
        <v>11436.341100000001</v>
      </c>
      <c r="J141" s="322">
        <f t="shared" si="220"/>
        <v>11550.704511000002</v>
      </c>
      <c r="K141" s="322">
        <f t="shared" si="220"/>
        <v>11666.211556110002</v>
      </c>
      <c r="L141" s="322">
        <f t="shared" si="220"/>
        <v>11782.873671671103</v>
      </c>
      <c r="M141" s="322">
        <f t="shared" si="220"/>
        <v>11900.702408387813</v>
      </c>
      <c r="N141" s="322">
        <f t="shared" si="220"/>
        <v>12019.709432471691</v>
      </c>
      <c r="O141" s="322">
        <f t="shared" si="220"/>
        <v>12139.906526796409</v>
      </c>
      <c r="P141" s="322">
        <f t="shared" si="220"/>
        <v>12261.305592064373</v>
      </c>
      <c r="Q141" s="322">
        <f t="shared" si="220"/>
        <v>12383.918647985016</v>
      </c>
      <c r="R141" s="322">
        <f t="shared" si="220"/>
        <v>12507.757834464866</v>
      </c>
      <c r="S141" s="322">
        <f t="shared" si="220"/>
        <v>12632.835412809514</v>
      </c>
      <c r="T141" s="322">
        <f t="shared" si="220"/>
        <v>12759.163766937609</v>
      </c>
      <c r="U141" s="322">
        <f t="shared" si="220"/>
        <v>12886.755404606985</v>
      </c>
      <c r="V141" s="322">
        <f t="shared" si="220"/>
        <v>13015.622958653055</v>
      </c>
      <c r="W141" s="322">
        <f t="shared" si="220"/>
        <v>13145.779188239587</v>
      </c>
      <c r="X141" s="322">
        <f t="shared" si="220"/>
        <v>13277.236980121983</v>
      </c>
      <c r="Y141" s="322">
        <f t="shared" si="220"/>
        <v>13410.009349923203</v>
      </c>
      <c r="Z141" s="322">
        <f t="shared" si="220"/>
        <v>13544.109443422434</v>
      </c>
      <c r="AA141" s="322">
        <f t="shared" si="220"/>
        <v>13679.55053785666</v>
      </c>
      <c r="AB141" s="322">
        <f t="shared" si="220"/>
        <v>13816.346043235226</v>
      </c>
      <c r="AC141" s="322">
        <f t="shared" si="220"/>
        <v>13954.509503667578</v>
      </c>
      <c r="AD141" s="322">
        <f t="shared" si="220"/>
        <v>14094.054598704253</v>
      </c>
      <c r="AE141" s="322">
        <f t="shared" si="220"/>
        <v>14234.995144691296</v>
      </c>
      <c r="AF141" s="322">
        <f t="shared" si="220"/>
        <v>14377.34509613821</v>
      </c>
      <c r="AG141" s="322">
        <f t="shared" si="220"/>
        <v>14521.118547099592</v>
      </c>
      <c r="AH141" s="322">
        <f t="shared" si="220"/>
        <v>14666.329732570588</v>
      </c>
      <c r="AI141" s="322">
        <f t="shared" si="220"/>
        <v>14812.993029896294</v>
      </c>
      <c r="AJ141" s="322">
        <f t="shared" si="220"/>
        <v>14961.122960195256</v>
      </c>
      <c r="AK141" s="322">
        <f t="shared" si="220"/>
        <v>15110.734189797209</v>
      </c>
      <c r="AL141" s="322">
        <f t="shared" si="220"/>
        <v>15261.841531695181</v>
      </c>
      <c r="AM141" s="322">
        <f t="shared" si="220"/>
        <v>15414.459947012134</v>
      </c>
      <c r="AN141" s="322">
        <f t="shared" si="220"/>
        <v>15568.604546482255</v>
      </c>
      <c r="AO141" s="322">
        <f t="shared" si="220"/>
        <v>15724.290591947078</v>
      </c>
      <c r="AP141" s="322">
        <f t="shared" si="220"/>
        <v>15881.533497866549</v>
      </c>
      <c r="AQ141" s="322">
        <f t="shared" si="220"/>
        <v>16040.348832845215</v>
      </c>
      <c r="AR141" s="322">
        <f t="shared" si="220"/>
        <v>16200.752321173668</v>
      </c>
      <c r="AS141" s="323">
        <f t="shared" si="220"/>
        <v>16362.759844385404</v>
      </c>
    </row>
    <row r="142" spans="2:45" s="328" customFormat="1" ht="12.75" thickBot="1">
      <c r="B142" s="331" t="s">
        <v>403</v>
      </c>
      <c r="C142" s="332"/>
      <c r="D142" s="332"/>
      <c r="E142" s="333">
        <f>SUM(E140:E141)</f>
        <v>24900</v>
      </c>
      <c r="F142" s="333">
        <f t="shared" ref="F142:AS142" si="221">SUM(F140:F141)</f>
        <v>24900</v>
      </c>
      <c r="G142" s="333">
        <f t="shared" si="221"/>
        <v>25149</v>
      </c>
      <c r="H142" s="333">
        <f t="shared" si="221"/>
        <v>25400.49</v>
      </c>
      <c r="I142" s="333">
        <f t="shared" si="221"/>
        <v>25654.494900000005</v>
      </c>
      <c r="J142" s="333">
        <f t="shared" si="221"/>
        <v>25911.039849000004</v>
      </c>
      <c r="K142" s="333">
        <f t="shared" si="221"/>
        <v>26170.150247490004</v>
      </c>
      <c r="L142" s="333">
        <f t="shared" si="221"/>
        <v>26431.851749964906</v>
      </c>
      <c r="M142" s="333">
        <f t="shared" si="221"/>
        <v>26696.170267464557</v>
      </c>
      <c r="N142" s="333">
        <f t="shared" si="221"/>
        <v>26963.131970139199</v>
      </c>
      <c r="O142" s="333">
        <f t="shared" si="221"/>
        <v>27232.763289840594</v>
      </c>
      <c r="P142" s="333">
        <f t="shared" si="221"/>
        <v>27505.090922739</v>
      </c>
      <c r="Q142" s="333">
        <f t="shared" si="221"/>
        <v>27780.14183196639</v>
      </c>
      <c r="R142" s="333">
        <f t="shared" si="221"/>
        <v>28057.943250286055</v>
      </c>
      <c r="S142" s="333">
        <f t="shared" si="221"/>
        <v>28338.522682788913</v>
      </c>
      <c r="T142" s="333">
        <f t="shared" si="221"/>
        <v>28621.907909616802</v>
      </c>
      <c r="U142" s="333">
        <f t="shared" si="221"/>
        <v>28908.126988712971</v>
      </c>
      <c r="V142" s="333">
        <f t="shared" si="221"/>
        <v>29197.208258600102</v>
      </c>
      <c r="W142" s="333">
        <f t="shared" si="221"/>
        <v>29489.180341186104</v>
      </c>
      <c r="X142" s="333">
        <f t="shared" si="221"/>
        <v>29784.072144597965</v>
      </c>
      <c r="Y142" s="333">
        <f t="shared" si="221"/>
        <v>30081.912866043946</v>
      </c>
      <c r="Z142" s="333">
        <f t="shared" si="221"/>
        <v>30382.731994704387</v>
      </c>
      <c r="AA142" s="333">
        <f t="shared" si="221"/>
        <v>30686.559314651429</v>
      </c>
      <c r="AB142" s="333">
        <f t="shared" si="221"/>
        <v>30993.424907797944</v>
      </c>
      <c r="AC142" s="333">
        <f t="shared" si="221"/>
        <v>31303.359156875922</v>
      </c>
      <c r="AD142" s="333">
        <f t="shared" si="221"/>
        <v>31616.392748444683</v>
      </c>
      <c r="AE142" s="333">
        <f t="shared" si="221"/>
        <v>31932.556675929132</v>
      </c>
      <c r="AF142" s="333">
        <f t="shared" si="221"/>
        <v>32251.882242688422</v>
      </c>
      <c r="AG142" s="333">
        <f t="shared" si="221"/>
        <v>32574.401065115308</v>
      </c>
      <c r="AH142" s="333">
        <f t="shared" si="221"/>
        <v>32900.145075766464</v>
      </c>
      <c r="AI142" s="333">
        <f t="shared" si="221"/>
        <v>33229.146526524128</v>
      </c>
      <c r="AJ142" s="333">
        <f t="shared" si="221"/>
        <v>33561.437991789368</v>
      </c>
      <c r="AK142" s="333">
        <f t="shared" si="221"/>
        <v>33897.052371707265</v>
      </c>
      <c r="AL142" s="333">
        <f t="shared" si="221"/>
        <v>34236.022895424336</v>
      </c>
      <c r="AM142" s="333">
        <f t="shared" si="221"/>
        <v>34578.383124378583</v>
      </c>
      <c r="AN142" s="333">
        <f t="shared" si="221"/>
        <v>34924.166955622364</v>
      </c>
      <c r="AO142" s="333">
        <f t="shared" si="221"/>
        <v>35273.408625178592</v>
      </c>
      <c r="AP142" s="333">
        <f t="shared" si="221"/>
        <v>35626.142711430381</v>
      </c>
      <c r="AQ142" s="333">
        <f t="shared" si="221"/>
        <v>35982.404138544676</v>
      </c>
      <c r="AR142" s="333">
        <f t="shared" si="221"/>
        <v>36342.228179930127</v>
      </c>
      <c r="AS142" s="334">
        <f t="shared" si="221"/>
        <v>36705.650461729427</v>
      </c>
    </row>
    <row r="144" spans="2:45" ht="15.75" thickBot="1"/>
    <row r="145" spans="1:45" s="319" customFormat="1" ht="12">
      <c r="A145" s="335"/>
      <c r="B145" s="336" t="s">
        <v>404</v>
      </c>
      <c r="C145" s="318"/>
      <c r="D145" s="318"/>
      <c r="E145" s="91" t="s">
        <v>524</v>
      </c>
      <c r="F145" s="92" t="s">
        <v>118</v>
      </c>
      <c r="G145" s="92" t="s">
        <v>119</v>
      </c>
      <c r="H145" s="92" t="s">
        <v>120</v>
      </c>
      <c r="I145" s="92" t="s">
        <v>121</v>
      </c>
      <c r="J145" s="92" t="s">
        <v>122</v>
      </c>
      <c r="K145" s="92" t="s">
        <v>123</v>
      </c>
      <c r="L145" s="92" t="s">
        <v>124</v>
      </c>
      <c r="M145" s="92" t="s">
        <v>125</v>
      </c>
      <c r="N145" s="92" t="s">
        <v>126</v>
      </c>
      <c r="O145" s="92" t="s">
        <v>127</v>
      </c>
      <c r="P145" s="92" t="s">
        <v>128</v>
      </c>
      <c r="Q145" s="92" t="s">
        <v>193</v>
      </c>
      <c r="R145" s="92" t="s">
        <v>194</v>
      </c>
      <c r="S145" s="92" t="s">
        <v>195</v>
      </c>
      <c r="T145" s="92" t="s">
        <v>196</v>
      </c>
      <c r="U145" s="92" t="s">
        <v>197</v>
      </c>
      <c r="V145" s="92" t="s">
        <v>198</v>
      </c>
      <c r="W145" s="92" t="s">
        <v>199</v>
      </c>
      <c r="X145" s="92" t="s">
        <v>200</v>
      </c>
      <c r="Y145" s="92" t="s">
        <v>201</v>
      </c>
      <c r="Z145" s="92" t="s">
        <v>202</v>
      </c>
      <c r="AA145" s="92" t="s">
        <v>203</v>
      </c>
      <c r="AB145" s="92" t="s">
        <v>204</v>
      </c>
      <c r="AC145" s="92" t="s">
        <v>205</v>
      </c>
      <c r="AD145" s="92" t="s">
        <v>206</v>
      </c>
      <c r="AE145" s="92" t="s">
        <v>207</v>
      </c>
      <c r="AF145" s="92" t="s">
        <v>208</v>
      </c>
      <c r="AG145" s="92" t="s">
        <v>209</v>
      </c>
      <c r="AH145" s="92" t="s">
        <v>210</v>
      </c>
      <c r="AI145" s="92" t="s">
        <v>211</v>
      </c>
      <c r="AJ145" s="92" t="s">
        <v>212</v>
      </c>
      <c r="AK145" s="92" t="s">
        <v>213</v>
      </c>
      <c r="AL145" s="92" t="s">
        <v>214</v>
      </c>
      <c r="AM145" s="92" t="s">
        <v>215</v>
      </c>
      <c r="AN145" s="92" t="s">
        <v>216</v>
      </c>
      <c r="AO145" s="92" t="s">
        <v>217</v>
      </c>
      <c r="AP145" s="92" t="s">
        <v>218</v>
      </c>
      <c r="AQ145" s="92" t="s">
        <v>219</v>
      </c>
      <c r="AR145" s="92" t="s">
        <v>220</v>
      </c>
      <c r="AS145" s="93" t="s">
        <v>221</v>
      </c>
    </row>
    <row r="146" spans="1:45" s="319" customFormat="1" ht="12">
      <c r="A146" s="337"/>
      <c r="B146" s="338" t="s">
        <v>320</v>
      </c>
      <c r="C146" s="321"/>
      <c r="D146" s="321"/>
      <c r="E146" s="339">
        <f>'PRESUPUESTO ANUAL BASE'!C98+'PRESUPUESTO ANUAL BASE'!C172</f>
        <v>2850</v>
      </c>
      <c r="F146" s="339">
        <f>+E146</f>
        <v>2850</v>
      </c>
      <c r="G146" s="339">
        <f t="shared" ref="G146:AS150" si="222">+F146</f>
        <v>2850</v>
      </c>
      <c r="H146" s="339">
        <f t="shared" si="222"/>
        <v>2850</v>
      </c>
      <c r="I146" s="339">
        <f t="shared" si="222"/>
        <v>2850</v>
      </c>
      <c r="J146" s="339">
        <f t="shared" si="222"/>
        <v>2850</v>
      </c>
      <c r="K146" s="339">
        <f t="shared" si="222"/>
        <v>2850</v>
      </c>
      <c r="L146" s="339">
        <f t="shared" si="222"/>
        <v>2850</v>
      </c>
      <c r="M146" s="339">
        <f t="shared" si="222"/>
        <v>2850</v>
      </c>
      <c r="N146" s="339">
        <f t="shared" si="222"/>
        <v>2850</v>
      </c>
      <c r="O146" s="339">
        <f t="shared" si="222"/>
        <v>2850</v>
      </c>
      <c r="P146" s="339">
        <f t="shared" si="222"/>
        <v>2850</v>
      </c>
      <c r="Q146" s="339">
        <f t="shared" si="222"/>
        <v>2850</v>
      </c>
      <c r="R146" s="339">
        <f t="shared" si="222"/>
        <v>2850</v>
      </c>
      <c r="S146" s="339">
        <f t="shared" si="222"/>
        <v>2850</v>
      </c>
      <c r="T146" s="339">
        <f t="shared" si="222"/>
        <v>2850</v>
      </c>
      <c r="U146" s="339">
        <f t="shared" si="222"/>
        <v>2850</v>
      </c>
      <c r="V146" s="339">
        <f t="shared" si="222"/>
        <v>2850</v>
      </c>
      <c r="W146" s="339">
        <f t="shared" si="222"/>
        <v>2850</v>
      </c>
      <c r="X146" s="339">
        <f t="shared" si="222"/>
        <v>2850</v>
      </c>
      <c r="Y146" s="339">
        <f t="shared" si="222"/>
        <v>2850</v>
      </c>
      <c r="Z146" s="339">
        <f t="shared" si="222"/>
        <v>2850</v>
      </c>
      <c r="AA146" s="339">
        <f t="shared" si="222"/>
        <v>2850</v>
      </c>
      <c r="AB146" s="339">
        <f t="shared" si="222"/>
        <v>2850</v>
      </c>
      <c r="AC146" s="339">
        <f t="shared" si="222"/>
        <v>2850</v>
      </c>
      <c r="AD146" s="339">
        <f t="shared" si="222"/>
        <v>2850</v>
      </c>
      <c r="AE146" s="339">
        <f t="shared" si="222"/>
        <v>2850</v>
      </c>
      <c r="AF146" s="339">
        <f t="shared" si="222"/>
        <v>2850</v>
      </c>
      <c r="AG146" s="339">
        <f t="shared" si="222"/>
        <v>2850</v>
      </c>
      <c r="AH146" s="339">
        <f t="shared" si="222"/>
        <v>2850</v>
      </c>
      <c r="AI146" s="339">
        <f t="shared" si="222"/>
        <v>2850</v>
      </c>
      <c r="AJ146" s="339">
        <f t="shared" si="222"/>
        <v>2850</v>
      </c>
      <c r="AK146" s="339">
        <f t="shared" si="222"/>
        <v>2850</v>
      </c>
      <c r="AL146" s="339">
        <f t="shared" si="222"/>
        <v>2850</v>
      </c>
      <c r="AM146" s="339">
        <f t="shared" si="222"/>
        <v>2850</v>
      </c>
      <c r="AN146" s="339">
        <f t="shared" si="222"/>
        <v>2850</v>
      </c>
      <c r="AO146" s="339">
        <f t="shared" si="222"/>
        <v>2850</v>
      </c>
      <c r="AP146" s="339">
        <f t="shared" si="222"/>
        <v>2850</v>
      </c>
      <c r="AQ146" s="339">
        <f t="shared" si="222"/>
        <v>2850</v>
      </c>
      <c r="AR146" s="339">
        <f t="shared" si="222"/>
        <v>2850</v>
      </c>
      <c r="AS146" s="340">
        <f t="shared" si="222"/>
        <v>2850</v>
      </c>
    </row>
    <row r="147" spans="1:45" s="319" customFormat="1" ht="12">
      <c r="A147" s="337"/>
      <c r="B147" s="338" t="s">
        <v>367</v>
      </c>
      <c r="C147" s="321"/>
      <c r="D147" s="321"/>
      <c r="E147" s="339">
        <f>'PRESUPUESTO ANUAL BASE'!C99+'PRESUPUESTO ANUAL BASE'!C173</f>
        <v>12000</v>
      </c>
      <c r="F147" s="339">
        <f t="shared" ref="F147:U150" si="223">+E147</f>
        <v>12000</v>
      </c>
      <c r="G147" s="339">
        <f t="shared" si="223"/>
        <v>12000</v>
      </c>
      <c r="H147" s="339">
        <f t="shared" si="223"/>
        <v>12000</v>
      </c>
      <c r="I147" s="339">
        <f t="shared" si="223"/>
        <v>12000</v>
      </c>
      <c r="J147" s="339">
        <f t="shared" si="223"/>
        <v>12000</v>
      </c>
      <c r="K147" s="339">
        <f t="shared" si="223"/>
        <v>12000</v>
      </c>
      <c r="L147" s="339">
        <f t="shared" si="223"/>
        <v>12000</v>
      </c>
      <c r="M147" s="339">
        <f t="shared" si="223"/>
        <v>12000</v>
      </c>
      <c r="N147" s="339">
        <f t="shared" si="223"/>
        <v>12000</v>
      </c>
      <c r="O147" s="339">
        <f t="shared" si="223"/>
        <v>12000</v>
      </c>
      <c r="P147" s="339">
        <f t="shared" si="223"/>
        <v>12000</v>
      </c>
      <c r="Q147" s="339">
        <f t="shared" si="223"/>
        <v>12000</v>
      </c>
      <c r="R147" s="339">
        <f t="shared" si="223"/>
        <v>12000</v>
      </c>
      <c r="S147" s="339">
        <f t="shared" si="223"/>
        <v>12000</v>
      </c>
      <c r="T147" s="339">
        <f t="shared" si="223"/>
        <v>12000</v>
      </c>
      <c r="U147" s="339">
        <f t="shared" si="223"/>
        <v>12000</v>
      </c>
      <c r="V147" s="339">
        <f t="shared" si="222"/>
        <v>12000</v>
      </c>
      <c r="W147" s="339">
        <f t="shared" si="222"/>
        <v>12000</v>
      </c>
      <c r="X147" s="339">
        <f t="shared" si="222"/>
        <v>12000</v>
      </c>
      <c r="Y147" s="339">
        <f t="shared" si="222"/>
        <v>12000</v>
      </c>
      <c r="Z147" s="339">
        <f t="shared" si="222"/>
        <v>12000</v>
      </c>
      <c r="AA147" s="339">
        <f t="shared" si="222"/>
        <v>12000</v>
      </c>
      <c r="AB147" s="339">
        <f t="shared" si="222"/>
        <v>12000</v>
      </c>
      <c r="AC147" s="339">
        <f t="shared" si="222"/>
        <v>12000</v>
      </c>
      <c r="AD147" s="339">
        <f t="shared" si="222"/>
        <v>12000</v>
      </c>
      <c r="AE147" s="339">
        <f t="shared" si="222"/>
        <v>12000</v>
      </c>
      <c r="AF147" s="339">
        <f t="shared" si="222"/>
        <v>12000</v>
      </c>
      <c r="AG147" s="339">
        <f t="shared" si="222"/>
        <v>12000</v>
      </c>
      <c r="AH147" s="339">
        <f t="shared" si="222"/>
        <v>12000</v>
      </c>
      <c r="AI147" s="339">
        <f t="shared" si="222"/>
        <v>12000</v>
      </c>
      <c r="AJ147" s="339">
        <f t="shared" si="222"/>
        <v>12000</v>
      </c>
      <c r="AK147" s="339">
        <f t="shared" si="222"/>
        <v>12000</v>
      </c>
      <c r="AL147" s="339">
        <f t="shared" si="222"/>
        <v>12000</v>
      </c>
      <c r="AM147" s="339">
        <f t="shared" si="222"/>
        <v>12000</v>
      </c>
      <c r="AN147" s="339">
        <f t="shared" si="222"/>
        <v>12000</v>
      </c>
      <c r="AO147" s="339">
        <f t="shared" si="222"/>
        <v>12000</v>
      </c>
      <c r="AP147" s="339">
        <f t="shared" si="222"/>
        <v>12000</v>
      </c>
      <c r="AQ147" s="339">
        <f t="shared" si="222"/>
        <v>12000</v>
      </c>
      <c r="AR147" s="339">
        <f t="shared" si="222"/>
        <v>12000</v>
      </c>
      <c r="AS147" s="340">
        <f t="shared" si="222"/>
        <v>12000</v>
      </c>
    </row>
    <row r="148" spans="1:45" s="319" customFormat="1" ht="12">
      <c r="A148" s="337"/>
      <c r="B148" s="338" t="s">
        <v>364</v>
      </c>
      <c r="C148" s="321"/>
      <c r="D148" s="321"/>
      <c r="E148" s="339">
        <f>'PRESUPUESTO ANUAL BASE'!C100+'PRESUPUESTO ANUAL BASE'!C174</f>
        <v>12000</v>
      </c>
      <c r="F148" s="339">
        <f t="shared" si="223"/>
        <v>12000</v>
      </c>
      <c r="G148" s="339">
        <f t="shared" si="222"/>
        <v>12000</v>
      </c>
      <c r="H148" s="339">
        <f t="shared" si="222"/>
        <v>12000</v>
      </c>
      <c r="I148" s="339">
        <f t="shared" si="222"/>
        <v>12000</v>
      </c>
      <c r="J148" s="339">
        <f t="shared" si="222"/>
        <v>12000</v>
      </c>
      <c r="K148" s="339">
        <f t="shared" si="222"/>
        <v>12000</v>
      </c>
      <c r="L148" s="339">
        <f t="shared" si="222"/>
        <v>12000</v>
      </c>
      <c r="M148" s="339">
        <f t="shared" si="222"/>
        <v>12000</v>
      </c>
      <c r="N148" s="339">
        <f t="shared" si="222"/>
        <v>12000</v>
      </c>
      <c r="O148" s="339">
        <f t="shared" si="222"/>
        <v>12000</v>
      </c>
      <c r="P148" s="339">
        <f t="shared" si="222"/>
        <v>12000</v>
      </c>
      <c r="Q148" s="339">
        <f t="shared" si="222"/>
        <v>12000</v>
      </c>
      <c r="R148" s="339">
        <f t="shared" si="222"/>
        <v>12000</v>
      </c>
      <c r="S148" s="339">
        <f t="shared" si="222"/>
        <v>12000</v>
      </c>
      <c r="T148" s="339">
        <f t="shared" si="222"/>
        <v>12000</v>
      </c>
      <c r="U148" s="339">
        <f t="shared" si="222"/>
        <v>12000</v>
      </c>
      <c r="V148" s="339">
        <f t="shared" si="222"/>
        <v>12000</v>
      </c>
      <c r="W148" s="339">
        <f t="shared" si="222"/>
        <v>12000</v>
      </c>
      <c r="X148" s="339">
        <f t="shared" si="222"/>
        <v>12000</v>
      </c>
      <c r="Y148" s="339">
        <f t="shared" si="222"/>
        <v>12000</v>
      </c>
      <c r="Z148" s="339">
        <f t="shared" si="222"/>
        <v>12000</v>
      </c>
      <c r="AA148" s="339">
        <f t="shared" si="222"/>
        <v>12000</v>
      </c>
      <c r="AB148" s="339">
        <f t="shared" si="222"/>
        <v>12000</v>
      </c>
      <c r="AC148" s="339">
        <f t="shared" si="222"/>
        <v>12000</v>
      </c>
      <c r="AD148" s="339">
        <f t="shared" si="222"/>
        <v>12000</v>
      </c>
      <c r="AE148" s="339">
        <f t="shared" si="222"/>
        <v>12000</v>
      </c>
      <c r="AF148" s="339">
        <f t="shared" si="222"/>
        <v>12000</v>
      </c>
      <c r="AG148" s="339">
        <f t="shared" si="222"/>
        <v>12000</v>
      </c>
      <c r="AH148" s="339">
        <f t="shared" si="222"/>
        <v>12000</v>
      </c>
      <c r="AI148" s="339">
        <f t="shared" si="222"/>
        <v>12000</v>
      </c>
      <c r="AJ148" s="339">
        <f t="shared" si="222"/>
        <v>12000</v>
      </c>
      <c r="AK148" s="339">
        <f t="shared" si="222"/>
        <v>12000</v>
      </c>
      <c r="AL148" s="339">
        <f t="shared" si="222"/>
        <v>12000</v>
      </c>
      <c r="AM148" s="339">
        <f t="shared" si="222"/>
        <v>12000</v>
      </c>
      <c r="AN148" s="339">
        <f t="shared" si="222"/>
        <v>12000</v>
      </c>
      <c r="AO148" s="339">
        <f t="shared" si="222"/>
        <v>12000</v>
      </c>
      <c r="AP148" s="339">
        <f t="shared" si="222"/>
        <v>12000</v>
      </c>
      <c r="AQ148" s="339">
        <f t="shared" si="222"/>
        <v>12000</v>
      </c>
      <c r="AR148" s="339">
        <f t="shared" si="222"/>
        <v>12000</v>
      </c>
      <c r="AS148" s="340">
        <f t="shared" si="222"/>
        <v>12000</v>
      </c>
    </row>
    <row r="149" spans="1:45" s="319" customFormat="1" ht="12">
      <c r="A149" s="337"/>
      <c r="B149" s="341" t="s">
        <v>406</v>
      </c>
      <c r="C149" s="321"/>
      <c r="D149" s="321"/>
      <c r="E149" s="339">
        <f>'PRESUPUESTO ANUAL BASE'!C101+'PRESUPUESTO ANUAL BASE'!C175</f>
        <v>15600</v>
      </c>
      <c r="F149" s="339">
        <f t="shared" si="223"/>
        <v>15600</v>
      </c>
      <c r="G149" s="339">
        <f t="shared" si="222"/>
        <v>15600</v>
      </c>
      <c r="H149" s="339">
        <f t="shared" si="222"/>
        <v>15600</v>
      </c>
      <c r="I149" s="339">
        <f t="shared" si="222"/>
        <v>15600</v>
      </c>
      <c r="J149" s="339">
        <f t="shared" si="222"/>
        <v>15600</v>
      </c>
      <c r="K149" s="339">
        <f t="shared" si="222"/>
        <v>15600</v>
      </c>
      <c r="L149" s="339">
        <f t="shared" si="222"/>
        <v>15600</v>
      </c>
      <c r="M149" s="339">
        <f t="shared" si="222"/>
        <v>15600</v>
      </c>
      <c r="N149" s="339">
        <f t="shared" si="222"/>
        <v>15600</v>
      </c>
      <c r="O149" s="339">
        <f t="shared" si="222"/>
        <v>15600</v>
      </c>
      <c r="P149" s="339">
        <f t="shared" si="222"/>
        <v>15600</v>
      </c>
      <c r="Q149" s="339">
        <f t="shared" si="222"/>
        <v>15600</v>
      </c>
      <c r="R149" s="339">
        <f t="shared" si="222"/>
        <v>15600</v>
      </c>
      <c r="S149" s="339">
        <f t="shared" si="222"/>
        <v>15600</v>
      </c>
      <c r="T149" s="339">
        <f t="shared" si="222"/>
        <v>15600</v>
      </c>
      <c r="U149" s="339">
        <f t="shared" si="222"/>
        <v>15600</v>
      </c>
      <c r="V149" s="339">
        <f t="shared" si="222"/>
        <v>15600</v>
      </c>
      <c r="W149" s="339">
        <f t="shared" si="222"/>
        <v>15600</v>
      </c>
      <c r="X149" s="339">
        <f t="shared" si="222"/>
        <v>15600</v>
      </c>
      <c r="Y149" s="339">
        <f t="shared" si="222"/>
        <v>15600</v>
      </c>
      <c r="Z149" s="339">
        <f t="shared" si="222"/>
        <v>15600</v>
      </c>
      <c r="AA149" s="339">
        <f t="shared" si="222"/>
        <v>15600</v>
      </c>
      <c r="AB149" s="339">
        <f t="shared" si="222"/>
        <v>15600</v>
      </c>
      <c r="AC149" s="339">
        <f t="shared" si="222"/>
        <v>15600</v>
      </c>
      <c r="AD149" s="339">
        <f t="shared" si="222"/>
        <v>15600</v>
      </c>
      <c r="AE149" s="339">
        <f t="shared" si="222"/>
        <v>15600</v>
      </c>
      <c r="AF149" s="339">
        <f t="shared" si="222"/>
        <v>15600</v>
      </c>
      <c r="AG149" s="339">
        <f t="shared" si="222"/>
        <v>15600</v>
      </c>
      <c r="AH149" s="339">
        <f t="shared" si="222"/>
        <v>15600</v>
      </c>
      <c r="AI149" s="339">
        <f t="shared" si="222"/>
        <v>15600</v>
      </c>
      <c r="AJ149" s="339">
        <f t="shared" si="222"/>
        <v>15600</v>
      </c>
      <c r="AK149" s="339">
        <f t="shared" si="222"/>
        <v>15600</v>
      </c>
      <c r="AL149" s="339">
        <f t="shared" si="222"/>
        <v>15600</v>
      </c>
      <c r="AM149" s="339">
        <f t="shared" si="222"/>
        <v>15600</v>
      </c>
      <c r="AN149" s="339">
        <f t="shared" si="222"/>
        <v>15600</v>
      </c>
      <c r="AO149" s="339">
        <f t="shared" si="222"/>
        <v>15600</v>
      </c>
      <c r="AP149" s="339">
        <f t="shared" si="222"/>
        <v>15600</v>
      </c>
      <c r="AQ149" s="339">
        <f t="shared" si="222"/>
        <v>15600</v>
      </c>
      <c r="AR149" s="339">
        <f t="shared" si="222"/>
        <v>15600</v>
      </c>
      <c r="AS149" s="340">
        <f t="shared" si="222"/>
        <v>15600</v>
      </c>
    </row>
    <row r="150" spans="1:45" s="319" customFormat="1" ht="12">
      <c r="A150" s="337"/>
      <c r="B150" s="341" t="s">
        <v>407</v>
      </c>
      <c r="C150" s="321"/>
      <c r="D150" s="321"/>
      <c r="E150" s="339">
        <f>'PRESUPUESTO ANUAL BASE'!C102+'PRESUPUESTO ANUAL BASE'!C176</f>
        <v>8400</v>
      </c>
      <c r="F150" s="339">
        <f t="shared" si="223"/>
        <v>8400</v>
      </c>
      <c r="G150" s="339">
        <f t="shared" si="222"/>
        <v>8400</v>
      </c>
      <c r="H150" s="339">
        <f t="shared" si="222"/>
        <v>8400</v>
      </c>
      <c r="I150" s="339">
        <f t="shared" si="222"/>
        <v>8400</v>
      </c>
      <c r="J150" s="339">
        <f t="shared" si="222"/>
        <v>8400</v>
      </c>
      <c r="K150" s="339">
        <f t="shared" si="222"/>
        <v>8400</v>
      </c>
      <c r="L150" s="339">
        <f t="shared" si="222"/>
        <v>8400</v>
      </c>
      <c r="M150" s="339">
        <f t="shared" si="222"/>
        <v>8400</v>
      </c>
      <c r="N150" s="339">
        <f t="shared" si="222"/>
        <v>8400</v>
      </c>
      <c r="O150" s="339">
        <f t="shared" si="222"/>
        <v>8400</v>
      </c>
      <c r="P150" s="339">
        <f t="shared" si="222"/>
        <v>8400</v>
      </c>
      <c r="Q150" s="339">
        <f t="shared" si="222"/>
        <v>8400</v>
      </c>
      <c r="R150" s="339">
        <f t="shared" si="222"/>
        <v>8400</v>
      </c>
      <c r="S150" s="339">
        <f t="shared" si="222"/>
        <v>8400</v>
      </c>
      <c r="T150" s="339">
        <f t="shared" si="222"/>
        <v>8400</v>
      </c>
      <c r="U150" s="339">
        <f t="shared" si="222"/>
        <v>8400</v>
      </c>
      <c r="V150" s="339">
        <f t="shared" si="222"/>
        <v>8400</v>
      </c>
      <c r="W150" s="339">
        <f t="shared" si="222"/>
        <v>8400</v>
      </c>
      <c r="X150" s="339">
        <f t="shared" si="222"/>
        <v>8400</v>
      </c>
      <c r="Y150" s="339">
        <f t="shared" si="222"/>
        <v>8400</v>
      </c>
      <c r="Z150" s="339">
        <f t="shared" si="222"/>
        <v>8400</v>
      </c>
      <c r="AA150" s="339">
        <f t="shared" si="222"/>
        <v>8400</v>
      </c>
      <c r="AB150" s="339">
        <f t="shared" si="222"/>
        <v>8400</v>
      </c>
      <c r="AC150" s="339">
        <f t="shared" si="222"/>
        <v>8400</v>
      </c>
      <c r="AD150" s="339">
        <f t="shared" si="222"/>
        <v>8400</v>
      </c>
      <c r="AE150" s="339">
        <f t="shared" si="222"/>
        <v>8400</v>
      </c>
      <c r="AF150" s="339">
        <f t="shared" si="222"/>
        <v>8400</v>
      </c>
      <c r="AG150" s="339">
        <f t="shared" si="222"/>
        <v>8400</v>
      </c>
      <c r="AH150" s="339">
        <f t="shared" si="222"/>
        <v>8400</v>
      </c>
      <c r="AI150" s="339">
        <f t="shared" si="222"/>
        <v>8400</v>
      </c>
      <c r="AJ150" s="339">
        <f t="shared" si="222"/>
        <v>8400</v>
      </c>
      <c r="AK150" s="339">
        <f t="shared" si="222"/>
        <v>8400</v>
      </c>
      <c r="AL150" s="339">
        <f t="shared" si="222"/>
        <v>8400</v>
      </c>
      <c r="AM150" s="339">
        <f t="shared" si="222"/>
        <v>8400</v>
      </c>
      <c r="AN150" s="339">
        <f t="shared" si="222"/>
        <v>8400</v>
      </c>
      <c r="AO150" s="339">
        <f t="shared" si="222"/>
        <v>8400</v>
      </c>
      <c r="AP150" s="339">
        <f t="shared" si="222"/>
        <v>8400</v>
      </c>
      <c r="AQ150" s="339">
        <f t="shared" si="222"/>
        <v>8400</v>
      </c>
      <c r="AR150" s="339">
        <f t="shared" si="222"/>
        <v>8400</v>
      </c>
      <c r="AS150" s="340">
        <f t="shared" si="222"/>
        <v>8400</v>
      </c>
    </row>
    <row r="151" spans="1:45" s="319" customFormat="1" ht="12.75" thickBot="1">
      <c r="A151" s="335"/>
      <c r="B151" s="342" t="s">
        <v>405</v>
      </c>
      <c r="C151" s="343"/>
      <c r="D151" s="343"/>
      <c r="E151" s="344">
        <f>SUM(E146:E150)</f>
        <v>50850</v>
      </c>
      <c r="F151" s="344">
        <f t="shared" ref="F151:AS151" si="224">SUM(F146:F150)</f>
        <v>50850</v>
      </c>
      <c r="G151" s="344">
        <f t="shared" si="224"/>
        <v>50850</v>
      </c>
      <c r="H151" s="344">
        <f t="shared" si="224"/>
        <v>50850</v>
      </c>
      <c r="I151" s="344">
        <f t="shared" si="224"/>
        <v>50850</v>
      </c>
      <c r="J151" s="344">
        <f t="shared" si="224"/>
        <v>50850</v>
      </c>
      <c r="K151" s="344">
        <f t="shared" si="224"/>
        <v>50850</v>
      </c>
      <c r="L151" s="344">
        <f t="shared" si="224"/>
        <v>50850</v>
      </c>
      <c r="M151" s="344">
        <f t="shared" si="224"/>
        <v>50850</v>
      </c>
      <c r="N151" s="344">
        <f t="shared" si="224"/>
        <v>50850</v>
      </c>
      <c r="O151" s="344">
        <f t="shared" si="224"/>
        <v>50850</v>
      </c>
      <c r="P151" s="344">
        <f t="shared" si="224"/>
        <v>50850</v>
      </c>
      <c r="Q151" s="344">
        <f t="shared" si="224"/>
        <v>50850</v>
      </c>
      <c r="R151" s="344">
        <f t="shared" si="224"/>
        <v>50850</v>
      </c>
      <c r="S151" s="344">
        <f t="shared" si="224"/>
        <v>50850</v>
      </c>
      <c r="T151" s="344">
        <f t="shared" si="224"/>
        <v>50850</v>
      </c>
      <c r="U151" s="344">
        <f t="shared" si="224"/>
        <v>50850</v>
      </c>
      <c r="V151" s="344">
        <f t="shared" si="224"/>
        <v>50850</v>
      </c>
      <c r="W151" s="344">
        <f t="shared" si="224"/>
        <v>50850</v>
      </c>
      <c r="X151" s="344">
        <f t="shared" si="224"/>
        <v>50850</v>
      </c>
      <c r="Y151" s="344">
        <f t="shared" si="224"/>
        <v>50850</v>
      </c>
      <c r="Z151" s="344">
        <f t="shared" si="224"/>
        <v>50850</v>
      </c>
      <c r="AA151" s="344">
        <f t="shared" si="224"/>
        <v>50850</v>
      </c>
      <c r="AB151" s="344">
        <f t="shared" si="224"/>
        <v>50850</v>
      </c>
      <c r="AC151" s="344">
        <f t="shared" si="224"/>
        <v>50850</v>
      </c>
      <c r="AD151" s="344">
        <f t="shared" si="224"/>
        <v>50850</v>
      </c>
      <c r="AE151" s="344">
        <f t="shared" si="224"/>
        <v>50850</v>
      </c>
      <c r="AF151" s="344">
        <f t="shared" si="224"/>
        <v>50850</v>
      </c>
      <c r="AG151" s="344">
        <f t="shared" si="224"/>
        <v>50850</v>
      </c>
      <c r="AH151" s="344">
        <f t="shared" si="224"/>
        <v>50850</v>
      </c>
      <c r="AI151" s="344">
        <f t="shared" si="224"/>
        <v>50850</v>
      </c>
      <c r="AJ151" s="344">
        <f t="shared" si="224"/>
        <v>50850</v>
      </c>
      <c r="AK151" s="344">
        <f t="shared" si="224"/>
        <v>50850</v>
      </c>
      <c r="AL151" s="344">
        <f t="shared" si="224"/>
        <v>50850</v>
      </c>
      <c r="AM151" s="344">
        <f t="shared" si="224"/>
        <v>50850</v>
      </c>
      <c r="AN151" s="344">
        <f t="shared" si="224"/>
        <v>50850</v>
      </c>
      <c r="AO151" s="344">
        <f t="shared" si="224"/>
        <v>50850</v>
      </c>
      <c r="AP151" s="344">
        <f t="shared" si="224"/>
        <v>50850</v>
      </c>
      <c r="AQ151" s="344">
        <f t="shared" si="224"/>
        <v>50850</v>
      </c>
      <c r="AR151" s="344">
        <f t="shared" si="224"/>
        <v>50850</v>
      </c>
      <c r="AS151" s="345">
        <f t="shared" si="224"/>
        <v>50850</v>
      </c>
    </row>
    <row r="152" spans="1:45" hidden="1"/>
    <row r="153" spans="1:45" hidden="1"/>
    <row r="154" spans="1:45" hidden="1">
      <c r="B154" s="225" t="s">
        <v>418</v>
      </c>
    </row>
    <row r="155" spans="1:45" hidden="1">
      <c r="B155" s="29" t="s">
        <v>420</v>
      </c>
      <c r="E155" s="273">
        <f>SUM(E156:E169)</f>
        <v>61820</v>
      </c>
    </row>
    <row r="156" spans="1:45" hidden="1">
      <c r="B156" s="275" t="s">
        <v>431</v>
      </c>
      <c r="D156" s="225" t="s">
        <v>430</v>
      </c>
      <c r="E156" s="226">
        <f>'PRESUPUESTO ANUAL BASE'!C36+'PRESUPUESTO ANUAL BASE'!C27</f>
        <v>5400</v>
      </c>
    </row>
    <row r="157" spans="1:45" hidden="1">
      <c r="B157" s="275" t="s">
        <v>434</v>
      </c>
      <c r="D157" s="225" t="s">
        <v>424</v>
      </c>
      <c r="E157" s="226">
        <f>'PRESUPUESTO ANUAL BASE'!C29</f>
        <v>14400</v>
      </c>
    </row>
    <row r="158" spans="1:45" hidden="1">
      <c r="B158" s="275" t="s">
        <v>334</v>
      </c>
      <c r="D158" s="225" t="s">
        <v>425</v>
      </c>
      <c r="E158" s="226">
        <f>'PRESUPUESTO ANUAL BASE'!C28</f>
        <v>4200</v>
      </c>
    </row>
    <row r="159" spans="1:45" hidden="1">
      <c r="B159" s="275" t="s">
        <v>409</v>
      </c>
      <c r="D159" s="225" t="s">
        <v>426</v>
      </c>
      <c r="E159" s="226">
        <f>'PRESUPUESTO ANUAL BASE'!C34</f>
        <v>2150</v>
      </c>
    </row>
    <row r="160" spans="1:45" hidden="1">
      <c r="B160" s="275" t="s">
        <v>410</v>
      </c>
      <c r="D160" s="225" t="s">
        <v>427</v>
      </c>
      <c r="E160" s="226">
        <f>'PRESUPUESTO ANUAL BASE'!C37</f>
        <v>600</v>
      </c>
    </row>
    <row r="161" spans="2:5" hidden="1">
      <c r="B161" s="275" t="s">
        <v>411</v>
      </c>
      <c r="D161" s="225" t="s">
        <v>289</v>
      </c>
      <c r="E161" s="226">
        <f>'PRESUPUESTO ANUAL BASE'!C38</f>
        <v>720</v>
      </c>
    </row>
    <row r="162" spans="2:5" hidden="1">
      <c r="B162" s="275" t="s">
        <v>412</v>
      </c>
    </row>
    <row r="163" spans="2:5" hidden="1">
      <c r="B163" s="275" t="s">
        <v>413</v>
      </c>
      <c r="D163" s="225" t="s">
        <v>428</v>
      </c>
      <c r="E163" s="226">
        <f>'PRESUPUESTO ANUAL BASE'!C25</f>
        <v>9600</v>
      </c>
    </row>
    <row r="164" spans="2:5" hidden="1">
      <c r="B164" s="275" t="s">
        <v>414</v>
      </c>
      <c r="D164" s="225" t="s">
        <v>429</v>
      </c>
      <c r="E164" s="226">
        <f>'PRESUPUESTO ANUAL BASE'!C21</f>
        <v>12950</v>
      </c>
    </row>
    <row r="165" spans="2:5" hidden="1">
      <c r="B165" s="275" t="s">
        <v>415</v>
      </c>
      <c r="D165" s="225" t="s">
        <v>433</v>
      </c>
      <c r="E165" s="226">
        <f>'PRESUPUESTO ANUAL BASE'!C33+'PRESUPUESTO ANUAL BASE'!C35</f>
        <v>8100</v>
      </c>
    </row>
    <row r="166" spans="2:5" hidden="1">
      <c r="B166" s="275" t="s">
        <v>416</v>
      </c>
      <c r="D166" s="225" t="s">
        <v>336</v>
      </c>
      <c r="E166" s="226">
        <f>'PRESUPUESTO ANUAL BASE'!C30</f>
        <v>1800</v>
      </c>
    </row>
    <row r="167" spans="2:5" hidden="1">
      <c r="B167" s="275" t="s">
        <v>417</v>
      </c>
      <c r="D167" s="225" t="s">
        <v>285</v>
      </c>
      <c r="E167" s="226">
        <f>'PRESUPUESTO ANUAL BASE'!C32</f>
        <v>400</v>
      </c>
    </row>
    <row r="168" spans="2:5" hidden="1">
      <c r="B168" s="275" t="s">
        <v>417</v>
      </c>
      <c r="D168" s="225" t="s">
        <v>432</v>
      </c>
      <c r="E168" s="226">
        <f>'PRESUPUESTO ANUAL BASE'!C31</f>
        <v>900</v>
      </c>
    </row>
    <row r="169" spans="2:5" hidden="1">
      <c r="B169" s="275" t="s">
        <v>417</v>
      </c>
      <c r="D169" s="225" t="s">
        <v>338</v>
      </c>
      <c r="E169" s="226">
        <f>'PRESUPUESTO ANUAL BASE'!C39</f>
        <v>600</v>
      </c>
    </row>
    <row r="170" spans="2:5" s="29" customFormat="1" hidden="1">
      <c r="B170" s="29" t="s">
        <v>421</v>
      </c>
      <c r="E170" s="276">
        <f>SUM(E171:E184)</f>
        <v>11765</v>
      </c>
    </row>
    <row r="171" spans="2:5" hidden="1">
      <c r="B171" s="275" t="s">
        <v>431</v>
      </c>
    </row>
    <row r="172" spans="2:5" hidden="1">
      <c r="B172" s="275" t="s">
        <v>434</v>
      </c>
      <c r="D172" s="225" t="s">
        <v>435</v>
      </c>
      <c r="E172" s="226">
        <f>'PRESUPUESTO ANUAL BASE'!C119</f>
        <v>3600</v>
      </c>
    </row>
    <row r="173" spans="2:5" hidden="1">
      <c r="B173" s="275" t="s">
        <v>334</v>
      </c>
      <c r="D173" s="274" t="s">
        <v>334</v>
      </c>
      <c r="E173" s="226">
        <f>'PRESUPUESTO ANUAL BASE'!C117+'PRESUPUESTO ANUAL BASE'!C118</f>
        <v>3365</v>
      </c>
    </row>
    <row r="174" spans="2:5" hidden="1">
      <c r="B174" s="275" t="s">
        <v>409</v>
      </c>
    </row>
    <row r="175" spans="2:5" hidden="1">
      <c r="B175" s="275" t="s">
        <v>410</v>
      </c>
    </row>
    <row r="176" spans="2:5" hidden="1">
      <c r="B176" s="275" t="s">
        <v>411</v>
      </c>
      <c r="D176" s="225" t="s">
        <v>289</v>
      </c>
      <c r="E176" s="226">
        <f>'PRESUPUESTO ANUAL BASE'!C122</f>
        <v>1200</v>
      </c>
    </row>
    <row r="177" spans="2:5" hidden="1">
      <c r="B177" s="275" t="s">
        <v>412</v>
      </c>
    </row>
    <row r="178" spans="2:5" hidden="1">
      <c r="B178" s="275" t="s">
        <v>413</v>
      </c>
      <c r="D178" s="225"/>
    </row>
    <row r="179" spans="2:5" hidden="1">
      <c r="B179" s="275" t="s">
        <v>414</v>
      </c>
    </row>
    <row r="180" spans="2:5" hidden="1">
      <c r="B180" s="275" t="s">
        <v>415</v>
      </c>
      <c r="D180" s="225"/>
      <c r="E180" s="226"/>
    </row>
    <row r="181" spans="2:5" hidden="1">
      <c r="B181" s="275" t="s">
        <v>416</v>
      </c>
      <c r="D181" s="225" t="s">
        <v>436</v>
      </c>
      <c r="E181" s="226">
        <f>'PRESUPUESTO ANUAL BASE'!C120</f>
        <v>1200</v>
      </c>
    </row>
    <row r="182" spans="2:5" hidden="1">
      <c r="B182" s="275" t="s">
        <v>417</v>
      </c>
      <c r="D182" s="225"/>
    </row>
    <row r="183" spans="2:5" hidden="1">
      <c r="B183" s="275" t="s">
        <v>417</v>
      </c>
      <c r="D183" s="225" t="s">
        <v>432</v>
      </c>
      <c r="E183" s="226">
        <f>'PRESUPUESTO ANUAL BASE'!C121</f>
        <v>1800</v>
      </c>
    </row>
    <row r="184" spans="2:5" hidden="1">
      <c r="B184" s="275" t="s">
        <v>417</v>
      </c>
      <c r="D184" s="225" t="s">
        <v>338</v>
      </c>
      <c r="E184" s="226">
        <f>'PRESUPUESTO ANUAL BASE'!C123</f>
        <v>600</v>
      </c>
    </row>
    <row r="185" spans="2:5" hidden="1">
      <c r="B185" s="29" t="s">
        <v>422</v>
      </c>
      <c r="E185" s="29">
        <f>SUM(E186:E199)</f>
        <v>11345</v>
      </c>
    </row>
    <row r="186" spans="2:5" hidden="1">
      <c r="B186" s="275" t="s">
        <v>431</v>
      </c>
    </row>
    <row r="187" spans="2:5" hidden="1">
      <c r="B187" s="275" t="s">
        <v>434</v>
      </c>
      <c r="D187" s="225" t="s">
        <v>435</v>
      </c>
      <c r="E187" s="226">
        <f>'PRESUPUESTO ANUAL BASE'!C193</f>
        <v>2160</v>
      </c>
    </row>
    <row r="188" spans="2:5" hidden="1">
      <c r="B188" s="275" t="s">
        <v>334</v>
      </c>
      <c r="D188" s="274" t="s">
        <v>334</v>
      </c>
      <c r="E188" s="226">
        <f>'PRESUPUESTO ANUAL BASE'!C191+'PRESUPUESTO ANUAL BASE'!C192</f>
        <v>4265</v>
      </c>
    </row>
    <row r="189" spans="2:5" hidden="1">
      <c r="B189" s="275" t="s">
        <v>409</v>
      </c>
    </row>
    <row r="190" spans="2:5" hidden="1">
      <c r="B190" s="275" t="s">
        <v>410</v>
      </c>
    </row>
    <row r="191" spans="2:5" hidden="1">
      <c r="B191" s="275" t="s">
        <v>411</v>
      </c>
      <c r="D191" s="225" t="s">
        <v>289</v>
      </c>
      <c r="E191" s="226">
        <f>'PRESUPUESTO ANUAL BASE'!C196</f>
        <v>1200</v>
      </c>
    </row>
    <row r="192" spans="2:5" hidden="1">
      <c r="B192" s="275" t="s">
        <v>412</v>
      </c>
    </row>
    <row r="193" spans="2:45" hidden="1">
      <c r="B193" s="275" t="s">
        <v>413</v>
      </c>
      <c r="D193" s="225"/>
    </row>
    <row r="194" spans="2:45" hidden="1">
      <c r="B194" s="275" t="s">
        <v>414</v>
      </c>
    </row>
    <row r="195" spans="2:45" hidden="1">
      <c r="B195" s="275" t="s">
        <v>415</v>
      </c>
      <c r="D195" s="225"/>
    </row>
    <row r="196" spans="2:45" hidden="1">
      <c r="B196" s="275" t="s">
        <v>416</v>
      </c>
      <c r="D196" s="225" t="s">
        <v>436</v>
      </c>
      <c r="E196" s="226">
        <f>'PRESUPUESTO ANUAL BASE'!C194</f>
        <v>960</v>
      </c>
    </row>
    <row r="197" spans="2:45" hidden="1">
      <c r="B197" s="275" t="s">
        <v>417</v>
      </c>
      <c r="D197" s="225"/>
    </row>
    <row r="198" spans="2:45" hidden="1">
      <c r="B198" s="275" t="s">
        <v>417</v>
      </c>
      <c r="D198" s="225" t="s">
        <v>432</v>
      </c>
      <c r="E198" s="226">
        <f>'PRESUPUESTO ANUAL BASE'!C195</f>
        <v>2160</v>
      </c>
    </row>
    <row r="199" spans="2:45" hidden="1">
      <c r="B199" s="275" t="s">
        <v>417</v>
      </c>
      <c r="D199" s="225" t="s">
        <v>338</v>
      </c>
      <c r="E199" s="226">
        <f>'PRESUPUESTO ANUAL BASE'!C197</f>
        <v>600</v>
      </c>
    </row>
    <row r="200" spans="2:45" ht="15.75" hidden="1" thickBot="1">
      <c r="B200" s="274"/>
      <c r="D200" s="225"/>
      <c r="E200" s="226"/>
    </row>
    <row r="201" spans="2:45" s="319" customFormat="1" ht="12" hidden="1">
      <c r="B201" s="336" t="s">
        <v>521</v>
      </c>
      <c r="C201" s="321"/>
      <c r="D201" s="325" t="s">
        <v>440</v>
      </c>
      <c r="E201" s="91" t="s">
        <v>524</v>
      </c>
      <c r="F201" s="92" t="s">
        <v>118</v>
      </c>
      <c r="G201" s="92" t="s">
        <v>119</v>
      </c>
      <c r="H201" s="92" t="s">
        <v>120</v>
      </c>
      <c r="I201" s="92" t="s">
        <v>121</v>
      </c>
      <c r="J201" s="92" t="s">
        <v>122</v>
      </c>
      <c r="K201" s="92" t="s">
        <v>123</v>
      </c>
      <c r="L201" s="92" t="s">
        <v>124</v>
      </c>
      <c r="M201" s="92" t="s">
        <v>125</v>
      </c>
      <c r="N201" s="92" t="s">
        <v>126</v>
      </c>
      <c r="O201" s="92" t="s">
        <v>127</v>
      </c>
      <c r="P201" s="92" t="s">
        <v>128</v>
      </c>
      <c r="Q201" s="92" t="s">
        <v>193</v>
      </c>
      <c r="R201" s="92" t="s">
        <v>194</v>
      </c>
      <c r="S201" s="92" t="s">
        <v>195</v>
      </c>
      <c r="T201" s="92" t="s">
        <v>196</v>
      </c>
      <c r="U201" s="92" t="s">
        <v>197</v>
      </c>
      <c r="V201" s="92" t="s">
        <v>198</v>
      </c>
      <c r="W201" s="92" t="s">
        <v>199</v>
      </c>
      <c r="X201" s="92" t="s">
        <v>200</v>
      </c>
      <c r="Y201" s="92" t="s">
        <v>201</v>
      </c>
      <c r="Z201" s="92" t="s">
        <v>202</v>
      </c>
      <c r="AA201" s="92" t="s">
        <v>203</v>
      </c>
      <c r="AB201" s="92" t="s">
        <v>204</v>
      </c>
      <c r="AC201" s="92" t="s">
        <v>205</v>
      </c>
      <c r="AD201" s="92" t="s">
        <v>206</v>
      </c>
      <c r="AE201" s="92" t="s">
        <v>207</v>
      </c>
      <c r="AF201" s="92" t="s">
        <v>208</v>
      </c>
      <c r="AG201" s="92" t="s">
        <v>209</v>
      </c>
      <c r="AH201" s="92" t="s">
        <v>210</v>
      </c>
      <c r="AI201" s="92" t="s">
        <v>211</v>
      </c>
      <c r="AJ201" s="92" t="s">
        <v>212</v>
      </c>
      <c r="AK201" s="92" t="s">
        <v>213</v>
      </c>
      <c r="AL201" s="92" t="s">
        <v>214</v>
      </c>
      <c r="AM201" s="92" t="s">
        <v>215</v>
      </c>
      <c r="AN201" s="92" t="s">
        <v>216</v>
      </c>
      <c r="AO201" s="92" t="s">
        <v>217</v>
      </c>
      <c r="AP201" s="92" t="s">
        <v>218</v>
      </c>
      <c r="AQ201" s="92" t="s">
        <v>219</v>
      </c>
      <c r="AR201" s="92" t="s">
        <v>220</v>
      </c>
      <c r="AS201" s="93" t="s">
        <v>221</v>
      </c>
    </row>
    <row r="202" spans="2:45" s="319" customFormat="1" ht="12" hidden="1">
      <c r="B202" s="346" t="s">
        <v>419</v>
      </c>
      <c r="C202" s="321"/>
      <c r="D202" s="321" t="s">
        <v>437</v>
      </c>
      <c r="E202" s="339">
        <f>+E156+E171+E186</f>
        <v>5400</v>
      </c>
      <c r="F202" s="339">
        <f>+$E202</f>
        <v>5400</v>
      </c>
      <c r="G202" s="339">
        <f t="shared" ref="G202:AS208" si="225">+$E202</f>
        <v>5400</v>
      </c>
      <c r="H202" s="339">
        <f t="shared" si="225"/>
        <v>5400</v>
      </c>
      <c r="I202" s="339">
        <f t="shared" si="225"/>
        <v>5400</v>
      </c>
      <c r="J202" s="339">
        <f t="shared" si="225"/>
        <v>5400</v>
      </c>
      <c r="K202" s="339">
        <f t="shared" si="225"/>
        <v>5400</v>
      </c>
      <c r="L202" s="339">
        <f t="shared" si="225"/>
        <v>5400</v>
      </c>
      <c r="M202" s="339">
        <f t="shared" si="225"/>
        <v>5400</v>
      </c>
      <c r="N202" s="339">
        <f t="shared" si="225"/>
        <v>5400</v>
      </c>
      <c r="O202" s="339">
        <f t="shared" si="225"/>
        <v>5400</v>
      </c>
      <c r="P202" s="339">
        <f t="shared" si="225"/>
        <v>5400</v>
      </c>
      <c r="Q202" s="339">
        <f t="shared" si="225"/>
        <v>5400</v>
      </c>
      <c r="R202" s="339">
        <f t="shared" si="225"/>
        <v>5400</v>
      </c>
      <c r="S202" s="339">
        <f t="shared" si="225"/>
        <v>5400</v>
      </c>
      <c r="T202" s="339">
        <f t="shared" si="225"/>
        <v>5400</v>
      </c>
      <c r="U202" s="339">
        <f t="shared" si="225"/>
        <v>5400</v>
      </c>
      <c r="V202" s="339">
        <f t="shared" si="225"/>
        <v>5400</v>
      </c>
      <c r="W202" s="339">
        <f t="shared" si="225"/>
        <v>5400</v>
      </c>
      <c r="X202" s="339">
        <f t="shared" si="225"/>
        <v>5400</v>
      </c>
      <c r="Y202" s="339">
        <f t="shared" si="225"/>
        <v>5400</v>
      </c>
      <c r="Z202" s="339">
        <f t="shared" si="225"/>
        <v>5400</v>
      </c>
      <c r="AA202" s="339">
        <f t="shared" si="225"/>
        <v>5400</v>
      </c>
      <c r="AB202" s="339">
        <f t="shared" si="225"/>
        <v>5400</v>
      </c>
      <c r="AC202" s="339">
        <f t="shared" si="225"/>
        <v>5400</v>
      </c>
      <c r="AD202" s="339">
        <f t="shared" si="225"/>
        <v>5400</v>
      </c>
      <c r="AE202" s="339">
        <f t="shared" si="225"/>
        <v>5400</v>
      </c>
      <c r="AF202" s="339">
        <f t="shared" si="225"/>
        <v>5400</v>
      </c>
      <c r="AG202" s="339">
        <f t="shared" si="225"/>
        <v>5400</v>
      </c>
      <c r="AH202" s="339">
        <f t="shared" si="225"/>
        <v>5400</v>
      </c>
      <c r="AI202" s="339">
        <f t="shared" si="225"/>
        <v>5400</v>
      </c>
      <c r="AJ202" s="339">
        <f t="shared" si="225"/>
        <v>5400</v>
      </c>
      <c r="AK202" s="339">
        <f t="shared" si="225"/>
        <v>5400</v>
      </c>
      <c r="AL202" s="339">
        <f t="shared" si="225"/>
        <v>5400</v>
      </c>
      <c r="AM202" s="339">
        <f t="shared" si="225"/>
        <v>5400</v>
      </c>
      <c r="AN202" s="339">
        <f t="shared" si="225"/>
        <v>5400</v>
      </c>
      <c r="AO202" s="339">
        <f t="shared" si="225"/>
        <v>5400</v>
      </c>
      <c r="AP202" s="339">
        <f t="shared" si="225"/>
        <v>5400</v>
      </c>
      <c r="AQ202" s="339">
        <f t="shared" si="225"/>
        <v>5400</v>
      </c>
      <c r="AR202" s="339">
        <f t="shared" si="225"/>
        <v>5400</v>
      </c>
      <c r="AS202" s="339">
        <f t="shared" si="225"/>
        <v>5400</v>
      </c>
    </row>
    <row r="203" spans="2:45" s="319" customFormat="1" ht="12" hidden="1">
      <c r="B203" s="346" t="s">
        <v>408</v>
      </c>
      <c r="C203" s="321"/>
      <c r="D203" s="321" t="s">
        <v>424</v>
      </c>
      <c r="E203" s="339">
        <f>+E157+E172+E187</f>
        <v>20160</v>
      </c>
      <c r="F203" s="339">
        <f t="shared" ref="F203:U215" si="226">+$E203</f>
        <v>20160</v>
      </c>
      <c r="G203" s="339">
        <f t="shared" si="226"/>
        <v>20160</v>
      </c>
      <c r="H203" s="339">
        <f t="shared" si="226"/>
        <v>20160</v>
      </c>
      <c r="I203" s="339">
        <f t="shared" si="226"/>
        <v>20160</v>
      </c>
      <c r="J203" s="339">
        <f t="shared" si="226"/>
        <v>20160</v>
      </c>
      <c r="K203" s="339">
        <f t="shared" si="226"/>
        <v>20160</v>
      </c>
      <c r="L203" s="339">
        <f t="shared" si="226"/>
        <v>20160</v>
      </c>
      <c r="M203" s="339">
        <f t="shared" si="226"/>
        <v>20160</v>
      </c>
      <c r="N203" s="339">
        <f t="shared" si="226"/>
        <v>20160</v>
      </c>
      <c r="O203" s="339">
        <f t="shared" si="226"/>
        <v>20160</v>
      </c>
      <c r="P203" s="339">
        <f t="shared" si="226"/>
        <v>20160</v>
      </c>
      <c r="Q203" s="339">
        <f t="shared" si="226"/>
        <v>20160</v>
      </c>
      <c r="R203" s="339">
        <f t="shared" si="226"/>
        <v>20160</v>
      </c>
      <c r="S203" s="339">
        <f t="shared" si="226"/>
        <v>20160</v>
      </c>
      <c r="T203" s="339">
        <f t="shared" si="226"/>
        <v>20160</v>
      </c>
      <c r="U203" s="339">
        <f t="shared" si="226"/>
        <v>20160</v>
      </c>
      <c r="V203" s="339">
        <f t="shared" si="225"/>
        <v>20160</v>
      </c>
      <c r="W203" s="339">
        <f t="shared" si="225"/>
        <v>20160</v>
      </c>
      <c r="X203" s="339">
        <f t="shared" si="225"/>
        <v>20160</v>
      </c>
      <c r="Y203" s="339">
        <f t="shared" si="225"/>
        <v>20160</v>
      </c>
      <c r="Z203" s="339">
        <f t="shared" si="225"/>
        <v>20160</v>
      </c>
      <c r="AA203" s="339">
        <f t="shared" si="225"/>
        <v>20160</v>
      </c>
      <c r="AB203" s="339">
        <f t="shared" si="225"/>
        <v>20160</v>
      </c>
      <c r="AC203" s="339">
        <f t="shared" si="225"/>
        <v>20160</v>
      </c>
      <c r="AD203" s="339">
        <f t="shared" si="225"/>
        <v>20160</v>
      </c>
      <c r="AE203" s="339">
        <f t="shared" si="225"/>
        <v>20160</v>
      </c>
      <c r="AF203" s="339">
        <f t="shared" si="225"/>
        <v>20160</v>
      </c>
      <c r="AG203" s="339">
        <f t="shared" si="225"/>
        <v>20160</v>
      </c>
      <c r="AH203" s="339">
        <f t="shared" si="225"/>
        <v>20160</v>
      </c>
      <c r="AI203" s="339">
        <f t="shared" si="225"/>
        <v>20160</v>
      </c>
      <c r="AJ203" s="339">
        <f t="shared" si="225"/>
        <v>20160</v>
      </c>
      <c r="AK203" s="339">
        <f t="shared" si="225"/>
        <v>20160</v>
      </c>
      <c r="AL203" s="339">
        <f t="shared" si="225"/>
        <v>20160</v>
      </c>
      <c r="AM203" s="339">
        <f t="shared" si="225"/>
        <v>20160</v>
      </c>
      <c r="AN203" s="339">
        <f t="shared" si="225"/>
        <v>20160</v>
      </c>
      <c r="AO203" s="339">
        <f t="shared" si="225"/>
        <v>20160</v>
      </c>
      <c r="AP203" s="339">
        <f t="shared" si="225"/>
        <v>20160</v>
      </c>
      <c r="AQ203" s="339">
        <f t="shared" si="225"/>
        <v>20160</v>
      </c>
      <c r="AR203" s="339">
        <f t="shared" si="225"/>
        <v>20160</v>
      </c>
      <c r="AS203" s="339">
        <f t="shared" si="225"/>
        <v>20160</v>
      </c>
    </row>
    <row r="204" spans="2:45" s="319" customFormat="1" ht="12">
      <c r="B204" s="346" t="s">
        <v>281</v>
      </c>
      <c r="C204" s="321"/>
      <c r="D204" s="321" t="s">
        <v>425</v>
      </c>
      <c r="E204" s="339">
        <f>+E158+E173+E188</f>
        <v>11830</v>
      </c>
      <c r="F204" s="339">
        <f t="shared" si="226"/>
        <v>11830</v>
      </c>
      <c r="G204" s="339">
        <f t="shared" si="225"/>
        <v>11830</v>
      </c>
      <c r="H204" s="339">
        <f t="shared" si="225"/>
        <v>11830</v>
      </c>
      <c r="I204" s="339">
        <f t="shared" si="225"/>
        <v>11830</v>
      </c>
      <c r="J204" s="339">
        <f t="shared" si="225"/>
        <v>11830</v>
      </c>
      <c r="K204" s="339">
        <f t="shared" si="225"/>
        <v>11830</v>
      </c>
      <c r="L204" s="339">
        <f t="shared" si="225"/>
        <v>11830</v>
      </c>
      <c r="M204" s="339">
        <f t="shared" si="225"/>
        <v>11830</v>
      </c>
      <c r="N204" s="339">
        <f t="shared" si="225"/>
        <v>11830</v>
      </c>
      <c r="O204" s="339">
        <f t="shared" si="225"/>
        <v>11830</v>
      </c>
      <c r="P204" s="339">
        <f t="shared" si="225"/>
        <v>11830</v>
      </c>
      <c r="Q204" s="339">
        <f t="shared" si="225"/>
        <v>11830</v>
      </c>
      <c r="R204" s="339">
        <f t="shared" si="225"/>
        <v>11830</v>
      </c>
      <c r="S204" s="339">
        <f t="shared" si="225"/>
        <v>11830</v>
      </c>
      <c r="T204" s="339">
        <f t="shared" si="225"/>
        <v>11830</v>
      </c>
      <c r="U204" s="339">
        <f t="shared" si="225"/>
        <v>11830</v>
      </c>
      <c r="V204" s="339">
        <f t="shared" si="225"/>
        <v>11830</v>
      </c>
      <c r="W204" s="339">
        <f t="shared" si="225"/>
        <v>11830</v>
      </c>
      <c r="X204" s="339">
        <f t="shared" si="225"/>
        <v>11830</v>
      </c>
      <c r="Y204" s="339">
        <f t="shared" si="225"/>
        <v>11830</v>
      </c>
      <c r="Z204" s="339">
        <f t="shared" si="225"/>
        <v>11830</v>
      </c>
      <c r="AA204" s="339">
        <f t="shared" si="225"/>
        <v>11830</v>
      </c>
      <c r="AB204" s="339">
        <f t="shared" si="225"/>
        <v>11830</v>
      </c>
      <c r="AC204" s="339">
        <f t="shared" si="225"/>
        <v>11830</v>
      </c>
      <c r="AD204" s="339">
        <f t="shared" si="225"/>
        <v>11830</v>
      </c>
      <c r="AE204" s="339">
        <f t="shared" si="225"/>
        <v>11830</v>
      </c>
      <c r="AF204" s="339">
        <f t="shared" si="225"/>
        <v>11830</v>
      </c>
      <c r="AG204" s="339">
        <f t="shared" si="225"/>
        <v>11830</v>
      </c>
      <c r="AH204" s="339">
        <f t="shared" si="225"/>
        <v>11830</v>
      </c>
      <c r="AI204" s="339">
        <f t="shared" si="225"/>
        <v>11830</v>
      </c>
      <c r="AJ204" s="339">
        <f t="shared" si="225"/>
        <v>11830</v>
      </c>
      <c r="AK204" s="339">
        <f t="shared" si="225"/>
        <v>11830</v>
      </c>
      <c r="AL204" s="339">
        <f t="shared" si="225"/>
        <v>11830</v>
      </c>
      <c r="AM204" s="339">
        <f t="shared" si="225"/>
        <v>11830</v>
      </c>
      <c r="AN204" s="339">
        <f t="shared" si="225"/>
        <v>11830</v>
      </c>
      <c r="AO204" s="339">
        <f t="shared" si="225"/>
        <v>11830</v>
      </c>
      <c r="AP204" s="339">
        <f t="shared" si="225"/>
        <v>11830</v>
      </c>
      <c r="AQ204" s="339">
        <f t="shared" si="225"/>
        <v>11830</v>
      </c>
      <c r="AR204" s="339">
        <f t="shared" si="225"/>
        <v>11830</v>
      </c>
      <c r="AS204" s="339">
        <f t="shared" si="225"/>
        <v>11830</v>
      </c>
    </row>
    <row r="205" spans="2:45" s="319" customFormat="1" ht="12">
      <c r="B205" s="346" t="s">
        <v>409</v>
      </c>
      <c r="C205" s="321"/>
      <c r="D205" s="321" t="s">
        <v>438</v>
      </c>
      <c r="E205" s="339">
        <f t="shared" ref="E205:E215" si="227">+E159+E174+E189</f>
        <v>2150</v>
      </c>
      <c r="F205" s="339">
        <f t="shared" si="226"/>
        <v>2150</v>
      </c>
      <c r="G205" s="339">
        <f t="shared" si="225"/>
        <v>2150</v>
      </c>
      <c r="H205" s="339">
        <f t="shared" si="225"/>
        <v>2150</v>
      </c>
      <c r="I205" s="339">
        <f t="shared" si="225"/>
        <v>2150</v>
      </c>
      <c r="J205" s="339">
        <f t="shared" si="225"/>
        <v>2150</v>
      </c>
      <c r="K205" s="339">
        <f t="shared" si="225"/>
        <v>2150</v>
      </c>
      <c r="L205" s="339">
        <f t="shared" si="225"/>
        <v>2150</v>
      </c>
      <c r="M205" s="339">
        <f t="shared" si="225"/>
        <v>2150</v>
      </c>
      <c r="N205" s="339">
        <f t="shared" si="225"/>
        <v>2150</v>
      </c>
      <c r="O205" s="339">
        <f t="shared" si="225"/>
        <v>2150</v>
      </c>
      <c r="P205" s="339">
        <f t="shared" si="225"/>
        <v>2150</v>
      </c>
      <c r="Q205" s="339">
        <f t="shared" si="225"/>
        <v>2150</v>
      </c>
      <c r="R205" s="339">
        <f t="shared" si="225"/>
        <v>2150</v>
      </c>
      <c r="S205" s="339">
        <f t="shared" si="225"/>
        <v>2150</v>
      </c>
      <c r="T205" s="339">
        <f t="shared" si="225"/>
        <v>2150</v>
      </c>
      <c r="U205" s="339">
        <f t="shared" si="225"/>
        <v>2150</v>
      </c>
      <c r="V205" s="339">
        <f t="shared" si="225"/>
        <v>2150</v>
      </c>
      <c r="W205" s="339">
        <f t="shared" si="225"/>
        <v>2150</v>
      </c>
      <c r="X205" s="339">
        <f t="shared" si="225"/>
        <v>2150</v>
      </c>
      <c r="Y205" s="339">
        <f t="shared" si="225"/>
        <v>2150</v>
      </c>
      <c r="Z205" s="339">
        <f t="shared" si="225"/>
        <v>2150</v>
      </c>
      <c r="AA205" s="339">
        <f t="shared" si="225"/>
        <v>2150</v>
      </c>
      <c r="AB205" s="339">
        <f t="shared" si="225"/>
        <v>2150</v>
      </c>
      <c r="AC205" s="339">
        <f t="shared" si="225"/>
        <v>2150</v>
      </c>
      <c r="AD205" s="339">
        <f t="shared" si="225"/>
        <v>2150</v>
      </c>
      <c r="AE205" s="339">
        <f t="shared" si="225"/>
        <v>2150</v>
      </c>
      <c r="AF205" s="339">
        <f t="shared" si="225"/>
        <v>2150</v>
      </c>
      <c r="AG205" s="339">
        <f t="shared" si="225"/>
        <v>2150</v>
      </c>
      <c r="AH205" s="339">
        <f t="shared" si="225"/>
        <v>2150</v>
      </c>
      <c r="AI205" s="339">
        <f t="shared" si="225"/>
        <v>2150</v>
      </c>
      <c r="AJ205" s="339">
        <f t="shared" si="225"/>
        <v>2150</v>
      </c>
      <c r="AK205" s="339">
        <f t="shared" si="225"/>
        <v>2150</v>
      </c>
      <c r="AL205" s="339">
        <f t="shared" si="225"/>
        <v>2150</v>
      </c>
      <c r="AM205" s="339">
        <f t="shared" si="225"/>
        <v>2150</v>
      </c>
      <c r="AN205" s="339">
        <f t="shared" si="225"/>
        <v>2150</v>
      </c>
      <c r="AO205" s="339">
        <f t="shared" si="225"/>
        <v>2150</v>
      </c>
      <c r="AP205" s="339">
        <f t="shared" si="225"/>
        <v>2150</v>
      </c>
      <c r="AQ205" s="339">
        <f t="shared" si="225"/>
        <v>2150</v>
      </c>
      <c r="AR205" s="339">
        <f t="shared" si="225"/>
        <v>2150</v>
      </c>
      <c r="AS205" s="339">
        <f t="shared" si="225"/>
        <v>2150</v>
      </c>
    </row>
    <row r="206" spans="2:45" s="319" customFormat="1" ht="12">
      <c r="B206" s="346" t="s">
        <v>410</v>
      </c>
      <c r="C206" s="321"/>
      <c r="D206" s="321" t="s">
        <v>439</v>
      </c>
      <c r="E206" s="339">
        <f t="shared" si="227"/>
        <v>600</v>
      </c>
      <c r="F206" s="339">
        <f t="shared" si="226"/>
        <v>600</v>
      </c>
      <c r="G206" s="339">
        <f t="shared" si="225"/>
        <v>600</v>
      </c>
      <c r="H206" s="339">
        <f t="shared" si="225"/>
        <v>600</v>
      </c>
      <c r="I206" s="339">
        <f t="shared" si="225"/>
        <v>600</v>
      </c>
      <c r="J206" s="339">
        <f t="shared" si="225"/>
        <v>600</v>
      </c>
      <c r="K206" s="339">
        <f t="shared" si="225"/>
        <v>600</v>
      </c>
      <c r="L206" s="339">
        <f t="shared" si="225"/>
        <v>600</v>
      </c>
      <c r="M206" s="339">
        <f t="shared" si="225"/>
        <v>600</v>
      </c>
      <c r="N206" s="339">
        <f t="shared" si="225"/>
        <v>600</v>
      </c>
      <c r="O206" s="339">
        <f t="shared" si="225"/>
        <v>600</v>
      </c>
      <c r="P206" s="339">
        <f t="shared" si="225"/>
        <v>600</v>
      </c>
      <c r="Q206" s="339">
        <f t="shared" si="225"/>
        <v>600</v>
      </c>
      <c r="R206" s="339">
        <f t="shared" si="225"/>
        <v>600</v>
      </c>
      <c r="S206" s="339">
        <f t="shared" si="225"/>
        <v>600</v>
      </c>
      <c r="T206" s="339">
        <f t="shared" si="225"/>
        <v>600</v>
      </c>
      <c r="U206" s="339">
        <f t="shared" si="225"/>
        <v>600</v>
      </c>
      <c r="V206" s="339">
        <f t="shared" si="225"/>
        <v>600</v>
      </c>
      <c r="W206" s="339">
        <f t="shared" si="225"/>
        <v>600</v>
      </c>
      <c r="X206" s="339">
        <f t="shared" si="225"/>
        <v>600</v>
      </c>
      <c r="Y206" s="339">
        <f t="shared" si="225"/>
        <v>600</v>
      </c>
      <c r="Z206" s="339">
        <f t="shared" si="225"/>
        <v>600</v>
      </c>
      <c r="AA206" s="339">
        <f t="shared" si="225"/>
        <v>600</v>
      </c>
      <c r="AB206" s="339">
        <f t="shared" si="225"/>
        <v>600</v>
      </c>
      <c r="AC206" s="339">
        <f t="shared" si="225"/>
        <v>600</v>
      </c>
      <c r="AD206" s="339">
        <f t="shared" si="225"/>
        <v>600</v>
      </c>
      <c r="AE206" s="339">
        <f t="shared" si="225"/>
        <v>600</v>
      </c>
      <c r="AF206" s="339">
        <f t="shared" si="225"/>
        <v>600</v>
      </c>
      <c r="AG206" s="339">
        <f t="shared" si="225"/>
        <v>600</v>
      </c>
      <c r="AH206" s="339">
        <f t="shared" si="225"/>
        <v>600</v>
      </c>
      <c r="AI206" s="339">
        <f t="shared" si="225"/>
        <v>600</v>
      </c>
      <c r="AJ206" s="339">
        <f t="shared" si="225"/>
        <v>600</v>
      </c>
      <c r="AK206" s="339">
        <f t="shared" si="225"/>
        <v>600</v>
      </c>
      <c r="AL206" s="339">
        <f t="shared" si="225"/>
        <v>600</v>
      </c>
      <c r="AM206" s="339">
        <f t="shared" si="225"/>
        <v>600</v>
      </c>
      <c r="AN206" s="339">
        <f t="shared" si="225"/>
        <v>600</v>
      </c>
      <c r="AO206" s="339">
        <f t="shared" si="225"/>
        <v>600</v>
      </c>
      <c r="AP206" s="339">
        <f t="shared" si="225"/>
        <v>600</v>
      </c>
      <c r="AQ206" s="339">
        <f t="shared" si="225"/>
        <v>600</v>
      </c>
      <c r="AR206" s="339">
        <f t="shared" si="225"/>
        <v>600</v>
      </c>
      <c r="AS206" s="339">
        <f t="shared" si="225"/>
        <v>600</v>
      </c>
    </row>
    <row r="207" spans="2:45" s="319" customFormat="1" ht="12">
      <c r="B207" s="346" t="s">
        <v>411</v>
      </c>
      <c r="C207" s="321"/>
      <c r="D207" s="321" t="s">
        <v>289</v>
      </c>
      <c r="E207" s="339">
        <f t="shared" si="227"/>
        <v>3120</v>
      </c>
      <c r="F207" s="339">
        <f t="shared" si="226"/>
        <v>3120</v>
      </c>
      <c r="G207" s="339">
        <f t="shared" si="225"/>
        <v>3120</v>
      </c>
      <c r="H207" s="339">
        <f t="shared" si="225"/>
        <v>3120</v>
      </c>
      <c r="I207" s="339">
        <f t="shared" si="225"/>
        <v>3120</v>
      </c>
      <c r="J207" s="339">
        <f t="shared" si="225"/>
        <v>3120</v>
      </c>
      <c r="K207" s="339">
        <f t="shared" si="225"/>
        <v>3120</v>
      </c>
      <c r="L207" s="339">
        <f t="shared" si="225"/>
        <v>3120</v>
      </c>
      <c r="M207" s="339">
        <f t="shared" si="225"/>
        <v>3120</v>
      </c>
      <c r="N207" s="339">
        <f t="shared" si="225"/>
        <v>3120</v>
      </c>
      <c r="O207" s="339">
        <f t="shared" si="225"/>
        <v>3120</v>
      </c>
      <c r="P207" s="339">
        <f t="shared" si="225"/>
        <v>3120</v>
      </c>
      <c r="Q207" s="339">
        <f t="shared" si="225"/>
        <v>3120</v>
      </c>
      <c r="R207" s="339">
        <f t="shared" si="225"/>
        <v>3120</v>
      </c>
      <c r="S207" s="339">
        <f t="shared" si="225"/>
        <v>3120</v>
      </c>
      <c r="T207" s="339">
        <f t="shared" si="225"/>
        <v>3120</v>
      </c>
      <c r="U207" s="339">
        <f t="shared" si="225"/>
        <v>3120</v>
      </c>
      <c r="V207" s="339">
        <f t="shared" si="225"/>
        <v>3120</v>
      </c>
      <c r="W207" s="339">
        <f t="shared" si="225"/>
        <v>3120</v>
      </c>
      <c r="X207" s="339">
        <f t="shared" si="225"/>
        <v>3120</v>
      </c>
      <c r="Y207" s="339">
        <f t="shared" si="225"/>
        <v>3120</v>
      </c>
      <c r="Z207" s="339">
        <f t="shared" si="225"/>
        <v>3120</v>
      </c>
      <c r="AA207" s="339">
        <f t="shared" si="225"/>
        <v>3120</v>
      </c>
      <c r="AB207" s="339">
        <f t="shared" si="225"/>
        <v>3120</v>
      </c>
      <c r="AC207" s="339">
        <f t="shared" si="225"/>
        <v>3120</v>
      </c>
      <c r="AD207" s="339">
        <f t="shared" si="225"/>
        <v>3120</v>
      </c>
      <c r="AE207" s="339">
        <f t="shared" si="225"/>
        <v>3120</v>
      </c>
      <c r="AF207" s="339">
        <f t="shared" si="225"/>
        <v>3120</v>
      </c>
      <c r="AG207" s="339">
        <f t="shared" si="225"/>
        <v>3120</v>
      </c>
      <c r="AH207" s="339">
        <f t="shared" si="225"/>
        <v>3120</v>
      </c>
      <c r="AI207" s="339">
        <f t="shared" si="225"/>
        <v>3120</v>
      </c>
      <c r="AJ207" s="339">
        <f t="shared" si="225"/>
        <v>3120</v>
      </c>
      <c r="AK207" s="339">
        <f t="shared" si="225"/>
        <v>3120</v>
      </c>
      <c r="AL207" s="339">
        <f t="shared" si="225"/>
        <v>3120</v>
      </c>
      <c r="AM207" s="339">
        <f t="shared" si="225"/>
        <v>3120</v>
      </c>
      <c r="AN207" s="339">
        <f t="shared" si="225"/>
        <v>3120</v>
      </c>
      <c r="AO207" s="339">
        <f t="shared" si="225"/>
        <v>3120</v>
      </c>
      <c r="AP207" s="339">
        <f t="shared" si="225"/>
        <v>3120</v>
      </c>
      <c r="AQ207" s="339">
        <f t="shared" si="225"/>
        <v>3120</v>
      </c>
      <c r="AR207" s="339">
        <f t="shared" si="225"/>
        <v>3120</v>
      </c>
      <c r="AS207" s="339">
        <f t="shared" si="225"/>
        <v>3120</v>
      </c>
    </row>
    <row r="208" spans="2:45" s="319" customFormat="1" ht="12">
      <c r="B208" s="346" t="s">
        <v>412</v>
      </c>
      <c r="C208" s="321"/>
      <c r="D208" s="346" t="s">
        <v>412</v>
      </c>
      <c r="E208" s="339">
        <f t="shared" si="227"/>
        <v>0</v>
      </c>
      <c r="F208" s="339">
        <f t="shared" si="226"/>
        <v>0</v>
      </c>
      <c r="G208" s="339">
        <f t="shared" si="225"/>
        <v>0</v>
      </c>
      <c r="H208" s="339">
        <f t="shared" si="225"/>
        <v>0</v>
      </c>
      <c r="I208" s="339">
        <f t="shared" si="225"/>
        <v>0</v>
      </c>
      <c r="J208" s="339">
        <f t="shared" si="225"/>
        <v>0</v>
      </c>
      <c r="K208" s="339">
        <f t="shared" si="225"/>
        <v>0</v>
      </c>
      <c r="L208" s="339">
        <f t="shared" si="225"/>
        <v>0</v>
      </c>
      <c r="M208" s="339">
        <f t="shared" si="225"/>
        <v>0</v>
      </c>
      <c r="N208" s="339">
        <f t="shared" si="225"/>
        <v>0</v>
      </c>
      <c r="O208" s="339">
        <f t="shared" si="225"/>
        <v>0</v>
      </c>
      <c r="P208" s="339">
        <f t="shared" si="225"/>
        <v>0</v>
      </c>
      <c r="Q208" s="339">
        <f t="shared" si="225"/>
        <v>0</v>
      </c>
      <c r="R208" s="339">
        <f t="shared" si="225"/>
        <v>0</v>
      </c>
      <c r="S208" s="339">
        <f t="shared" si="225"/>
        <v>0</v>
      </c>
      <c r="T208" s="339">
        <f t="shared" si="225"/>
        <v>0</v>
      </c>
      <c r="U208" s="339">
        <f t="shared" si="225"/>
        <v>0</v>
      </c>
      <c r="V208" s="339">
        <f t="shared" si="225"/>
        <v>0</v>
      </c>
      <c r="W208" s="339">
        <f t="shared" si="225"/>
        <v>0</v>
      </c>
      <c r="X208" s="339">
        <f t="shared" si="225"/>
        <v>0</v>
      </c>
      <c r="Y208" s="339">
        <f t="shared" si="225"/>
        <v>0</v>
      </c>
      <c r="Z208" s="339">
        <f t="shared" si="225"/>
        <v>0</v>
      </c>
      <c r="AA208" s="339">
        <f t="shared" si="225"/>
        <v>0</v>
      </c>
      <c r="AB208" s="339">
        <f t="shared" si="225"/>
        <v>0</v>
      </c>
      <c r="AC208" s="339">
        <f t="shared" si="225"/>
        <v>0</v>
      </c>
      <c r="AD208" s="339">
        <f t="shared" si="225"/>
        <v>0</v>
      </c>
      <c r="AE208" s="339">
        <f t="shared" si="225"/>
        <v>0</v>
      </c>
      <c r="AF208" s="339">
        <f t="shared" si="225"/>
        <v>0</v>
      </c>
      <c r="AG208" s="339">
        <f t="shared" si="225"/>
        <v>0</v>
      </c>
      <c r="AH208" s="339">
        <f t="shared" si="225"/>
        <v>0</v>
      </c>
      <c r="AI208" s="339">
        <f t="shared" si="225"/>
        <v>0</v>
      </c>
      <c r="AJ208" s="339">
        <f t="shared" si="225"/>
        <v>0</v>
      </c>
      <c r="AK208" s="339">
        <f t="shared" si="225"/>
        <v>0</v>
      </c>
      <c r="AL208" s="339">
        <f t="shared" si="225"/>
        <v>0</v>
      </c>
      <c r="AM208" s="339">
        <f t="shared" si="225"/>
        <v>0</v>
      </c>
      <c r="AN208" s="339">
        <f t="shared" si="225"/>
        <v>0</v>
      </c>
      <c r="AO208" s="339">
        <f t="shared" si="225"/>
        <v>0</v>
      </c>
      <c r="AP208" s="339">
        <f t="shared" si="225"/>
        <v>0</v>
      </c>
      <c r="AQ208" s="339">
        <f t="shared" ref="G208:AS215" si="228">+$E208</f>
        <v>0</v>
      </c>
      <c r="AR208" s="339">
        <f t="shared" si="228"/>
        <v>0</v>
      </c>
      <c r="AS208" s="339">
        <f t="shared" si="228"/>
        <v>0</v>
      </c>
    </row>
    <row r="209" spans="2:45" s="319" customFormat="1" ht="12">
      <c r="B209" s="346" t="s">
        <v>413</v>
      </c>
      <c r="C209" s="321"/>
      <c r="D209" s="321" t="s">
        <v>428</v>
      </c>
      <c r="E209" s="339">
        <f>+E163+E178+E193</f>
        <v>9600</v>
      </c>
      <c r="F209" s="339">
        <f t="shared" si="226"/>
        <v>9600</v>
      </c>
      <c r="G209" s="339">
        <f t="shared" si="228"/>
        <v>9600</v>
      </c>
      <c r="H209" s="339">
        <f t="shared" si="228"/>
        <v>9600</v>
      </c>
      <c r="I209" s="339">
        <f t="shared" si="228"/>
        <v>9600</v>
      </c>
      <c r="J209" s="339">
        <f t="shared" si="228"/>
        <v>9600</v>
      </c>
      <c r="K209" s="339">
        <f t="shared" si="228"/>
        <v>9600</v>
      </c>
      <c r="L209" s="339">
        <f t="shared" si="228"/>
        <v>9600</v>
      </c>
      <c r="M209" s="339">
        <f t="shared" si="228"/>
        <v>9600</v>
      </c>
      <c r="N209" s="339">
        <f t="shared" si="228"/>
        <v>9600</v>
      </c>
      <c r="O209" s="339">
        <f t="shared" si="228"/>
        <v>9600</v>
      </c>
      <c r="P209" s="339">
        <f t="shared" si="228"/>
        <v>9600</v>
      </c>
      <c r="Q209" s="339">
        <f t="shared" si="228"/>
        <v>9600</v>
      </c>
      <c r="R209" s="339">
        <f t="shared" si="228"/>
        <v>9600</v>
      </c>
      <c r="S209" s="339">
        <f t="shared" si="228"/>
        <v>9600</v>
      </c>
      <c r="T209" s="339">
        <f t="shared" si="228"/>
        <v>9600</v>
      </c>
      <c r="U209" s="339">
        <f t="shared" si="228"/>
        <v>9600</v>
      </c>
      <c r="V209" s="339">
        <f t="shared" si="228"/>
        <v>9600</v>
      </c>
      <c r="W209" s="339">
        <f t="shared" si="228"/>
        <v>9600</v>
      </c>
      <c r="X209" s="339">
        <f t="shared" si="228"/>
        <v>9600</v>
      </c>
      <c r="Y209" s="339">
        <f t="shared" si="228"/>
        <v>9600</v>
      </c>
      <c r="Z209" s="339">
        <f t="shared" si="228"/>
        <v>9600</v>
      </c>
      <c r="AA209" s="339">
        <f t="shared" si="228"/>
        <v>9600</v>
      </c>
      <c r="AB209" s="339">
        <f t="shared" si="228"/>
        <v>9600</v>
      </c>
      <c r="AC209" s="339">
        <f t="shared" si="228"/>
        <v>9600</v>
      </c>
      <c r="AD209" s="339">
        <f t="shared" si="228"/>
        <v>9600</v>
      </c>
      <c r="AE209" s="339">
        <f t="shared" si="228"/>
        <v>9600</v>
      </c>
      <c r="AF209" s="339">
        <f t="shared" si="228"/>
        <v>9600</v>
      </c>
      <c r="AG209" s="339">
        <f t="shared" si="228"/>
        <v>9600</v>
      </c>
      <c r="AH209" s="339">
        <f t="shared" si="228"/>
        <v>9600</v>
      </c>
      <c r="AI209" s="339">
        <f t="shared" si="228"/>
        <v>9600</v>
      </c>
      <c r="AJ209" s="339">
        <f t="shared" si="228"/>
        <v>9600</v>
      </c>
      <c r="AK209" s="339">
        <f t="shared" si="228"/>
        <v>9600</v>
      </c>
      <c r="AL209" s="339">
        <f t="shared" si="228"/>
        <v>9600</v>
      </c>
      <c r="AM209" s="339">
        <f t="shared" si="228"/>
        <v>9600</v>
      </c>
      <c r="AN209" s="339">
        <f t="shared" si="228"/>
        <v>9600</v>
      </c>
      <c r="AO209" s="339">
        <f t="shared" si="228"/>
        <v>9600</v>
      </c>
      <c r="AP209" s="339">
        <f t="shared" si="228"/>
        <v>9600</v>
      </c>
      <c r="AQ209" s="339">
        <f t="shared" si="228"/>
        <v>9600</v>
      </c>
      <c r="AR209" s="339">
        <f t="shared" si="228"/>
        <v>9600</v>
      </c>
      <c r="AS209" s="339">
        <f t="shared" si="228"/>
        <v>9600</v>
      </c>
    </row>
    <row r="210" spans="2:45" s="319" customFormat="1" ht="12">
      <c r="B210" s="346" t="s">
        <v>414</v>
      </c>
      <c r="C210" s="321"/>
      <c r="D210" s="321" t="s">
        <v>429</v>
      </c>
      <c r="E210" s="339">
        <f t="shared" si="227"/>
        <v>12950</v>
      </c>
      <c r="F210" s="339">
        <f t="shared" si="226"/>
        <v>12950</v>
      </c>
      <c r="G210" s="339">
        <f t="shared" si="228"/>
        <v>12950</v>
      </c>
      <c r="H210" s="339">
        <f t="shared" si="228"/>
        <v>12950</v>
      </c>
      <c r="I210" s="339">
        <f t="shared" si="228"/>
        <v>12950</v>
      </c>
      <c r="J210" s="339">
        <f t="shared" si="228"/>
        <v>12950</v>
      </c>
      <c r="K210" s="339">
        <f t="shared" si="228"/>
        <v>12950</v>
      </c>
      <c r="L210" s="339">
        <f t="shared" si="228"/>
        <v>12950</v>
      </c>
      <c r="M210" s="339">
        <f t="shared" si="228"/>
        <v>12950</v>
      </c>
      <c r="N210" s="339">
        <f t="shared" si="228"/>
        <v>12950</v>
      </c>
      <c r="O210" s="339">
        <f t="shared" si="228"/>
        <v>12950</v>
      </c>
      <c r="P210" s="339">
        <f t="shared" si="228"/>
        <v>12950</v>
      </c>
      <c r="Q210" s="339">
        <f t="shared" si="228"/>
        <v>12950</v>
      </c>
      <c r="R210" s="339">
        <f t="shared" si="228"/>
        <v>12950</v>
      </c>
      <c r="S210" s="339">
        <f t="shared" si="228"/>
        <v>12950</v>
      </c>
      <c r="T210" s="339">
        <f t="shared" si="228"/>
        <v>12950</v>
      </c>
      <c r="U210" s="339">
        <f t="shared" si="228"/>
        <v>12950</v>
      </c>
      <c r="V210" s="339">
        <f t="shared" si="228"/>
        <v>12950</v>
      </c>
      <c r="W210" s="339">
        <f t="shared" si="228"/>
        <v>12950</v>
      </c>
      <c r="X210" s="339">
        <f t="shared" si="228"/>
        <v>12950</v>
      </c>
      <c r="Y210" s="339">
        <f t="shared" si="228"/>
        <v>12950</v>
      </c>
      <c r="Z210" s="339">
        <f t="shared" si="228"/>
        <v>12950</v>
      </c>
      <c r="AA210" s="339">
        <f t="shared" si="228"/>
        <v>12950</v>
      </c>
      <c r="AB210" s="339">
        <f t="shared" si="228"/>
        <v>12950</v>
      </c>
      <c r="AC210" s="339">
        <f t="shared" si="228"/>
        <v>12950</v>
      </c>
      <c r="AD210" s="339">
        <f t="shared" si="228"/>
        <v>12950</v>
      </c>
      <c r="AE210" s="339">
        <f t="shared" si="228"/>
        <v>12950</v>
      </c>
      <c r="AF210" s="339">
        <f t="shared" si="228"/>
        <v>12950</v>
      </c>
      <c r="AG210" s="339">
        <f t="shared" si="228"/>
        <v>12950</v>
      </c>
      <c r="AH210" s="339">
        <f t="shared" si="228"/>
        <v>12950</v>
      </c>
      <c r="AI210" s="339">
        <f t="shared" si="228"/>
        <v>12950</v>
      </c>
      <c r="AJ210" s="339">
        <f t="shared" si="228"/>
        <v>12950</v>
      </c>
      <c r="AK210" s="339">
        <f t="shared" si="228"/>
        <v>12950</v>
      </c>
      <c r="AL210" s="339">
        <f t="shared" si="228"/>
        <v>12950</v>
      </c>
      <c r="AM210" s="339">
        <f t="shared" si="228"/>
        <v>12950</v>
      </c>
      <c r="AN210" s="339">
        <f t="shared" si="228"/>
        <v>12950</v>
      </c>
      <c r="AO210" s="339">
        <f t="shared" si="228"/>
        <v>12950</v>
      </c>
      <c r="AP210" s="339">
        <f t="shared" si="228"/>
        <v>12950</v>
      </c>
      <c r="AQ210" s="339">
        <f t="shared" si="228"/>
        <v>12950</v>
      </c>
      <c r="AR210" s="339">
        <f t="shared" si="228"/>
        <v>12950</v>
      </c>
      <c r="AS210" s="339">
        <f t="shared" si="228"/>
        <v>12950</v>
      </c>
    </row>
    <row r="211" spans="2:45" s="319" customFormat="1" ht="12">
      <c r="B211" s="346" t="s">
        <v>415</v>
      </c>
      <c r="C211" s="321"/>
      <c r="D211" s="321" t="s">
        <v>433</v>
      </c>
      <c r="E211" s="339">
        <f t="shared" si="227"/>
        <v>8100</v>
      </c>
      <c r="F211" s="339">
        <f t="shared" si="226"/>
        <v>8100</v>
      </c>
      <c r="G211" s="339">
        <f t="shared" si="228"/>
        <v>8100</v>
      </c>
      <c r="H211" s="339">
        <f t="shared" si="228"/>
        <v>8100</v>
      </c>
      <c r="I211" s="339">
        <f t="shared" si="228"/>
        <v>8100</v>
      </c>
      <c r="J211" s="339">
        <f t="shared" si="228"/>
        <v>8100</v>
      </c>
      <c r="K211" s="339">
        <f t="shared" si="228"/>
        <v>8100</v>
      </c>
      <c r="L211" s="339">
        <f t="shared" si="228"/>
        <v>8100</v>
      </c>
      <c r="M211" s="339">
        <f t="shared" si="228"/>
        <v>8100</v>
      </c>
      <c r="N211" s="339">
        <f t="shared" si="228"/>
        <v>8100</v>
      </c>
      <c r="O211" s="339">
        <f t="shared" si="228"/>
        <v>8100</v>
      </c>
      <c r="P211" s="339">
        <f t="shared" si="228"/>
        <v>8100</v>
      </c>
      <c r="Q211" s="339">
        <f t="shared" si="228"/>
        <v>8100</v>
      </c>
      <c r="R211" s="339">
        <f t="shared" si="228"/>
        <v>8100</v>
      </c>
      <c r="S211" s="339">
        <f t="shared" si="228"/>
        <v>8100</v>
      </c>
      <c r="T211" s="339">
        <f t="shared" si="228"/>
        <v>8100</v>
      </c>
      <c r="U211" s="339">
        <f t="shared" si="228"/>
        <v>8100</v>
      </c>
      <c r="V211" s="339">
        <f t="shared" si="228"/>
        <v>8100</v>
      </c>
      <c r="W211" s="339">
        <f t="shared" si="228"/>
        <v>8100</v>
      </c>
      <c r="X211" s="339">
        <f t="shared" si="228"/>
        <v>8100</v>
      </c>
      <c r="Y211" s="339">
        <f t="shared" si="228"/>
        <v>8100</v>
      </c>
      <c r="Z211" s="339">
        <f t="shared" si="228"/>
        <v>8100</v>
      </c>
      <c r="AA211" s="339">
        <f t="shared" si="228"/>
        <v>8100</v>
      </c>
      <c r="AB211" s="339">
        <f t="shared" si="228"/>
        <v>8100</v>
      </c>
      <c r="AC211" s="339">
        <f t="shared" si="228"/>
        <v>8100</v>
      </c>
      <c r="AD211" s="339">
        <f t="shared" si="228"/>
        <v>8100</v>
      </c>
      <c r="AE211" s="339">
        <f t="shared" si="228"/>
        <v>8100</v>
      </c>
      <c r="AF211" s="339">
        <f t="shared" si="228"/>
        <v>8100</v>
      </c>
      <c r="AG211" s="339">
        <f t="shared" si="228"/>
        <v>8100</v>
      </c>
      <c r="AH211" s="339">
        <f t="shared" si="228"/>
        <v>8100</v>
      </c>
      <c r="AI211" s="339">
        <f t="shared" si="228"/>
        <v>8100</v>
      </c>
      <c r="AJ211" s="339">
        <f t="shared" si="228"/>
        <v>8100</v>
      </c>
      <c r="AK211" s="339">
        <f t="shared" si="228"/>
        <v>8100</v>
      </c>
      <c r="AL211" s="339">
        <f t="shared" si="228"/>
        <v>8100</v>
      </c>
      <c r="AM211" s="339">
        <f t="shared" si="228"/>
        <v>8100</v>
      </c>
      <c r="AN211" s="339">
        <f t="shared" si="228"/>
        <v>8100</v>
      </c>
      <c r="AO211" s="339">
        <f t="shared" si="228"/>
        <v>8100</v>
      </c>
      <c r="AP211" s="339">
        <f t="shared" si="228"/>
        <v>8100</v>
      </c>
      <c r="AQ211" s="339">
        <f t="shared" si="228"/>
        <v>8100</v>
      </c>
      <c r="AR211" s="339">
        <f t="shared" si="228"/>
        <v>8100</v>
      </c>
      <c r="AS211" s="339">
        <f t="shared" si="228"/>
        <v>8100</v>
      </c>
    </row>
    <row r="212" spans="2:45" s="319" customFormat="1" ht="12">
      <c r="B212" s="346" t="s">
        <v>416</v>
      </c>
      <c r="C212" s="321"/>
      <c r="D212" s="321" t="s">
        <v>336</v>
      </c>
      <c r="E212" s="339">
        <f t="shared" si="227"/>
        <v>3960</v>
      </c>
      <c r="F212" s="339">
        <f t="shared" si="226"/>
        <v>3960</v>
      </c>
      <c r="G212" s="339">
        <f t="shared" si="228"/>
        <v>3960</v>
      </c>
      <c r="H212" s="339">
        <f t="shared" si="228"/>
        <v>3960</v>
      </c>
      <c r="I212" s="339">
        <f t="shared" si="228"/>
        <v>3960</v>
      </c>
      <c r="J212" s="339">
        <f t="shared" si="228"/>
        <v>3960</v>
      </c>
      <c r="K212" s="339">
        <f t="shared" si="228"/>
        <v>3960</v>
      </c>
      <c r="L212" s="339">
        <f t="shared" si="228"/>
        <v>3960</v>
      </c>
      <c r="M212" s="339">
        <f t="shared" si="228"/>
        <v>3960</v>
      </c>
      <c r="N212" s="339">
        <f t="shared" si="228"/>
        <v>3960</v>
      </c>
      <c r="O212" s="339">
        <f t="shared" si="228"/>
        <v>3960</v>
      </c>
      <c r="P212" s="339">
        <f t="shared" si="228"/>
        <v>3960</v>
      </c>
      <c r="Q212" s="339">
        <f t="shared" si="228"/>
        <v>3960</v>
      </c>
      <c r="R212" s="339">
        <f t="shared" si="228"/>
        <v>3960</v>
      </c>
      <c r="S212" s="339">
        <f t="shared" si="228"/>
        <v>3960</v>
      </c>
      <c r="T212" s="339">
        <f t="shared" si="228"/>
        <v>3960</v>
      </c>
      <c r="U212" s="339">
        <f t="shared" si="228"/>
        <v>3960</v>
      </c>
      <c r="V212" s="339">
        <f t="shared" si="228"/>
        <v>3960</v>
      </c>
      <c r="W212" s="339">
        <f t="shared" si="228"/>
        <v>3960</v>
      </c>
      <c r="X212" s="339">
        <f t="shared" si="228"/>
        <v>3960</v>
      </c>
      <c r="Y212" s="339">
        <f t="shared" si="228"/>
        <v>3960</v>
      </c>
      <c r="Z212" s="339">
        <f t="shared" si="228"/>
        <v>3960</v>
      </c>
      <c r="AA212" s="339">
        <f t="shared" si="228"/>
        <v>3960</v>
      </c>
      <c r="AB212" s="339">
        <f t="shared" si="228"/>
        <v>3960</v>
      </c>
      <c r="AC212" s="339">
        <f t="shared" si="228"/>
        <v>3960</v>
      </c>
      <c r="AD212" s="339">
        <f t="shared" si="228"/>
        <v>3960</v>
      </c>
      <c r="AE212" s="339">
        <f t="shared" si="228"/>
        <v>3960</v>
      </c>
      <c r="AF212" s="339">
        <f t="shared" si="228"/>
        <v>3960</v>
      </c>
      <c r="AG212" s="339">
        <f t="shared" si="228"/>
        <v>3960</v>
      </c>
      <c r="AH212" s="339">
        <f t="shared" si="228"/>
        <v>3960</v>
      </c>
      <c r="AI212" s="339">
        <f t="shared" si="228"/>
        <v>3960</v>
      </c>
      <c r="AJ212" s="339">
        <f t="shared" si="228"/>
        <v>3960</v>
      </c>
      <c r="AK212" s="339">
        <f t="shared" si="228"/>
        <v>3960</v>
      </c>
      <c r="AL212" s="339">
        <f t="shared" si="228"/>
        <v>3960</v>
      </c>
      <c r="AM212" s="339">
        <f t="shared" si="228"/>
        <v>3960</v>
      </c>
      <c r="AN212" s="339">
        <f t="shared" si="228"/>
        <v>3960</v>
      </c>
      <c r="AO212" s="339">
        <f t="shared" si="228"/>
        <v>3960</v>
      </c>
      <c r="AP212" s="339">
        <f t="shared" si="228"/>
        <v>3960</v>
      </c>
      <c r="AQ212" s="339">
        <f t="shared" si="228"/>
        <v>3960</v>
      </c>
      <c r="AR212" s="339">
        <f t="shared" si="228"/>
        <v>3960</v>
      </c>
      <c r="AS212" s="339">
        <f t="shared" si="228"/>
        <v>3960</v>
      </c>
    </row>
    <row r="213" spans="2:45" s="319" customFormat="1" ht="12">
      <c r="B213" s="346" t="s">
        <v>417</v>
      </c>
      <c r="C213" s="321"/>
      <c r="D213" s="321" t="s">
        <v>285</v>
      </c>
      <c r="E213" s="339">
        <f t="shared" si="227"/>
        <v>400</v>
      </c>
      <c r="F213" s="339">
        <f t="shared" si="226"/>
        <v>400</v>
      </c>
      <c r="G213" s="339">
        <f t="shared" si="228"/>
        <v>400</v>
      </c>
      <c r="H213" s="339">
        <f t="shared" si="228"/>
        <v>400</v>
      </c>
      <c r="I213" s="339">
        <f t="shared" si="228"/>
        <v>400</v>
      </c>
      <c r="J213" s="339">
        <f t="shared" si="228"/>
        <v>400</v>
      </c>
      <c r="K213" s="339">
        <f t="shared" si="228"/>
        <v>400</v>
      </c>
      <c r="L213" s="339">
        <f t="shared" si="228"/>
        <v>400</v>
      </c>
      <c r="M213" s="339">
        <f t="shared" si="228"/>
        <v>400</v>
      </c>
      <c r="N213" s="339">
        <f t="shared" si="228"/>
        <v>400</v>
      </c>
      <c r="O213" s="339">
        <f t="shared" si="228"/>
        <v>400</v>
      </c>
      <c r="P213" s="339">
        <f t="shared" si="228"/>
        <v>400</v>
      </c>
      <c r="Q213" s="339">
        <f t="shared" si="228"/>
        <v>400</v>
      </c>
      <c r="R213" s="339">
        <f t="shared" si="228"/>
        <v>400</v>
      </c>
      <c r="S213" s="339">
        <f t="shared" si="228"/>
        <v>400</v>
      </c>
      <c r="T213" s="339">
        <f t="shared" si="228"/>
        <v>400</v>
      </c>
      <c r="U213" s="339">
        <f t="shared" si="228"/>
        <v>400</v>
      </c>
      <c r="V213" s="339">
        <f t="shared" si="228"/>
        <v>400</v>
      </c>
      <c r="W213" s="339">
        <f t="shared" si="228"/>
        <v>400</v>
      </c>
      <c r="X213" s="339">
        <f t="shared" si="228"/>
        <v>400</v>
      </c>
      <c r="Y213" s="339">
        <f t="shared" si="228"/>
        <v>400</v>
      </c>
      <c r="Z213" s="339">
        <f t="shared" si="228"/>
        <v>400</v>
      </c>
      <c r="AA213" s="339">
        <f t="shared" si="228"/>
        <v>400</v>
      </c>
      <c r="AB213" s="339">
        <f t="shared" si="228"/>
        <v>400</v>
      </c>
      <c r="AC213" s="339">
        <f t="shared" si="228"/>
        <v>400</v>
      </c>
      <c r="AD213" s="339">
        <f t="shared" si="228"/>
        <v>400</v>
      </c>
      <c r="AE213" s="339">
        <f t="shared" si="228"/>
        <v>400</v>
      </c>
      <c r="AF213" s="339">
        <f t="shared" si="228"/>
        <v>400</v>
      </c>
      <c r="AG213" s="339">
        <f t="shared" si="228"/>
        <v>400</v>
      </c>
      <c r="AH213" s="339">
        <f t="shared" si="228"/>
        <v>400</v>
      </c>
      <c r="AI213" s="339">
        <f t="shared" si="228"/>
        <v>400</v>
      </c>
      <c r="AJ213" s="339">
        <f t="shared" si="228"/>
        <v>400</v>
      </c>
      <c r="AK213" s="339">
        <f t="shared" si="228"/>
        <v>400</v>
      </c>
      <c r="AL213" s="339">
        <f t="shared" si="228"/>
        <v>400</v>
      </c>
      <c r="AM213" s="339">
        <f t="shared" si="228"/>
        <v>400</v>
      </c>
      <c r="AN213" s="339">
        <f t="shared" si="228"/>
        <v>400</v>
      </c>
      <c r="AO213" s="339">
        <f t="shared" si="228"/>
        <v>400</v>
      </c>
      <c r="AP213" s="339">
        <f t="shared" si="228"/>
        <v>400</v>
      </c>
      <c r="AQ213" s="339">
        <f t="shared" si="228"/>
        <v>400</v>
      </c>
      <c r="AR213" s="339">
        <f t="shared" si="228"/>
        <v>400</v>
      </c>
      <c r="AS213" s="339">
        <f t="shared" si="228"/>
        <v>400</v>
      </c>
    </row>
    <row r="214" spans="2:45" s="319" customFormat="1" ht="12">
      <c r="B214" s="346" t="s">
        <v>417</v>
      </c>
      <c r="C214" s="321"/>
      <c r="D214" s="321" t="s">
        <v>432</v>
      </c>
      <c r="E214" s="339">
        <f>+E168+E183+E198</f>
        <v>4860</v>
      </c>
      <c r="F214" s="339">
        <f t="shared" si="226"/>
        <v>4860</v>
      </c>
      <c r="G214" s="339">
        <f t="shared" si="228"/>
        <v>4860</v>
      </c>
      <c r="H214" s="339">
        <f t="shared" si="228"/>
        <v>4860</v>
      </c>
      <c r="I214" s="339">
        <f t="shared" si="228"/>
        <v>4860</v>
      </c>
      <c r="J214" s="339">
        <f t="shared" si="228"/>
        <v>4860</v>
      </c>
      <c r="K214" s="339">
        <f t="shared" si="228"/>
        <v>4860</v>
      </c>
      <c r="L214" s="339">
        <f t="shared" si="228"/>
        <v>4860</v>
      </c>
      <c r="M214" s="339">
        <f t="shared" si="228"/>
        <v>4860</v>
      </c>
      <c r="N214" s="339">
        <f t="shared" si="228"/>
        <v>4860</v>
      </c>
      <c r="O214" s="339">
        <f t="shared" si="228"/>
        <v>4860</v>
      </c>
      <c r="P214" s="339">
        <f t="shared" si="228"/>
        <v>4860</v>
      </c>
      <c r="Q214" s="339">
        <f t="shared" si="228"/>
        <v>4860</v>
      </c>
      <c r="R214" s="339">
        <f t="shared" si="228"/>
        <v>4860</v>
      </c>
      <c r="S214" s="339">
        <f t="shared" si="228"/>
        <v>4860</v>
      </c>
      <c r="T214" s="339">
        <f t="shared" si="228"/>
        <v>4860</v>
      </c>
      <c r="U214" s="339">
        <f t="shared" si="228"/>
        <v>4860</v>
      </c>
      <c r="V214" s="339">
        <f t="shared" si="228"/>
        <v>4860</v>
      </c>
      <c r="W214" s="339">
        <f t="shared" si="228"/>
        <v>4860</v>
      </c>
      <c r="X214" s="339">
        <f t="shared" si="228"/>
        <v>4860</v>
      </c>
      <c r="Y214" s="339">
        <f t="shared" si="228"/>
        <v>4860</v>
      </c>
      <c r="Z214" s="339">
        <f t="shared" si="228"/>
        <v>4860</v>
      </c>
      <c r="AA214" s="339">
        <f t="shared" si="228"/>
        <v>4860</v>
      </c>
      <c r="AB214" s="339">
        <f t="shared" si="228"/>
        <v>4860</v>
      </c>
      <c r="AC214" s="339">
        <f t="shared" si="228"/>
        <v>4860</v>
      </c>
      <c r="AD214" s="339">
        <f t="shared" si="228"/>
        <v>4860</v>
      </c>
      <c r="AE214" s="339">
        <f t="shared" si="228"/>
        <v>4860</v>
      </c>
      <c r="AF214" s="339">
        <f t="shared" si="228"/>
        <v>4860</v>
      </c>
      <c r="AG214" s="339">
        <f t="shared" si="228"/>
        <v>4860</v>
      </c>
      <c r="AH214" s="339">
        <f t="shared" si="228"/>
        <v>4860</v>
      </c>
      <c r="AI214" s="339">
        <f t="shared" si="228"/>
        <v>4860</v>
      </c>
      <c r="AJ214" s="339">
        <f t="shared" si="228"/>
        <v>4860</v>
      </c>
      <c r="AK214" s="339">
        <f t="shared" si="228"/>
        <v>4860</v>
      </c>
      <c r="AL214" s="339">
        <f t="shared" si="228"/>
        <v>4860</v>
      </c>
      <c r="AM214" s="339">
        <f t="shared" si="228"/>
        <v>4860</v>
      </c>
      <c r="AN214" s="339">
        <f t="shared" si="228"/>
        <v>4860</v>
      </c>
      <c r="AO214" s="339">
        <f t="shared" si="228"/>
        <v>4860</v>
      </c>
      <c r="AP214" s="339">
        <f t="shared" si="228"/>
        <v>4860</v>
      </c>
      <c r="AQ214" s="339">
        <f t="shared" si="228"/>
        <v>4860</v>
      </c>
      <c r="AR214" s="339">
        <f t="shared" si="228"/>
        <v>4860</v>
      </c>
      <c r="AS214" s="339">
        <f t="shared" si="228"/>
        <v>4860</v>
      </c>
    </row>
    <row r="215" spans="2:45" s="319" customFormat="1" ht="12">
      <c r="B215" s="346" t="s">
        <v>417</v>
      </c>
      <c r="C215" s="321"/>
      <c r="D215" s="321" t="s">
        <v>338</v>
      </c>
      <c r="E215" s="339">
        <f t="shared" si="227"/>
        <v>1800</v>
      </c>
      <c r="F215" s="339">
        <f t="shared" si="226"/>
        <v>1800</v>
      </c>
      <c r="G215" s="339">
        <f t="shared" si="228"/>
        <v>1800</v>
      </c>
      <c r="H215" s="339">
        <f t="shared" si="228"/>
        <v>1800</v>
      </c>
      <c r="I215" s="339">
        <f t="shared" si="228"/>
        <v>1800</v>
      </c>
      <c r="J215" s="339">
        <f t="shared" si="228"/>
        <v>1800</v>
      </c>
      <c r="K215" s="339">
        <f t="shared" si="228"/>
        <v>1800</v>
      </c>
      <c r="L215" s="339">
        <f t="shared" si="228"/>
        <v>1800</v>
      </c>
      <c r="M215" s="339">
        <f t="shared" si="228"/>
        <v>1800</v>
      </c>
      <c r="N215" s="339">
        <f t="shared" si="228"/>
        <v>1800</v>
      </c>
      <c r="O215" s="339">
        <f t="shared" si="228"/>
        <v>1800</v>
      </c>
      <c r="P215" s="339">
        <f t="shared" si="228"/>
        <v>1800</v>
      </c>
      <c r="Q215" s="339">
        <f t="shared" si="228"/>
        <v>1800</v>
      </c>
      <c r="R215" s="339">
        <f t="shared" si="228"/>
        <v>1800</v>
      </c>
      <c r="S215" s="339">
        <f t="shared" si="228"/>
        <v>1800</v>
      </c>
      <c r="T215" s="339">
        <f t="shared" si="228"/>
        <v>1800</v>
      </c>
      <c r="U215" s="339">
        <f t="shared" si="228"/>
        <v>1800</v>
      </c>
      <c r="V215" s="339">
        <f t="shared" si="228"/>
        <v>1800</v>
      </c>
      <c r="W215" s="339">
        <f t="shared" si="228"/>
        <v>1800</v>
      </c>
      <c r="X215" s="339">
        <f t="shared" si="228"/>
        <v>1800</v>
      </c>
      <c r="Y215" s="339">
        <f t="shared" ref="Y215:AS215" si="229">+$E215</f>
        <v>1800</v>
      </c>
      <c r="Z215" s="339">
        <f t="shared" si="229"/>
        <v>1800</v>
      </c>
      <c r="AA215" s="339">
        <f t="shared" si="229"/>
        <v>1800</v>
      </c>
      <c r="AB215" s="339">
        <f t="shared" si="229"/>
        <v>1800</v>
      </c>
      <c r="AC215" s="339">
        <f t="shared" si="229"/>
        <v>1800</v>
      </c>
      <c r="AD215" s="339">
        <f t="shared" si="229"/>
        <v>1800</v>
      </c>
      <c r="AE215" s="339">
        <f t="shared" si="229"/>
        <v>1800</v>
      </c>
      <c r="AF215" s="339">
        <f t="shared" si="229"/>
        <v>1800</v>
      </c>
      <c r="AG215" s="339">
        <f t="shared" si="229"/>
        <v>1800</v>
      </c>
      <c r="AH215" s="339">
        <f t="shared" si="229"/>
        <v>1800</v>
      </c>
      <c r="AI215" s="339">
        <f t="shared" si="229"/>
        <v>1800</v>
      </c>
      <c r="AJ215" s="339">
        <f t="shared" si="229"/>
        <v>1800</v>
      </c>
      <c r="AK215" s="339">
        <f t="shared" si="229"/>
        <v>1800</v>
      </c>
      <c r="AL215" s="339">
        <f t="shared" si="229"/>
        <v>1800</v>
      </c>
      <c r="AM215" s="339">
        <f t="shared" si="229"/>
        <v>1800</v>
      </c>
      <c r="AN215" s="339">
        <f t="shared" si="229"/>
        <v>1800</v>
      </c>
      <c r="AO215" s="339">
        <f t="shared" si="229"/>
        <v>1800</v>
      </c>
      <c r="AP215" s="339">
        <f t="shared" si="229"/>
        <v>1800</v>
      </c>
      <c r="AQ215" s="339">
        <f t="shared" si="229"/>
        <v>1800</v>
      </c>
      <c r="AR215" s="339">
        <f t="shared" si="229"/>
        <v>1800</v>
      </c>
      <c r="AS215" s="339">
        <f t="shared" si="229"/>
        <v>1800</v>
      </c>
    </row>
    <row r="216" spans="2:45" s="319" customFormat="1" ht="12">
      <c r="B216" s="325" t="s">
        <v>423</v>
      </c>
      <c r="C216" s="321"/>
      <c r="D216" s="321"/>
      <c r="E216" s="347">
        <f>SUM(E202:E215)</f>
        <v>84930</v>
      </c>
      <c r="F216" s="347">
        <f t="shared" ref="F216:AS216" si="230">SUM(F202:F215)</f>
        <v>84930</v>
      </c>
      <c r="G216" s="347">
        <f t="shared" si="230"/>
        <v>84930</v>
      </c>
      <c r="H216" s="347">
        <f t="shared" si="230"/>
        <v>84930</v>
      </c>
      <c r="I216" s="347">
        <f t="shared" si="230"/>
        <v>84930</v>
      </c>
      <c r="J216" s="347">
        <f t="shared" si="230"/>
        <v>84930</v>
      </c>
      <c r="K216" s="347">
        <f t="shared" si="230"/>
        <v>84930</v>
      </c>
      <c r="L216" s="347">
        <f t="shared" si="230"/>
        <v>84930</v>
      </c>
      <c r="M216" s="347">
        <f t="shared" si="230"/>
        <v>84930</v>
      </c>
      <c r="N216" s="347">
        <f t="shared" si="230"/>
        <v>84930</v>
      </c>
      <c r="O216" s="347">
        <f t="shared" si="230"/>
        <v>84930</v>
      </c>
      <c r="P216" s="347">
        <f t="shared" si="230"/>
        <v>84930</v>
      </c>
      <c r="Q216" s="347">
        <f t="shared" si="230"/>
        <v>84930</v>
      </c>
      <c r="R216" s="347">
        <f t="shared" si="230"/>
        <v>84930</v>
      </c>
      <c r="S216" s="347">
        <f t="shared" si="230"/>
        <v>84930</v>
      </c>
      <c r="T216" s="347">
        <f t="shared" si="230"/>
        <v>84930</v>
      </c>
      <c r="U216" s="347">
        <f t="shared" si="230"/>
        <v>84930</v>
      </c>
      <c r="V216" s="347">
        <f t="shared" si="230"/>
        <v>84930</v>
      </c>
      <c r="W216" s="347">
        <f t="shared" si="230"/>
        <v>84930</v>
      </c>
      <c r="X216" s="347">
        <f t="shared" si="230"/>
        <v>84930</v>
      </c>
      <c r="Y216" s="347">
        <f t="shared" si="230"/>
        <v>84930</v>
      </c>
      <c r="Z216" s="347">
        <f t="shared" si="230"/>
        <v>84930</v>
      </c>
      <c r="AA216" s="347">
        <f t="shared" si="230"/>
        <v>84930</v>
      </c>
      <c r="AB216" s="347">
        <f t="shared" si="230"/>
        <v>84930</v>
      </c>
      <c r="AC216" s="347">
        <f t="shared" si="230"/>
        <v>84930</v>
      </c>
      <c r="AD216" s="347">
        <f t="shared" si="230"/>
        <v>84930</v>
      </c>
      <c r="AE216" s="347">
        <f t="shared" si="230"/>
        <v>84930</v>
      </c>
      <c r="AF216" s="347">
        <f t="shared" si="230"/>
        <v>84930</v>
      </c>
      <c r="AG216" s="347">
        <f t="shared" si="230"/>
        <v>84930</v>
      </c>
      <c r="AH216" s="347">
        <f t="shared" si="230"/>
        <v>84930</v>
      </c>
      <c r="AI216" s="347">
        <f t="shared" si="230"/>
        <v>84930</v>
      </c>
      <c r="AJ216" s="347">
        <f t="shared" si="230"/>
        <v>84930</v>
      </c>
      <c r="AK216" s="347">
        <f t="shared" si="230"/>
        <v>84930</v>
      </c>
      <c r="AL216" s="347">
        <f t="shared" si="230"/>
        <v>84930</v>
      </c>
      <c r="AM216" s="347">
        <f t="shared" si="230"/>
        <v>84930</v>
      </c>
      <c r="AN216" s="347">
        <f t="shared" si="230"/>
        <v>84930</v>
      </c>
      <c r="AO216" s="347">
        <f t="shared" si="230"/>
        <v>84930</v>
      </c>
      <c r="AP216" s="347">
        <f t="shared" si="230"/>
        <v>84930</v>
      </c>
      <c r="AQ216" s="347">
        <f t="shared" si="230"/>
        <v>84930</v>
      </c>
      <c r="AR216" s="347">
        <f t="shared" si="230"/>
        <v>84930</v>
      </c>
      <c r="AS216" s="347">
        <f t="shared" si="230"/>
        <v>84930</v>
      </c>
    </row>
    <row r="218" spans="2:45" ht="15.75" thickBot="1"/>
    <row r="219" spans="2:45" s="328" customFormat="1" ht="12">
      <c r="B219" s="317" t="s">
        <v>526</v>
      </c>
      <c r="C219" s="349"/>
      <c r="D219" s="349" t="s">
        <v>534</v>
      </c>
      <c r="E219" s="91" t="s">
        <v>524</v>
      </c>
      <c r="F219" s="349"/>
      <c r="G219" s="349"/>
      <c r="H219" s="349"/>
      <c r="I219" s="349"/>
      <c r="J219" s="349"/>
      <c r="K219" s="349"/>
      <c r="L219" s="349"/>
      <c r="M219" s="349"/>
      <c r="N219" s="349"/>
      <c r="O219" s="349"/>
      <c r="P219" s="349"/>
      <c r="Q219" s="349"/>
      <c r="R219" s="349"/>
      <c r="S219" s="349"/>
      <c r="T219" s="349"/>
      <c r="U219" s="349"/>
      <c r="V219" s="349"/>
      <c r="W219" s="349"/>
      <c r="X219" s="349"/>
      <c r="Y219" s="349"/>
      <c r="Z219" s="349"/>
      <c r="AA219" s="349"/>
      <c r="AB219" s="349"/>
      <c r="AC219" s="349"/>
      <c r="AD219" s="349"/>
      <c r="AE219" s="349"/>
      <c r="AF219" s="349"/>
      <c r="AG219" s="349"/>
      <c r="AH219" s="349"/>
      <c r="AI219" s="349"/>
      <c r="AJ219" s="349"/>
      <c r="AK219" s="349"/>
      <c r="AL219" s="349"/>
      <c r="AM219" s="349"/>
      <c r="AN219" s="349"/>
      <c r="AO219" s="349"/>
      <c r="AP219" s="349"/>
      <c r="AQ219" s="349"/>
      <c r="AR219" s="349"/>
      <c r="AS219" s="350"/>
    </row>
    <row r="220" spans="2:45" s="319" customFormat="1" ht="12">
      <c r="B220" s="320" t="s">
        <v>527</v>
      </c>
      <c r="C220" s="321"/>
      <c r="D220" s="65">
        <v>0.01</v>
      </c>
      <c r="E220" s="339">
        <f>+'PRESUPUESTO ANUAL BASE'!C5</f>
        <v>138856.33991301438</v>
      </c>
      <c r="F220" s="339">
        <f>+E220</f>
        <v>138856.33991301438</v>
      </c>
      <c r="G220" s="348">
        <f>+F220*(1+$D220)</f>
        <v>140244.90331214454</v>
      </c>
      <c r="H220" s="348">
        <f t="shared" ref="H220:AS227" si="231">+G220*(1+$D220)</f>
        <v>141647.35234526597</v>
      </c>
      <c r="I220" s="348">
        <f t="shared" si="231"/>
        <v>143063.82586871865</v>
      </c>
      <c r="J220" s="348">
        <f t="shared" si="231"/>
        <v>144494.46412740584</v>
      </c>
      <c r="K220" s="348">
        <f t="shared" si="231"/>
        <v>145939.40876867989</v>
      </c>
      <c r="L220" s="348">
        <f t="shared" si="231"/>
        <v>147398.8028563667</v>
      </c>
      <c r="M220" s="348">
        <f t="shared" si="231"/>
        <v>148872.79088493038</v>
      </c>
      <c r="N220" s="348">
        <f t="shared" si="231"/>
        <v>150361.51879377969</v>
      </c>
      <c r="O220" s="348">
        <f t="shared" si="231"/>
        <v>151865.13398171749</v>
      </c>
      <c r="P220" s="348">
        <f t="shared" si="231"/>
        <v>153383.78532153467</v>
      </c>
      <c r="Q220" s="348">
        <f t="shared" si="231"/>
        <v>154917.62317475001</v>
      </c>
      <c r="R220" s="348">
        <f t="shared" si="231"/>
        <v>156466.79940649751</v>
      </c>
      <c r="S220" s="348">
        <f t="shared" si="231"/>
        <v>158031.46740056248</v>
      </c>
      <c r="T220" s="348">
        <f t="shared" si="231"/>
        <v>159611.78207456812</v>
      </c>
      <c r="U220" s="348">
        <f t="shared" si="231"/>
        <v>161207.89989531381</v>
      </c>
      <c r="V220" s="348">
        <f t="shared" si="231"/>
        <v>162819.97889426694</v>
      </c>
      <c r="W220" s="348">
        <f t="shared" si="231"/>
        <v>164448.17868320961</v>
      </c>
      <c r="X220" s="348">
        <f t="shared" si="231"/>
        <v>166092.66047004171</v>
      </c>
      <c r="Y220" s="348">
        <f t="shared" si="231"/>
        <v>167753.58707474213</v>
      </c>
      <c r="Z220" s="348">
        <f t="shared" si="231"/>
        <v>169431.12294548957</v>
      </c>
      <c r="AA220" s="348">
        <f t="shared" si="231"/>
        <v>171125.43417494447</v>
      </c>
      <c r="AB220" s="348">
        <f t="shared" si="231"/>
        <v>172836.68851669392</v>
      </c>
      <c r="AC220" s="348">
        <f t="shared" si="231"/>
        <v>174565.05540186085</v>
      </c>
      <c r="AD220" s="348">
        <f t="shared" si="231"/>
        <v>176310.70595587947</v>
      </c>
      <c r="AE220" s="348">
        <f t="shared" si="231"/>
        <v>178073.81301543827</v>
      </c>
      <c r="AF220" s="348">
        <f t="shared" si="231"/>
        <v>179854.55114559265</v>
      </c>
      <c r="AG220" s="348">
        <f t="shared" si="231"/>
        <v>181653.09665704856</v>
      </c>
      <c r="AH220" s="348">
        <f t="shared" si="231"/>
        <v>183469.62762361905</v>
      </c>
      <c r="AI220" s="348">
        <f t="shared" si="231"/>
        <v>185304.32389985523</v>
      </c>
      <c r="AJ220" s="348">
        <f t="shared" si="231"/>
        <v>187157.36713885379</v>
      </c>
      <c r="AK220" s="348">
        <f t="shared" si="231"/>
        <v>189028.94081024232</v>
      </c>
      <c r="AL220" s="348">
        <f t="shared" si="231"/>
        <v>190919.23021834475</v>
      </c>
      <c r="AM220" s="348">
        <f t="shared" si="231"/>
        <v>192828.4225205282</v>
      </c>
      <c r="AN220" s="348">
        <f t="shared" si="231"/>
        <v>194756.70674573348</v>
      </c>
      <c r="AO220" s="348">
        <f t="shared" si="231"/>
        <v>196704.27381319081</v>
      </c>
      <c r="AP220" s="348">
        <f t="shared" si="231"/>
        <v>198671.31655132273</v>
      </c>
      <c r="AQ220" s="348">
        <f t="shared" si="231"/>
        <v>200658.02971683597</v>
      </c>
      <c r="AR220" s="348">
        <f t="shared" si="231"/>
        <v>202664.61001400434</v>
      </c>
      <c r="AS220" s="351">
        <f t="shared" si="231"/>
        <v>204691.25611414437</v>
      </c>
    </row>
    <row r="221" spans="2:45" s="319" customFormat="1" ht="12">
      <c r="B221" s="320" t="s">
        <v>528</v>
      </c>
      <c r="C221" s="321"/>
      <c r="D221" s="65">
        <v>0.01</v>
      </c>
      <c r="E221" s="339">
        <f>+'PRESUPUESTO ANUAL BASE'!C11</f>
        <v>56964.220586595286</v>
      </c>
      <c r="F221" s="339">
        <f t="shared" ref="F221:F227" si="232">+E221</f>
        <v>56964.220586595286</v>
      </c>
      <c r="G221" s="348">
        <f t="shared" ref="G221:V227" si="233">+F221*(1+$D221)</f>
        <v>57533.862792461237</v>
      </c>
      <c r="H221" s="348">
        <f t="shared" si="233"/>
        <v>58109.201420385849</v>
      </c>
      <c r="I221" s="348">
        <f t="shared" si="233"/>
        <v>58690.293434589708</v>
      </c>
      <c r="J221" s="348">
        <f t="shared" si="233"/>
        <v>59277.196368935605</v>
      </c>
      <c r="K221" s="348">
        <f t="shared" si="233"/>
        <v>59869.968332624965</v>
      </c>
      <c r="L221" s="348">
        <f t="shared" si="233"/>
        <v>60468.668015951218</v>
      </c>
      <c r="M221" s="348">
        <f t="shared" si="233"/>
        <v>61073.354696110728</v>
      </c>
      <c r="N221" s="348">
        <f t="shared" si="233"/>
        <v>61684.088243071834</v>
      </c>
      <c r="O221" s="348">
        <f t="shared" si="233"/>
        <v>62300.929125502553</v>
      </c>
      <c r="P221" s="348">
        <f t="shared" si="233"/>
        <v>62923.938416757577</v>
      </c>
      <c r="Q221" s="348">
        <f t="shared" si="233"/>
        <v>63553.17780092515</v>
      </c>
      <c r="R221" s="348">
        <f t="shared" si="233"/>
        <v>64188.709578934402</v>
      </c>
      <c r="S221" s="348">
        <f t="shared" si="233"/>
        <v>64830.596674723747</v>
      </c>
      <c r="T221" s="348">
        <f t="shared" si="233"/>
        <v>65478.902641470988</v>
      </c>
      <c r="U221" s="348">
        <f t="shared" si="233"/>
        <v>66133.691667885694</v>
      </c>
      <c r="V221" s="348">
        <f t="shared" si="233"/>
        <v>66795.028584564556</v>
      </c>
      <c r="W221" s="348">
        <f t="shared" si="231"/>
        <v>67462.978870410196</v>
      </c>
      <c r="X221" s="348">
        <f t="shared" si="231"/>
        <v>68137.608659114296</v>
      </c>
      <c r="Y221" s="348">
        <f t="shared" si="231"/>
        <v>68818.984745705442</v>
      </c>
      <c r="Z221" s="348">
        <f t="shared" si="231"/>
        <v>69507.17459316249</v>
      </c>
      <c r="AA221" s="348">
        <f t="shared" si="231"/>
        <v>70202.246339094112</v>
      </c>
      <c r="AB221" s="348">
        <f t="shared" si="231"/>
        <v>70904.26880248505</v>
      </c>
      <c r="AC221" s="348">
        <f t="shared" si="231"/>
        <v>71613.311490509906</v>
      </c>
      <c r="AD221" s="348">
        <f t="shared" si="231"/>
        <v>72329.444605415003</v>
      </c>
      <c r="AE221" s="348">
        <f t="shared" si="231"/>
        <v>73052.739051469151</v>
      </c>
      <c r="AF221" s="348">
        <f t="shared" si="231"/>
        <v>73783.26644198384</v>
      </c>
      <c r="AG221" s="348">
        <f t="shared" si="231"/>
        <v>74521.099106403679</v>
      </c>
      <c r="AH221" s="348">
        <f t="shared" si="231"/>
        <v>75266.310097467722</v>
      </c>
      <c r="AI221" s="348">
        <f t="shared" si="231"/>
        <v>76018.9731984424</v>
      </c>
      <c r="AJ221" s="348">
        <f t="shared" si="231"/>
        <v>76779.162930426828</v>
      </c>
      <c r="AK221" s="348">
        <f t="shared" si="231"/>
        <v>77546.954559731093</v>
      </c>
      <c r="AL221" s="348">
        <f t="shared" si="231"/>
        <v>78322.424105328406</v>
      </c>
      <c r="AM221" s="348">
        <f t="shared" si="231"/>
        <v>79105.648346381684</v>
      </c>
      <c r="AN221" s="348">
        <f t="shared" si="231"/>
        <v>79896.704829845505</v>
      </c>
      <c r="AO221" s="348">
        <f t="shared" si="231"/>
        <v>80695.671878143956</v>
      </c>
      <c r="AP221" s="348">
        <f t="shared" si="231"/>
        <v>81502.628596925395</v>
      </c>
      <c r="AQ221" s="348">
        <f t="shared" si="231"/>
        <v>82317.654882894654</v>
      </c>
      <c r="AR221" s="348">
        <f t="shared" si="231"/>
        <v>83140.831431723607</v>
      </c>
      <c r="AS221" s="351">
        <f t="shared" si="231"/>
        <v>83972.239746040839</v>
      </c>
    </row>
    <row r="222" spans="2:45" s="319" customFormat="1" ht="12">
      <c r="B222" s="320" t="s">
        <v>530</v>
      </c>
      <c r="C222" s="321"/>
      <c r="D222" s="65">
        <v>0.01</v>
      </c>
      <c r="E222" s="339">
        <f>+'PRESUPUESTO ANUAL BASE'!C58+'PRESUPUESTO ANUAL BASE'!C134</f>
        <v>108968.79601204416</v>
      </c>
      <c r="F222" s="339">
        <f t="shared" si="232"/>
        <v>108968.79601204416</v>
      </c>
      <c r="G222" s="348">
        <f t="shared" si="233"/>
        <v>110058.4839721646</v>
      </c>
      <c r="H222" s="348">
        <f t="shared" si="231"/>
        <v>111159.06881188625</v>
      </c>
      <c r="I222" s="348">
        <f t="shared" si="231"/>
        <v>112270.6595000051</v>
      </c>
      <c r="J222" s="348">
        <f t="shared" si="231"/>
        <v>113393.36609500516</v>
      </c>
      <c r="K222" s="348">
        <f t="shared" si="231"/>
        <v>114527.2997559552</v>
      </c>
      <c r="L222" s="348">
        <f t="shared" si="231"/>
        <v>115672.57275351476</v>
      </c>
      <c r="M222" s="348">
        <f t="shared" si="231"/>
        <v>116829.2984810499</v>
      </c>
      <c r="N222" s="348">
        <f t="shared" si="231"/>
        <v>117997.5914658604</v>
      </c>
      <c r="O222" s="348">
        <f t="shared" si="231"/>
        <v>119177.567380519</v>
      </c>
      <c r="P222" s="348">
        <f t="shared" si="231"/>
        <v>120369.3430543242</v>
      </c>
      <c r="Q222" s="348">
        <f t="shared" si="231"/>
        <v>121573.03648486744</v>
      </c>
      <c r="R222" s="348">
        <f t="shared" si="231"/>
        <v>122788.76684971611</v>
      </c>
      <c r="S222" s="348">
        <f t="shared" si="231"/>
        <v>124016.65451821327</v>
      </c>
      <c r="T222" s="348">
        <f t="shared" si="231"/>
        <v>125256.8210633954</v>
      </c>
      <c r="U222" s="348">
        <f t="shared" si="231"/>
        <v>126509.38927402935</v>
      </c>
      <c r="V222" s="348">
        <f t="shared" si="231"/>
        <v>127774.48316676964</v>
      </c>
      <c r="W222" s="348">
        <f t="shared" si="231"/>
        <v>129052.22799843735</v>
      </c>
      <c r="X222" s="348">
        <f t="shared" si="231"/>
        <v>130342.75027842172</v>
      </c>
      <c r="Y222" s="348">
        <f t="shared" si="231"/>
        <v>131646.17778120594</v>
      </c>
      <c r="Z222" s="348">
        <f t="shared" si="231"/>
        <v>132962.63955901802</v>
      </c>
      <c r="AA222" s="348">
        <f t="shared" si="231"/>
        <v>134292.26595460821</v>
      </c>
      <c r="AB222" s="348">
        <f t="shared" si="231"/>
        <v>135635.18861415429</v>
      </c>
      <c r="AC222" s="348">
        <f t="shared" si="231"/>
        <v>136991.54050029584</v>
      </c>
      <c r="AD222" s="348">
        <f t="shared" si="231"/>
        <v>138361.45590529879</v>
      </c>
      <c r="AE222" s="348">
        <f t="shared" si="231"/>
        <v>139745.07046435177</v>
      </c>
      <c r="AF222" s="348">
        <f t="shared" si="231"/>
        <v>141142.5211689953</v>
      </c>
      <c r="AG222" s="348">
        <f t="shared" si="231"/>
        <v>142553.94638068526</v>
      </c>
      <c r="AH222" s="348">
        <f t="shared" si="231"/>
        <v>143979.48584449213</v>
      </c>
      <c r="AI222" s="348">
        <f t="shared" si="231"/>
        <v>145419.28070293705</v>
      </c>
      <c r="AJ222" s="348">
        <f t="shared" si="231"/>
        <v>146873.47350996642</v>
      </c>
      <c r="AK222" s="348">
        <f t="shared" si="231"/>
        <v>148342.20824506608</v>
      </c>
      <c r="AL222" s="348">
        <f t="shared" si="231"/>
        <v>149825.63032751673</v>
      </c>
      <c r="AM222" s="348">
        <f t="shared" si="231"/>
        <v>151323.88663079191</v>
      </c>
      <c r="AN222" s="348">
        <f t="shared" si="231"/>
        <v>152837.12549709983</v>
      </c>
      <c r="AO222" s="348">
        <f t="shared" si="231"/>
        <v>154365.49675207082</v>
      </c>
      <c r="AP222" s="348">
        <f t="shared" si="231"/>
        <v>155909.15171959152</v>
      </c>
      <c r="AQ222" s="348">
        <f t="shared" si="231"/>
        <v>157468.24323678744</v>
      </c>
      <c r="AR222" s="348">
        <f t="shared" si="231"/>
        <v>159042.92566915532</v>
      </c>
      <c r="AS222" s="351">
        <f t="shared" si="231"/>
        <v>160633.35492584688</v>
      </c>
    </row>
    <row r="223" spans="2:45" s="319" customFormat="1" ht="12">
      <c r="B223" s="320" t="s">
        <v>525</v>
      </c>
      <c r="C223" s="321"/>
      <c r="D223" s="65">
        <v>0.01</v>
      </c>
      <c r="E223" s="339">
        <f>+'PRESUPUESTO ANUAL BASE'!C67+'PRESUPUESTO ANUAL BASE'!C142</f>
        <v>53488.026649397798</v>
      </c>
      <c r="F223" s="339">
        <f t="shared" si="232"/>
        <v>53488.026649397798</v>
      </c>
      <c r="G223" s="348">
        <f t="shared" si="233"/>
        <v>54022.906915891777</v>
      </c>
      <c r="H223" s="348">
        <f t="shared" si="231"/>
        <v>54563.135985050692</v>
      </c>
      <c r="I223" s="348">
        <f t="shared" si="231"/>
        <v>55108.7673449012</v>
      </c>
      <c r="J223" s="348">
        <f t="shared" si="231"/>
        <v>55659.855018350216</v>
      </c>
      <c r="K223" s="348">
        <f t="shared" si="231"/>
        <v>56216.453568533718</v>
      </c>
      <c r="L223" s="348">
        <f t="shared" si="231"/>
        <v>56778.618104219058</v>
      </c>
      <c r="M223" s="348">
        <f t="shared" si="231"/>
        <v>57346.404285261247</v>
      </c>
      <c r="N223" s="348">
        <f t="shared" si="231"/>
        <v>57919.868328113858</v>
      </c>
      <c r="O223" s="348">
        <f t="shared" si="231"/>
        <v>58499.067011394996</v>
      </c>
      <c r="P223" s="348">
        <f t="shared" si="231"/>
        <v>59084.057681508944</v>
      </c>
      <c r="Q223" s="348">
        <f t="shared" si="231"/>
        <v>59674.898258324036</v>
      </c>
      <c r="R223" s="348">
        <f t="shared" si="231"/>
        <v>60271.647240907274</v>
      </c>
      <c r="S223" s="348">
        <f t="shared" si="231"/>
        <v>60874.36371331635</v>
      </c>
      <c r="T223" s="348">
        <f t="shared" si="231"/>
        <v>61483.107350449514</v>
      </c>
      <c r="U223" s="348">
        <f t="shared" si="231"/>
        <v>62097.938423954009</v>
      </c>
      <c r="V223" s="348">
        <f t="shared" si="231"/>
        <v>62718.917808193546</v>
      </c>
      <c r="W223" s="348">
        <f t="shared" si="231"/>
        <v>63346.106986275481</v>
      </c>
      <c r="X223" s="348">
        <f t="shared" si="231"/>
        <v>63979.56805613824</v>
      </c>
      <c r="Y223" s="348">
        <f t="shared" si="231"/>
        <v>64619.363736699619</v>
      </c>
      <c r="Z223" s="348">
        <f t="shared" si="231"/>
        <v>65265.557374066615</v>
      </c>
      <c r="AA223" s="348">
        <f t="shared" si="231"/>
        <v>65918.212947807275</v>
      </c>
      <c r="AB223" s="348">
        <f t="shared" si="231"/>
        <v>66577.395077285342</v>
      </c>
      <c r="AC223" s="348">
        <f t="shared" si="231"/>
        <v>67243.169028058197</v>
      </c>
      <c r="AD223" s="348">
        <f t="shared" si="231"/>
        <v>67915.600718338785</v>
      </c>
      <c r="AE223" s="348">
        <f t="shared" si="231"/>
        <v>68594.75672552218</v>
      </c>
      <c r="AF223" s="348">
        <f t="shared" si="231"/>
        <v>69280.704292777402</v>
      </c>
      <c r="AG223" s="348">
        <f t="shared" si="231"/>
        <v>69973.511335705174</v>
      </c>
      <c r="AH223" s="348">
        <f t="shared" si="231"/>
        <v>70673.246449062222</v>
      </c>
      <c r="AI223" s="348">
        <f t="shared" si="231"/>
        <v>71379.978913552841</v>
      </c>
      <c r="AJ223" s="348">
        <f t="shared" si="231"/>
        <v>72093.778702688374</v>
      </c>
      <c r="AK223" s="348">
        <f t="shared" si="231"/>
        <v>72814.716489715254</v>
      </c>
      <c r="AL223" s="348">
        <f t="shared" si="231"/>
        <v>73542.863654612403</v>
      </c>
      <c r="AM223" s="348">
        <f t="shared" si="231"/>
        <v>74278.292291158534</v>
      </c>
      <c r="AN223" s="348">
        <f t="shared" si="231"/>
        <v>75021.075214070122</v>
      </c>
      <c r="AO223" s="348">
        <f t="shared" si="231"/>
        <v>75771.285966210824</v>
      </c>
      <c r="AP223" s="348">
        <f t="shared" si="231"/>
        <v>76528.998825872928</v>
      </c>
      <c r="AQ223" s="348">
        <f t="shared" si="231"/>
        <v>77294.288814131665</v>
      </c>
      <c r="AR223" s="348">
        <f t="shared" si="231"/>
        <v>78067.231702272984</v>
      </c>
      <c r="AS223" s="351">
        <f t="shared" si="231"/>
        <v>78847.904019295718</v>
      </c>
    </row>
    <row r="224" spans="2:45" s="319" customFormat="1" ht="12">
      <c r="B224" s="320" t="s">
        <v>529</v>
      </c>
      <c r="C224" s="321"/>
      <c r="D224" s="65">
        <v>0.01</v>
      </c>
      <c r="E224" s="339">
        <f>+'PRESUPUESTO ANUAL BASE'!C88+'PRESUPUESTO ANUAL BASE'!C162</f>
        <v>32160</v>
      </c>
      <c r="F224" s="339">
        <f t="shared" si="232"/>
        <v>32160</v>
      </c>
      <c r="G224" s="348">
        <f t="shared" si="233"/>
        <v>32481.599999999999</v>
      </c>
      <c r="H224" s="348">
        <f t="shared" si="231"/>
        <v>32806.415999999997</v>
      </c>
      <c r="I224" s="348">
        <f t="shared" si="231"/>
        <v>33134.480159999999</v>
      </c>
      <c r="J224" s="348">
        <f t="shared" si="231"/>
        <v>33465.824961600003</v>
      </c>
      <c r="K224" s="348">
        <f t="shared" si="231"/>
        <v>33800.483211216</v>
      </c>
      <c r="L224" s="348">
        <f t="shared" si="231"/>
        <v>34138.488043328158</v>
      </c>
      <c r="M224" s="348">
        <f t="shared" si="231"/>
        <v>34479.872923761439</v>
      </c>
      <c r="N224" s="348">
        <f t="shared" si="231"/>
        <v>34824.671652999052</v>
      </c>
      <c r="O224" s="348">
        <f t="shared" si="231"/>
        <v>35172.918369529041</v>
      </c>
      <c r="P224" s="348">
        <f t="shared" si="231"/>
        <v>35524.647553224335</v>
      </c>
      <c r="Q224" s="348">
        <f t="shared" si="231"/>
        <v>35879.894028756578</v>
      </c>
      <c r="R224" s="348">
        <f t="shared" si="231"/>
        <v>36238.692969044147</v>
      </c>
      <c r="S224" s="348">
        <f t="shared" si="231"/>
        <v>36601.079898734592</v>
      </c>
      <c r="T224" s="348">
        <f t="shared" si="231"/>
        <v>36967.090697721935</v>
      </c>
      <c r="U224" s="348">
        <f t="shared" si="231"/>
        <v>37336.761604699153</v>
      </c>
      <c r="V224" s="348">
        <f t="shared" si="231"/>
        <v>37710.129220746145</v>
      </c>
      <c r="W224" s="348">
        <f t="shared" si="231"/>
        <v>38087.230512953603</v>
      </c>
      <c r="X224" s="348">
        <f t="shared" si="231"/>
        <v>38468.102818083142</v>
      </c>
      <c r="Y224" s="348">
        <f t="shared" si="231"/>
        <v>38852.78384626397</v>
      </c>
      <c r="Z224" s="348">
        <f t="shared" si="231"/>
        <v>39241.311684726614</v>
      </c>
      <c r="AA224" s="348">
        <f t="shared" si="231"/>
        <v>39633.724801573881</v>
      </c>
      <c r="AB224" s="348">
        <f t="shared" si="231"/>
        <v>40030.062049589622</v>
      </c>
      <c r="AC224" s="348">
        <f t="shared" si="231"/>
        <v>40430.362670085517</v>
      </c>
      <c r="AD224" s="348">
        <f t="shared" si="231"/>
        <v>40834.666296786374</v>
      </c>
      <c r="AE224" s="348">
        <f t="shared" si="231"/>
        <v>41243.01295975424</v>
      </c>
      <c r="AF224" s="348">
        <f t="shared" si="231"/>
        <v>41655.443089351786</v>
      </c>
      <c r="AG224" s="348">
        <f t="shared" si="231"/>
        <v>42071.997520245306</v>
      </c>
      <c r="AH224" s="348">
        <f t="shared" si="231"/>
        <v>42492.71749544776</v>
      </c>
      <c r="AI224" s="348">
        <f t="shared" si="231"/>
        <v>42917.644670402238</v>
      </c>
      <c r="AJ224" s="348">
        <f t="shared" si="231"/>
        <v>43346.821117106258</v>
      </c>
      <c r="AK224" s="348">
        <f t="shared" si="231"/>
        <v>43780.289328277322</v>
      </c>
      <c r="AL224" s="348">
        <f t="shared" si="231"/>
        <v>44218.092221560095</v>
      </c>
      <c r="AM224" s="348">
        <f t="shared" si="231"/>
        <v>44660.273143775696</v>
      </c>
      <c r="AN224" s="348">
        <f t="shared" si="231"/>
        <v>45106.875875213453</v>
      </c>
      <c r="AO224" s="348">
        <f t="shared" si="231"/>
        <v>45557.944633965584</v>
      </c>
      <c r="AP224" s="348">
        <f t="shared" si="231"/>
        <v>46013.524080305244</v>
      </c>
      <c r="AQ224" s="348">
        <f t="shared" si="231"/>
        <v>46473.659321108295</v>
      </c>
      <c r="AR224" s="348">
        <f t="shared" si="231"/>
        <v>46938.395914319379</v>
      </c>
      <c r="AS224" s="351">
        <f t="shared" si="231"/>
        <v>47407.779873462576</v>
      </c>
    </row>
    <row r="225" spans="2:45" s="319" customFormat="1" ht="12">
      <c r="B225" s="320" t="s">
        <v>531</v>
      </c>
      <c r="C225" s="321"/>
      <c r="D225" s="65">
        <v>0.01</v>
      </c>
      <c r="E225" s="339">
        <f>+'PRESUPUESTO ANUAL BASE'!C91+'PRESUPUESTO ANUAL BASE'!C165</f>
        <v>15717.866666666665</v>
      </c>
      <c r="F225" s="339">
        <f t="shared" si="232"/>
        <v>15717.866666666665</v>
      </c>
      <c r="G225" s="348">
        <f t="shared" si="233"/>
        <v>15875.045333333332</v>
      </c>
      <c r="H225" s="348">
        <f t="shared" si="231"/>
        <v>16033.795786666666</v>
      </c>
      <c r="I225" s="348">
        <f t="shared" si="231"/>
        <v>16194.133744533332</v>
      </c>
      <c r="J225" s="348">
        <f t="shared" si="231"/>
        <v>16356.075081978666</v>
      </c>
      <c r="K225" s="348">
        <f t="shared" si="231"/>
        <v>16519.635832798453</v>
      </c>
      <c r="L225" s="348">
        <f t="shared" si="231"/>
        <v>16684.832191126436</v>
      </c>
      <c r="M225" s="348">
        <f t="shared" si="231"/>
        <v>16851.6805130377</v>
      </c>
      <c r="N225" s="348">
        <f t="shared" si="231"/>
        <v>17020.197318168077</v>
      </c>
      <c r="O225" s="348">
        <f t="shared" si="231"/>
        <v>17190.399291349757</v>
      </c>
      <c r="P225" s="348">
        <f t="shared" si="231"/>
        <v>17362.303284263253</v>
      </c>
      <c r="Q225" s="348">
        <f t="shared" si="231"/>
        <v>17535.926317105885</v>
      </c>
      <c r="R225" s="348">
        <f t="shared" si="231"/>
        <v>17711.285580276945</v>
      </c>
      <c r="S225" s="348">
        <f t="shared" si="231"/>
        <v>17888.398436079715</v>
      </c>
      <c r="T225" s="348">
        <f t="shared" si="231"/>
        <v>18067.282420440511</v>
      </c>
      <c r="U225" s="348">
        <f t="shared" si="231"/>
        <v>18247.955244644916</v>
      </c>
      <c r="V225" s="348">
        <f t="shared" si="231"/>
        <v>18430.434797091366</v>
      </c>
      <c r="W225" s="348">
        <f t="shared" si="231"/>
        <v>18614.739145062278</v>
      </c>
      <c r="X225" s="348">
        <f t="shared" si="231"/>
        <v>18800.886536512902</v>
      </c>
      <c r="Y225" s="348">
        <f t="shared" si="231"/>
        <v>18988.895401878031</v>
      </c>
      <c r="Z225" s="348">
        <f t="shared" si="231"/>
        <v>19178.784355896812</v>
      </c>
      <c r="AA225" s="348">
        <f t="shared" si="231"/>
        <v>19370.572199455783</v>
      </c>
      <c r="AB225" s="348">
        <f t="shared" si="231"/>
        <v>19564.277921450339</v>
      </c>
      <c r="AC225" s="348">
        <f t="shared" si="231"/>
        <v>19759.920700664843</v>
      </c>
      <c r="AD225" s="348">
        <f t="shared" si="231"/>
        <v>19957.519907671493</v>
      </c>
      <c r="AE225" s="348">
        <f t="shared" si="231"/>
        <v>20157.095106748209</v>
      </c>
      <c r="AF225" s="348">
        <f t="shared" si="231"/>
        <v>20358.666057815692</v>
      </c>
      <c r="AG225" s="348">
        <f t="shared" si="231"/>
        <v>20562.252718393847</v>
      </c>
      <c r="AH225" s="348">
        <f t="shared" si="231"/>
        <v>20767.875245577787</v>
      </c>
      <c r="AI225" s="348">
        <f t="shared" si="231"/>
        <v>20975.553998033563</v>
      </c>
      <c r="AJ225" s="348">
        <f t="shared" si="231"/>
        <v>21185.309538013898</v>
      </c>
      <c r="AK225" s="348">
        <f t="shared" si="231"/>
        <v>21397.162633394037</v>
      </c>
      <c r="AL225" s="348">
        <f t="shared" si="231"/>
        <v>21611.134259727976</v>
      </c>
      <c r="AM225" s="348">
        <f t="shared" si="231"/>
        <v>21827.245602325256</v>
      </c>
      <c r="AN225" s="348">
        <f t="shared" si="231"/>
        <v>22045.518058348509</v>
      </c>
      <c r="AO225" s="348">
        <f t="shared" si="231"/>
        <v>22265.973238931994</v>
      </c>
      <c r="AP225" s="348">
        <f t="shared" si="231"/>
        <v>22488.632971321313</v>
      </c>
      <c r="AQ225" s="348">
        <f t="shared" si="231"/>
        <v>22713.519301034525</v>
      </c>
      <c r="AR225" s="348">
        <f t="shared" si="231"/>
        <v>22940.654494044869</v>
      </c>
      <c r="AS225" s="351">
        <f t="shared" si="231"/>
        <v>23170.061038985317</v>
      </c>
    </row>
    <row r="226" spans="2:45" s="319" customFormat="1" ht="12">
      <c r="B226" s="320" t="s">
        <v>532</v>
      </c>
      <c r="C226" s="321"/>
      <c r="D226" s="65">
        <v>0.01</v>
      </c>
      <c r="E226" s="339">
        <f>+'PRESUPUESTO ANUAL BASE'!C105+'PRESUPUESTO ANUAL BASE'!C179</f>
        <v>58116.291147540978</v>
      </c>
      <c r="F226" s="339">
        <f t="shared" si="232"/>
        <v>58116.291147540978</v>
      </c>
      <c r="G226" s="348">
        <f t="shared" si="233"/>
        <v>58697.454059016389</v>
      </c>
      <c r="H226" s="348">
        <f t="shared" si="231"/>
        <v>59284.428599606552</v>
      </c>
      <c r="I226" s="348">
        <f t="shared" si="231"/>
        <v>59877.272885602615</v>
      </c>
      <c r="J226" s="348">
        <f t="shared" si="231"/>
        <v>60476.045614458642</v>
      </c>
      <c r="K226" s="348">
        <f t="shared" si="231"/>
        <v>61080.806070603227</v>
      </c>
      <c r="L226" s="348">
        <f t="shared" si="231"/>
        <v>61691.614131309259</v>
      </c>
      <c r="M226" s="348">
        <f t="shared" si="231"/>
        <v>62308.530272622353</v>
      </c>
      <c r="N226" s="348">
        <f t="shared" si="231"/>
        <v>62931.61557534858</v>
      </c>
      <c r="O226" s="348">
        <f t="shared" si="231"/>
        <v>63560.931731102064</v>
      </c>
      <c r="P226" s="348">
        <f t="shared" si="231"/>
        <v>64196.541048413084</v>
      </c>
      <c r="Q226" s="348">
        <f t="shared" si="231"/>
        <v>64838.506458897216</v>
      </c>
      <c r="R226" s="348">
        <f t="shared" si="231"/>
        <v>65486.891523486192</v>
      </c>
      <c r="S226" s="348">
        <f t="shared" si="231"/>
        <v>66141.760438721059</v>
      </c>
      <c r="T226" s="348">
        <f t="shared" si="231"/>
        <v>66803.178043108273</v>
      </c>
      <c r="U226" s="348">
        <f t="shared" si="231"/>
        <v>67471.20982353935</v>
      </c>
      <c r="V226" s="348">
        <f t="shared" si="231"/>
        <v>68145.921921774745</v>
      </c>
      <c r="W226" s="348">
        <f t="shared" si="231"/>
        <v>68827.381140992497</v>
      </c>
      <c r="X226" s="348">
        <f t="shared" si="231"/>
        <v>69515.654952402416</v>
      </c>
      <c r="Y226" s="348">
        <f t="shared" si="231"/>
        <v>70210.811501926437</v>
      </c>
      <c r="Z226" s="348">
        <f t="shared" si="231"/>
        <v>70912.919616945699</v>
      </c>
      <c r="AA226" s="348">
        <f t="shared" si="231"/>
        <v>71622.048813115151</v>
      </c>
      <c r="AB226" s="348">
        <f t="shared" si="231"/>
        <v>72338.269301246299</v>
      </c>
      <c r="AC226" s="348">
        <f t="shared" si="231"/>
        <v>73061.651994258762</v>
      </c>
      <c r="AD226" s="348">
        <f t="shared" si="231"/>
        <v>73792.268514201351</v>
      </c>
      <c r="AE226" s="348">
        <f t="shared" si="231"/>
        <v>74530.19119934336</v>
      </c>
      <c r="AF226" s="348">
        <f t="shared" si="231"/>
        <v>75275.493111336793</v>
      </c>
      <c r="AG226" s="348">
        <f t="shared" si="231"/>
        <v>76028.248042450155</v>
      </c>
      <c r="AH226" s="348">
        <f t="shared" si="231"/>
        <v>76788.530522874658</v>
      </c>
      <c r="AI226" s="348">
        <f t="shared" si="231"/>
        <v>77556.415828103403</v>
      </c>
      <c r="AJ226" s="348">
        <f t="shared" si="231"/>
        <v>78331.979986384438</v>
      </c>
      <c r="AK226" s="348">
        <f t="shared" si="231"/>
        <v>79115.299786248288</v>
      </c>
      <c r="AL226" s="348">
        <f t="shared" si="231"/>
        <v>79906.452784110777</v>
      </c>
      <c r="AM226" s="348">
        <f t="shared" si="231"/>
        <v>80705.517311951888</v>
      </c>
      <c r="AN226" s="348">
        <f t="shared" si="231"/>
        <v>81512.572485071403</v>
      </c>
      <c r="AO226" s="348">
        <f t="shared" si="231"/>
        <v>82327.69820992212</v>
      </c>
      <c r="AP226" s="348">
        <f t="shared" si="231"/>
        <v>83150.975192021346</v>
      </c>
      <c r="AQ226" s="348">
        <f t="shared" si="231"/>
        <v>83982.484943941556</v>
      </c>
      <c r="AR226" s="348">
        <f t="shared" si="231"/>
        <v>84822.309793380977</v>
      </c>
      <c r="AS226" s="351">
        <f t="shared" si="231"/>
        <v>85670.532891314782</v>
      </c>
    </row>
    <row r="227" spans="2:45" s="319" customFormat="1" ht="12">
      <c r="B227" s="320" t="s">
        <v>533</v>
      </c>
      <c r="C227" s="321"/>
      <c r="D227" s="65">
        <v>0.01</v>
      </c>
      <c r="E227" s="339">
        <f>+'PRESUPUESTO ANUAL BASE'!C110+'PRESUPUESTO ANUAL BASE'!C184</f>
        <v>23431.517975956282</v>
      </c>
      <c r="F227" s="339">
        <f t="shared" si="232"/>
        <v>23431.517975956282</v>
      </c>
      <c r="G227" s="348">
        <f t="shared" si="233"/>
        <v>23665.833155715845</v>
      </c>
      <c r="H227" s="348">
        <f t="shared" si="231"/>
        <v>23902.491487273004</v>
      </c>
      <c r="I227" s="348">
        <f t="shared" si="231"/>
        <v>24141.516402145735</v>
      </c>
      <c r="J227" s="348">
        <f t="shared" si="231"/>
        <v>24382.931566167194</v>
      </c>
      <c r="K227" s="348">
        <f t="shared" si="231"/>
        <v>24626.760881828865</v>
      </c>
      <c r="L227" s="348">
        <f t="shared" ref="L227:AS227" si="234">+K227*(1+$D227)</f>
        <v>24873.028490647153</v>
      </c>
      <c r="M227" s="348">
        <f t="shared" si="234"/>
        <v>25121.758775553626</v>
      </c>
      <c r="N227" s="348">
        <f t="shared" si="234"/>
        <v>25372.976363309164</v>
      </c>
      <c r="O227" s="348">
        <f t="shared" si="234"/>
        <v>25626.706126942256</v>
      </c>
      <c r="P227" s="348">
        <f t="shared" si="234"/>
        <v>25882.973188211679</v>
      </c>
      <c r="Q227" s="348">
        <f t="shared" si="234"/>
        <v>26141.802920093796</v>
      </c>
      <c r="R227" s="348">
        <f t="shared" si="234"/>
        <v>26403.220949294733</v>
      </c>
      <c r="S227" s="348">
        <f t="shared" si="234"/>
        <v>26667.25315878768</v>
      </c>
      <c r="T227" s="348">
        <f t="shared" si="234"/>
        <v>26933.925690375556</v>
      </c>
      <c r="U227" s="348">
        <f t="shared" si="234"/>
        <v>27203.264947279313</v>
      </c>
      <c r="V227" s="348">
        <f t="shared" si="234"/>
        <v>27475.297596752105</v>
      </c>
      <c r="W227" s="348">
        <f t="shared" si="234"/>
        <v>27750.050572719625</v>
      </c>
      <c r="X227" s="348">
        <f t="shared" si="234"/>
        <v>28027.551078446821</v>
      </c>
      <c r="Y227" s="348">
        <f t="shared" si="234"/>
        <v>28307.826589231288</v>
      </c>
      <c r="Z227" s="348">
        <f t="shared" si="234"/>
        <v>28590.904855123601</v>
      </c>
      <c r="AA227" s="348">
        <f t="shared" si="234"/>
        <v>28876.813903674836</v>
      </c>
      <c r="AB227" s="348">
        <f t="shared" si="234"/>
        <v>29165.582042711583</v>
      </c>
      <c r="AC227" s="348">
        <f t="shared" si="234"/>
        <v>29457.2378631387</v>
      </c>
      <c r="AD227" s="348">
        <f t="shared" si="234"/>
        <v>29751.810241770087</v>
      </c>
      <c r="AE227" s="348">
        <f t="shared" si="234"/>
        <v>30049.328344187787</v>
      </c>
      <c r="AF227" s="348">
        <f t="shared" si="234"/>
        <v>30349.821627629666</v>
      </c>
      <c r="AG227" s="348">
        <f t="shared" si="234"/>
        <v>30653.319843905963</v>
      </c>
      <c r="AH227" s="348">
        <f t="shared" si="234"/>
        <v>30959.853042345025</v>
      </c>
      <c r="AI227" s="348">
        <f t="shared" si="234"/>
        <v>31269.451572768474</v>
      </c>
      <c r="AJ227" s="348">
        <f t="shared" si="234"/>
        <v>31582.14608849616</v>
      </c>
      <c r="AK227" s="348">
        <f t="shared" si="234"/>
        <v>31897.967549381123</v>
      </c>
      <c r="AL227" s="348">
        <f t="shared" si="234"/>
        <v>32216.947224874933</v>
      </c>
      <c r="AM227" s="348">
        <f t="shared" si="234"/>
        <v>32539.116697123682</v>
      </c>
      <c r="AN227" s="348">
        <f t="shared" si="234"/>
        <v>32864.507864094921</v>
      </c>
      <c r="AO227" s="348">
        <f t="shared" si="234"/>
        <v>33193.152942735869</v>
      </c>
      <c r="AP227" s="348">
        <f t="shared" si="234"/>
        <v>33525.084472163231</v>
      </c>
      <c r="AQ227" s="348">
        <f t="shared" si="234"/>
        <v>33860.335316884863</v>
      </c>
      <c r="AR227" s="348">
        <f t="shared" si="234"/>
        <v>34198.938670053714</v>
      </c>
      <c r="AS227" s="351">
        <f t="shared" si="234"/>
        <v>34540.928056754252</v>
      </c>
    </row>
    <row r="228" spans="2:45" s="328" customFormat="1" ht="12.75" thickBot="1">
      <c r="B228" s="352" t="s">
        <v>535</v>
      </c>
      <c r="C228" s="332"/>
      <c r="D228" s="332"/>
      <c r="E228" s="344">
        <f>SUM(E220:E227)</f>
        <v>487703.05895121553</v>
      </c>
      <c r="F228" s="344">
        <f t="shared" ref="F228:AS228" si="235">SUM(F220:F227)</f>
        <v>487703.05895121553</v>
      </c>
      <c r="G228" s="344">
        <f t="shared" si="235"/>
        <v>492580.08954072767</v>
      </c>
      <c r="H228" s="344">
        <f t="shared" si="235"/>
        <v>497505.89043613506</v>
      </c>
      <c r="I228" s="344">
        <f t="shared" si="235"/>
        <v>502480.94934049639</v>
      </c>
      <c r="J228" s="344">
        <f t="shared" si="235"/>
        <v>507505.75883390137</v>
      </c>
      <c r="K228" s="344">
        <f t="shared" si="235"/>
        <v>512580.81642224023</v>
      </c>
      <c r="L228" s="344">
        <f t="shared" si="235"/>
        <v>517706.62458646274</v>
      </c>
      <c r="M228" s="344">
        <f t="shared" si="235"/>
        <v>522883.69083232735</v>
      </c>
      <c r="N228" s="344">
        <f t="shared" si="235"/>
        <v>528112.52774065069</v>
      </c>
      <c r="O228" s="344">
        <f t="shared" si="235"/>
        <v>533393.65301805711</v>
      </c>
      <c r="P228" s="344">
        <f t="shared" si="235"/>
        <v>538727.58954823774</v>
      </c>
      <c r="Q228" s="344">
        <f t="shared" si="235"/>
        <v>544114.86544372013</v>
      </c>
      <c r="R228" s="344">
        <f t="shared" si="235"/>
        <v>549556.01409815729</v>
      </c>
      <c r="S228" s="344">
        <f t="shared" si="235"/>
        <v>555051.57423913898</v>
      </c>
      <c r="T228" s="344">
        <f t="shared" si="235"/>
        <v>560602.08998153021</v>
      </c>
      <c r="U228" s="344">
        <f t="shared" si="235"/>
        <v>566208.11088134558</v>
      </c>
      <c r="V228" s="344">
        <f t="shared" si="235"/>
        <v>571870.1919901591</v>
      </c>
      <c r="W228" s="344">
        <f t="shared" si="235"/>
        <v>577588.89391006064</v>
      </c>
      <c r="X228" s="344">
        <f t="shared" si="235"/>
        <v>583364.7828491613</v>
      </c>
      <c r="Y228" s="344">
        <f t="shared" si="235"/>
        <v>589198.43067765282</v>
      </c>
      <c r="Z228" s="344">
        <f t="shared" si="235"/>
        <v>595090.41498442937</v>
      </c>
      <c r="AA228" s="344">
        <f t="shared" si="235"/>
        <v>601041.31913427368</v>
      </c>
      <c r="AB228" s="344">
        <f t="shared" si="235"/>
        <v>607051.73232561641</v>
      </c>
      <c r="AC228" s="344">
        <f t="shared" si="235"/>
        <v>613122.24964887253</v>
      </c>
      <c r="AD228" s="344">
        <f t="shared" si="235"/>
        <v>619253.47214536136</v>
      </c>
      <c r="AE228" s="344">
        <f t="shared" si="235"/>
        <v>625446.00686681503</v>
      </c>
      <c r="AF228" s="344">
        <f t="shared" si="235"/>
        <v>631700.46693548316</v>
      </c>
      <c r="AG228" s="344">
        <f t="shared" si="235"/>
        <v>638017.47160483804</v>
      </c>
      <c r="AH228" s="344">
        <f t="shared" si="235"/>
        <v>644397.64632088644</v>
      </c>
      <c r="AI228" s="344">
        <f t="shared" si="235"/>
        <v>650841.62278409523</v>
      </c>
      <c r="AJ228" s="344">
        <f t="shared" si="235"/>
        <v>657350.03901193617</v>
      </c>
      <c r="AK228" s="344">
        <f t="shared" si="235"/>
        <v>663923.53940205544</v>
      </c>
      <c r="AL228" s="344">
        <f t="shared" si="235"/>
        <v>670562.77479607624</v>
      </c>
      <c r="AM228" s="344">
        <f t="shared" si="235"/>
        <v>677268.40254403674</v>
      </c>
      <c r="AN228" s="344">
        <f t="shared" si="235"/>
        <v>684041.08656947722</v>
      </c>
      <c r="AO228" s="344">
        <f t="shared" si="235"/>
        <v>690881.49743517197</v>
      </c>
      <c r="AP228" s="344">
        <f t="shared" si="235"/>
        <v>697790.31240952376</v>
      </c>
      <c r="AQ228" s="344">
        <f t="shared" si="235"/>
        <v>704768.21553361905</v>
      </c>
      <c r="AR228" s="344">
        <f t="shared" si="235"/>
        <v>711815.89768895519</v>
      </c>
      <c r="AS228" s="345">
        <f t="shared" si="235"/>
        <v>718934.05666584487</v>
      </c>
    </row>
    <row r="229" spans="2:45" ht="15.75" thickBot="1"/>
    <row r="230" spans="2:45" s="328" customFormat="1" ht="12.75" thickBot="1">
      <c r="B230" s="353" t="s">
        <v>536</v>
      </c>
      <c r="C230" s="354"/>
      <c r="D230" s="357">
        <f>+F230-E230</f>
        <v>12100</v>
      </c>
      <c r="E230" s="354">
        <f>+'PRESUPUESTO AEA'!C34</f>
        <v>768343.05895121559</v>
      </c>
      <c r="F230" s="357">
        <f>+F138+F142+F151+F216+F228</f>
        <v>780443.05895121559</v>
      </c>
      <c r="G230" s="355">
        <f t="shared" ref="G230:AS230" si="236">+G138+G142+G151+G216+G228</f>
        <v>784912.07461535453</v>
      </c>
      <c r="H230" s="355">
        <f t="shared" si="236"/>
        <v>789435.61931636091</v>
      </c>
      <c r="I230" s="355">
        <f t="shared" si="236"/>
        <v>794014.18939494994</v>
      </c>
      <c r="J230" s="355">
        <f t="shared" si="236"/>
        <v>798648.28639877553</v>
      </c>
      <c r="K230" s="355">
        <f t="shared" si="236"/>
        <v>803338.4171332866</v>
      </c>
      <c r="L230" s="355">
        <f t="shared" si="236"/>
        <v>808085.09371310077</v>
      </c>
      <c r="M230" s="355">
        <f t="shared" si="236"/>
        <v>812888.83361389441</v>
      </c>
      <c r="N230" s="355">
        <f t="shared" si="236"/>
        <v>817750.15972482227</v>
      </c>
      <c r="O230" s="355">
        <f t="shared" si="236"/>
        <v>822669.60040146229</v>
      </c>
      <c r="P230" s="355">
        <f t="shared" si="236"/>
        <v>827647.68951929966</v>
      </c>
      <c r="Q230" s="355">
        <f t="shared" si="236"/>
        <v>832684.9665277492</v>
      </c>
      <c r="R230" s="355">
        <f t="shared" si="236"/>
        <v>837781.97650472471</v>
      </c>
      <c r="S230" s="355">
        <f t="shared" si="236"/>
        <v>842939.27021176007</v>
      </c>
      <c r="T230" s="355">
        <f t="shared" si="236"/>
        <v>848157.40414968645</v>
      </c>
      <c r="U230" s="355">
        <f t="shared" si="236"/>
        <v>853436.94061487401</v>
      </c>
      <c r="V230" s="355">
        <f t="shared" si="236"/>
        <v>858778.44775603828</v>
      </c>
      <c r="W230" s="355">
        <f t="shared" si="236"/>
        <v>864182.49963162397</v>
      </c>
      <c r="X230" s="355">
        <f t="shared" si="236"/>
        <v>869649.67626776639</v>
      </c>
      <c r="Y230" s="355">
        <f t="shared" si="236"/>
        <v>875180.56371683814</v>
      </c>
      <c r="Z230" s="355">
        <f t="shared" si="236"/>
        <v>880775.75411658792</v>
      </c>
      <c r="AA230" s="355">
        <f t="shared" si="236"/>
        <v>886435.8457498746</v>
      </c>
      <c r="AB230" s="355">
        <f t="shared" si="236"/>
        <v>892161.44310500589</v>
      </c>
      <c r="AC230" s="355">
        <f t="shared" si="236"/>
        <v>897953.15693668532</v>
      </c>
      <c r="AD230" s="355">
        <f t="shared" si="236"/>
        <v>903811.60432757402</v>
      </c>
      <c r="AE230" s="355">
        <f t="shared" si="236"/>
        <v>909737.40875047352</v>
      </c>
      <c r="AF230" s="355">
        <f t="shared" si="236"/>
        <v>915731.20013113611</v>
      </c>
      <c r="AG230" s="355">
        <f t="shared" si="236"/>
        <v>921793.6149117091</v>
      </c>
      <c r="AH230" s="355">
        <f t="shared" si="236"/>
        <v>927925.29611481784</v>
      </c>
      <c r="AI230" s="355">
        <f t="shared" si="236"/>
        <v>934126.89340829593</v>
      </c>
      <c r="AJ230" s="355">
        <f t="shared" si="236"/>
        <v>940399.06317056797</v>
      </c>
      <c r="AK230" s="355">
        <f t="shared" si="236"/>
        <v>946742.4685566905</v>
      </c>
      <c r="AL230" s="355">
        <f t="shared" si="236"/>
        <v>953157.77956506051</v>
      </c>
      <c r="AM230" s="355">
        <f t="shared" si="236"/>
        <v>959645.67310479342</v>
      </c>
      <c r="AN230" s="355">
        <f t="shared" si="236"/>
        <v>966206.83306378429</v>
      </c>
      <c r="AO230" s="355">
        <f t="shared" si="236"/>
        <v>972841.95037744974</v>
      </c>
      <c r="AP230" s="355">
        <f t="shared" si="236"/>
        <v>979551.72309816722</v>
      </c>
      <c r="AQ230" s="355">
        <f t="shared" si="236"/>
        <v>986336.85646541067</v>
      </c>
      <c r="AR230" s="355">
        <f t="shared" si="236"/>
        <v>993198.06297659373</v>
      </c>
      <c r="AS230" s="355">
        <f t="shared" si="236"/>
        <v>1000136.0624586274</v>
      </c>
    </row>
    <row r="231" spans="2:45" s="319" customFormat="1" ht="12.75" thickBot="1"/>
    <row r="232" spans="2:45" s="319" customFormat="1" ht="12">
      <c r="B232" s="358" t="s">
        <v>537</v>
      </c>
      <c r="C232" s="318"/>
      <c r="D232" s="318"/>
      <c r="E232" s="318"/>
      <c r="F232" s="359">
        <f>'PRESUPUESTO ANUAL BASE'!C46+'PRESUPUESTO ANUAL BASE'!C54+'PRESUPUESTO ANUAL BASE'!C130</f>
        <v>47900</v>
      </c>
    </row>
    <row r="233" spans="2:45" s="319" customFormat="1" ht="12">
      <c r="B233" s="320" t="s">
        <v>538</v>
      </c>
      <c r="C233" s="321"/>
      <c r="D233" s="321"/>
      <c r="E233" s="321"/>
      <c r="F233" s="340">
        <f>+'PRESUPUESTO ANUAL BASE'!C55+'PRESUPUESTO ANUAL BASE'!C131</f>
        <v>180000</v>
      </c>
    </row>
    <row r="234" spans="2:45" s="319" customFormat="1" ht="12.75" thickBot="1">
      <c r="B234" s="352" t="s">
        <v>540</v>
      </c>
      <c r="C234" s="332"/>
      <c r="D234" s="332"/>
      <c r="E234" s="332"/>
      <c r="F234" s="345">
        <f>SUM(F232:F233)</f>
        <v>227900</v>
      </c>
    </row>
    <row r="235" spans="2:45" s="319" customFormat="1" ht="12.75" thickBot="1">
      <c r="B235" s="360"/>
      <c r="C235" s="360"/>
      <c r="D235" s="360"/>
      <c r="E235" s="360"/>
      <c r="F235" s="361"/>
    </row>
    <row r="236" spans="2:45" s="319" customFormat="1" ht="12.75" thickBot="1">
      <c r="B236" s="353" t="s">
        <v>542</v>
      </c>
      <c r="C236" s="354"/>
      <c r="D236" s="354"/>
      <c r="E236" s="354"/>
      <c r="F236" s="371">
        <f>+F230+F234</f>
        <v>1008343.0589512156</v>
      </c>
    </row>
    <row r="237" spans="2:45" s="319" customFormat="1" ht="12.75" thickBot="1"/>
    <row r="238" spans="2:45" s="328" customFormat="1" ht="12.75" thickBot="1">
      <c r="B238" s="356" t="s">
        <v>539</v>
      </c>
      <c r="C238" s="354"/>
      <c r="D238" s="354"/>
      <c r="E238" s="357"/>
      <c r="F238" s="113">
        <f>+F230+F131+F234</f>
        <v>1953092.3249049038</v>
      </c>
      <c r="G238" s="113">
        <f t="shared" ref="G238:AS238" si="237">+G230+G131</f>
        <v>1806552.1288923109</v>
      </c>
      <c r="H238" s="113">
        <f t="shared" si="237"/>
        <v>1884370.5181482935</v>
      </c>
      <c r="I238" s="113">
        <f t="shared" si="237"/>
        <v>1956424.6123988135</v>
      </c>
      <c r="J238" s="113">
        <f t="shared" si="237"/>
        <v>2036877.0069967881</v>
      </c>
      <c r="K238" s="113">
        <f t="shared" si="237"/>
        <v>2068041.1081050213</v>
      </c>
      <c r="L238" s="113">
        <f t="shared" si="237"/>
        <v>2083034.8513377253</v>
      </c>
      <c r="M238" s="113">
        <f t="shared" si="237"/>
        <v>2086770.1850515024</v>
      </c>
      <c r="N238" s="113">
        <f t="shared" si="237"/>
        <v>2100999.5347256833</v>
      </c>
      <c r="O238" s="113">
        <f t="shared" si="237"/>
        <v>2106662.8144299118</v>
      </c>
      <c r="P238" s="113">
        <f t="shared" si="237"/>
        <v>2334588.7040878986</v>
      </c>
      <c r="Q238" s="113">
        <f t="shared" si="237"/>
        <v>2365717.2756857071</v>
      </c>
      <c r="R238" s="113">
        <f t="shared" si="237"/>
        <v>2396515.7923664525</v>
      </c>
      <c r="S238" s="113">
        <f t="shared" si="237"/>
        <v>2424339.4377170363</v>
      </c>
      <c r="T238" s="113">
        <f t="shared" si="237"/>
        <v>2458992.429818193</v>
      </c>
      <c r="U238" s="113">
        <f t="shared" si="237"/>
        <v>2486190.5501995599</v>
      </c>
      <c r="V238" s="113">
        <f t="shared" si="237"/>
        <v>2491799.6870294726</v>
      </c>
      <c r="W238" s="113">
        <f t="shared" si="237"/>
        <v>2491131.7722154697</v>
      </c>
      <c r="X238" s="113">
        <f t="shared" si="237"/>
        <v>2497795.4074799316</v>
      </c>
      <c r="Y238" s="113">
        <f t="shared" si="237"/>
        <v>2498630.1872494495</v>
      </c>
      <c r="Z238" s="113">
        <f t="shared" si="237"/>
        <v>2721191.4077196633</v>
      </c>
      <c r="AA238" s="113">
        <f t="shared" si="237"/>
        <v>2746994.784411306</v>
      </c>
      <c r="AB238" s="113">
        <f t="shared" si="237"/>
        <v>2780941.0540448166</v>
      </c>
      <c r="AC238" s="113">
        <f t="shared" si="237"/>
        <v>2800609.9897796325</v>
      </c>
      <c r="AD238" s="113">
        <f t="shared" si="237"/>
        <v>2833791.05733658</v>
      </c>
      <c r="AE238" s="113">
        <f t="shared" si="237"/>
        <v>2858290.334148074</v>
      </c>
      <c r="AF238" s="113">
        <f t="shared" si="237"/>
        <v>2862273.0170914531</v>
      </c>
      <c r="AG238" s="113">
        <f t="shared" si="237"/>
        <v>2857413.5459649651</v>
      </c>
      <c r="AH238" s="113">
        <f t="shared" si="237"/>
        <v>2865538.0312830922</v>
      </c>
      <c r="AI238" s="113">
        <f t="shared" si="237"/>
        <v>2862960.4639782202</v>
      </c>
      <c r="AJ238" s="113">
        <f t="shared" si="237"/>
        <v>3084668.0236553252</v>
      </c>
      <c r="AK238" s="113">
        <f t="shared" si="237"/>
        <v>3103202.4342315388</v>
      </c>
      <c r="AL238" s="113">
        <f t="shared" si="237"/>
        <v>3135054.611463815</v>
      </c>
      <c r="AM238" s="113">
        <f t="shared" si="237"/>
        <v>3155695.309872732</v>
      </c>
      <c r="AN238" s="113">
        <f t="shared" si="237"/>
        <v>3185391.4752391577</v>
      </c>
      <c r="AO238" s="113">
        <f t="shared" si="237"/>
        <v>3209403.8908963879</v>
      </c>
      <c r="AP238" s="113">
        <f t="shared" si="237"/>
        <v>3213244.4015412349</v>
      </c>
      <c r="AQ238" s="113">
        <f t="shared" si="237"/>
        <v>3210661.3198332218</v>
      </c>
      <c r="AR238" s="113">
        <f t="shared" si="237"/>
        <v>3214457.9432465262</v>
      </c>
      <c r="AS238" s="113">
        <f t="shared" si="237"/>
        <v>3211737.4240531377</v>
      </c>
    </row>
    <row r="239" spans="2:45" s="319" customFormat="1" ht="12.75" thickBot="1"/>
    <row r="240" spans="2:45" s="328" customFormat="1" ht="12.75" thickBot="1">
      <c r="B240" s="374" t="s">
        <v>551</v>
      </c>
      <c r="C240" s="375"/>
      <c r="D240" s="375"/>
      <c r="E240" s="375"/>
      <c r="F240" s="373">
        <f t="shared" ref="F240:AS240" si="238">+F99-F238</f>
        <v>-410670.29100659862</v>
      </c>
      <c r="G240" s="372">
        <f t="shared" si="238"/>
        <v>-136610.43397705653</v>
      </c>
      <c r="H240" s="372">
        <f t="shared" si="238"/>
        <v>-88671.87408049684</v>
      </c>
      <c r="I240" s="372">
        <f t="shared" si="238"/>
        <v>-46536.8157886439</v>
      </c>
      <c r="J240" s="372">
        <f t="shared" si="238"/>
        <v>1893.8574099915568</v>
      </c>
      <c r="K240" s="372">
        <f t="shared" si="238"/>
        <v>14951.417318707565</v>
      </c>
      <c r="L240" s="372">
        <f t="shared" si="238"/>
        <v>24151.911374139134</v>
      </c>
      <c r="M240" s="372">
        <f t="shared" si="238"/>
        <v>25076.916643413017</v>
      </c>
      <c r="N240" s="372">
        <f t="shared" si="238"/>
        <v>33152.973748893011</v>
      </c>
      <c r="O240" s="372">
        <f t="shared" si="238"/>
        <v>35387.321163308807</v>
      </c>
      <c r="P240" s="373">
        <f t="shared" si="238"/>
        <v>145416.70269176224</v>
      </c>
      <c r="Q240" s="373">
        <f t="shared" si="238"/>
        <v>161811.19889056403</v>
      </c>
      <c r="R240" s="373">
        <f t="shared" si="238"/>
        <v>180697.76695558149</v>
      </c>
      <c r="S240" s="373">
        <f t="shared" si="238"/>
        <v>194702.27414737083</v>
      </c>
      <c r="T240" s="373">
        <f t="shared" si="238"/>
        <v>214131.67187672248</v>
      </c>
      <c r="U240" s="373">
        <f t="shared" si="238"/>
        <v>220745.75488518644</v>
      </c>
      <c r="V240" s="373">
        <f t="shared" si="238"/>
        <v>221117.31297052791</v>
      </c>
      <c r="W240" s="373">
        <f t="shared" si="238"/>
        <v>215114.38032690343</v>
      </c>
      <c r="X240" s="373">
        <f t="shared" si="238"/>
        <v>214880.5925200684</v>
      </c>
      <c r="Y240" s="373">
        <f t="shared" si="238"/>
        <v>209728.89749631332</v>
      </c>
      <c r="Z240" s="373">
        <f t="shared" si="238"/>
        <v>312515.72787355725</v>
      </c>
      <c r="AA240" s="373">
        <f t="shared" si="238"/>
        <v>321611.24948699912</v>
      </c>
      <c r="AB240" s="373">
        <f t="shared" si="238"/>
        <v>336799.16629416635</v>
      </c>
      <c r="AC240" s="373">
        <f t="shared" si="238"/>
        <v>342461.33225426544</v>
      </c>
      <c r="AD240" s="373">
        <f t="shared" si="238"/>
        <v>356380.55283291172</v>
      </c>
      <c r="AE240" s="373">
        <f t="shared" si="238"/>
        <v>356932.71669938369</v>
      </c>
      <c r="AF240" s="373">
        <f t="shared" si="238"/>
        <v>351730.28799329326</v>
      </c>
      <c r="AG240" s="373">
        <f t="shared" si="238"/>
        <v>339248.369289272</v>
      </c>
      <c r="AH240" s="373">
        <f t="shared" si="238"/>
        <v>334801.44329317892</v>
      </c>
      <c r="AI240" s="373">
        <f t="shared" si="238"/>
        <v>324125.36653025448</v>
      </c>
      <c r="AJ240" s="373">
        <f t="shared" si="238"/>
        <v>422790.28142942116</v>
      </c>
      <c r="AK240" s="373">
        <f t="shared" si="238"/>
        <v>425619.87085320661</v>
      </c>
      <c r="AL240" s="373">
        <f t="shared" si="238"/>
        <v>436877.45633279532</v>
      </c>
      <c r="AM240" s="373">
        <f t="shared" si="238"/>
        <v>440329.57148319995</v>
      </c>
      <c r="AN240" s="373">
        <f t="shared" si="238"/>
        <v>450447.55865914747</v>
      </c>
      <c r="AO240" s="373">
        <f t="shared" si="238"/>
        <v>448934.73622225644</v>
      </c>
      <c r="AP240" s="373">
        <f t="shared" si="238"/>
        <v>442059.92049266351</v>
      </c>
      <c r="AQ240" s="373">
        <f t="shared" si="238"/>
        <v>429259.23948881216</v>
      </c>
      <c r="AR240" s="373">
        <f t="shared" si="238"/>
        <v>422108.27709245728</v>
      </c>
      <c r="AS240" s="373">
        <f t="shared" si="238"/>
        <v>410048.72848923551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O228"/>
  <sheetViews>
    <sheetView topLeftCell="A190" zoomScale="70" zoomScaleNormal="70" workbookViewId="0">
      <selection activeCell="Q98" sqref="Q98"/>
    </sheetView>
  </sheetViews>
  <sheetFormatPr baseColWidth="10" defaultColWidth="11.5703125" defaultRowHeight="12.75"/>
  <cols>
    <col min="1" max="1" width="1.85546875" style="118" customWidth="1"/>
    <col min="2" max="2" width="53.85546875" style="118" customWidth="1"/>
    <col min="3" max="3" width="14.7109375" style="142" customWidth="1"/>
    <col min="4" max="4" width="19.140625" style="118" hidden="1" customWidth="1"/>
    <col min="5" max="5" width="21" style="118" hidden="1" customWidth="1"/>
    <col min="6" max="6" width="15.140625" style="118" hidden="1" customWidth="1"/>
    <col min="7" max="7" width="14.7109375" style="118" hidden="1" customWidth="1"/>
    <col min="8" max="8" width="14.5703125" style="118" hidden="1" customWidth="1"/>
    <col min="9" max="9" width="15.140625" style="118" hidden="1" customWidth="1"/>
    <col min="10" max="10" width="14" style="118" hidden="1" customWidth="1"/>
    <col min="11" max="11" width="14.42578125" style="118" hidden="1" customWidth="1"/>
    <col min="12" max="12" width="14.140625" style="118" hidden="1" customWidth="1"/>
    <col min="13" max="13" width="14.7109375" style="118" hidden="1" customWidth="1"/>
    <col min="14" max="14" width="14.85546875" style="118" hidden="1" customWidth="1"/>
    <col min="15" max="15" width="14.7109375" style="118" hidden="1" customWidth="1"/>
    <col min="16" max="18" width="14" style="118" customWidth="1"/>
    <col min="19" max="21" width="12.5703125" style="118" bestFit="1" customWidth="1"/>
    <col min="22" max="22" width="15.140625" style="118" customWidth="1"/>
    <col min="23" max="23" width="12.5703125" style="118" bestFit="1" customWidth="1"/>
    <col min="24" max="25" width="12.5703125" style="118" customWidth="1"/>
    <col min="26" max="26" width="12.5703125" style="118" bestFit="1" customWidth="1"/>
    <col min="27" max="27" width="11.5703125" style="118" bestFit="1" customWidth="1"/>
    <col min="28" max="30" width="12.5703125" style="118" bestFit="1" customWidth="1"/>
    <col min="31" max="32" width="12.5703125" style="118" customWidth="1"/>
    <col min="33" max="35" width="12.5703125" style="118" bestFit="1" customWidth="1"/>
    <col min="36" max="36" width="12.85546875" style="118" bestFit="1" customWidth="1"/>
    <col min="37" max="37" width="13.5703125" style="118" bestFit="1" customWidth="1"/>
    <col min="38" max="16384" width="11.5703125" style="118"/>
  </cols>
  <sheetData>
    <row r="1" spans="2:38">
      <c r="B1" s="116" t="s">
        <v>238</v>
      </c>
      <c r="C1" s="117"/>
    </row>
    <row r="2" spans="2:38" ht="12.75" customHeight="1">
      <c r="B2" s="415" t="s">
        <v>265</v>
      </c>
      <c r="C2" s="413" t="s">
        <v>516</v>
      </c>
      <c r="D2" s="407" t="s">
        <v>239</v>
      </c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8"/>
      <c r="P2" s="395" t="s">
        <v>348</v>
      </c>
      <c r="Q2" s="395"/>
      <c r="R2" s="395"/>
      <c r="S2" s="395"/>
      <c r="T2" s="395"/>
      <c r="U2" s="395"/>
      <c r="V2" s="395"/>
      <c r="W2" s="396" t="s">
        <v>349</v>
      </c>
      <c r="X2" s="396"/>
      <c r="Y2" s="396"/>
      <c r="Z2" s="396"/>
      <c r="AA2" s="396"/>
      <c r="AB2" s="396"/>
      <c r="AC2" s="396"/>
      <c r="AD2" s="397" t="s">
        <v>350</v>
      </c>
      <c r="AE2" s="397"/>
      <c r="AF2" s="397"/>
      <c r="AG2" s="397"/>
      <c r="AH2" s="397"/>
      <c r="AI2" s="397"/>
      <c r="AJ2" s="397"/>
      <c r="AK2" s="177" t="s">
        <v>391</v>
      </c>
    </row>
    <row r="3" spans="2:38" ht="35.25" customHeight="1">
      <c r="B3" s="416"/>
      <c r="C3" s="414"/>
      <c r="D3" s="156" t="s">
        <v>241</v>
      </c>
      <c r="E3" s="157" t="s">
        <v>242</v>
      </c>
      <c r="F3" s="157" t="s">
        <v>243</v>
      </c>
      <c r="G3" s="157" t="s">
        <v>244</v>
      </c>
      <c r="H3" s="157" t="s">
        <v>245</v>
      </c>
      <c r="I3" s="157" t="s">
        <v>246</v>
      </c>
      <c r="J3" s="157" t="s">
        <v>247</v>
      </c>
      <c r="K3" s="157" t="s">
        <v>248</v>
      </c>
      <c r="L3" s="157" t="s">
        <v>249</v>
      </c>
      <c r="M3" s="157" t="s">
        <v>250</v>
      </c>
      <c r="N3" s="157" t="s">
        <v>251</v>
      </c>
      <c r="O3" s="157" t="s">
        <v>252</v>
      </c>
      <c r="P3" s="176" t="s">
        <v>347</v>
      </c>
      <c r="Q3" s="176" t="s">
        <v>351</v>
      </c>
      <c r="R3" s="176" t="s">
        <v>352</v>
      </c>
      <c r="S3" s="176" t="s">
        <v>235</v>
      </c>
      <c r="T3" s="176" t="s">
        <v>236</v>
      </c>
      <c r="U3" s="176" t="s">
        <v>237</v>
      </c>
      <c r="V3" s="176" t="s">
        <v>460</v>
      </c>
      <c r="W3" s="178" t="s">
        <v>347</v>
      </c>
      <c r="X3" s="178" t="s">
        <v>351</v>
      </c>
      <c r="Y3" s="178" t="s">
        <v>352</v>
      </c>
      <c r="Z3" s="178" t="s">
        <v>235</v>
      </c>
      <c r="AA3" s="178" t="s">
        <v>236</v>
      </c>
      <c r="AB3" s="178" t="s">
        <v>237</v>
      </c>
      <c r="AC3" s="178" t="s">
        <v>460</v>
      </c>
      <c r="AD3" s="179" t="s">
        <v>461</v>
      </c>
      <c r="AE3" s="179" t="s">
        <v>351</v>
      </c>
      <c r="AF3" s="179" t="s">
        <v>352</v>
      </c>
      <c r="AG3" s="179" t="s">
        <v>235</v>
      </c>
      <c r="AH3" s="179" t="s">
        <v>236</v>
      </c>
      <c r="AI3" s="179" t="s">
        <v>237</v>
      </c>
      <c r="AJ3" s="179" t="s">
        <v>460</v>
      </c>
      <c r="AK3" s="176" t="s">
        <v>95</v>
      </c>
    </row>
    <row r="4" spans="2:38" s="194" customFormat="1">
      <c r="B4" s="154" t="s">
        <v>269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220">
        <v>0</v>
      </c>
      <c r="Q4" s="220">
        <v>0</v>
      </c>
      <c r="R4" s="220">
        <v>0</v>
      </c>
      <c r="S4" s="220">
        <v>0</v>
      </c>
      <c r="T4" s="220">
        <v>0</v>
      </c>
      <c r="U4" s="220">
        <v>0</v>
      </c>
      <c r="V4" s="220">
        <v>0</v>
      </c>
      <c r="W4" s="220">
        <v>0</v>
      </c>
      <c r="X4" s="220"/>
      <c r="Y4" s="220"/>
      <c r="Z4" s="220">
        <v>0</v>
      </c>
      <c r="AA4" s="220">
        <v>0</v>
      </c>
      <c r="AB4" s="220">
        <v>0</v>
      </c>
      <c r="AC4" s="220">
        <v>0</v>
      </c>
      <c r="AD4" s="220">
        <v>5</v>
      </c>
      <c r="AE4" s="220">
        <v>5</v>
      </c>
      <c r="AF4" s="220">
        <v>5</v>
      </c>
      <c r="AG4" s="220">
        <v>5</v>
      </c>
      <c r="AH4" s="220">
        <v>5</v>
      </c>
      <c r="AI4" s="220">
        <v>5</v>
      </c>
      <c r="AJ4" s="220">
        <v>5</v>
      </c>
      <c r="AK4" s="188"/>
    </row>
    <row r="5" spans="2:38" s="198" customFormat="1">
      <c r="B5" s="202" t="s">
        <v>356</v>
      </c>
      <c r="C5" s="199">
        <f>SUM(C6:C10)</f>
        <v>138856.33991301438</v>
      </c>
      <c r="D5" s="199">
        <f t="shared" ref="D5:O5" si="0">SUM(D6:D10)</f>
        <v>11571.361659417867</v>
      </c>
      <c r="E5" s="199">
        <f t="shared" si="0"/>
        <v>11571.361659417867</v>
      </c>
      <c r="F5" s="199">
        <f t="shared" si="0"/>
        <v>11571.361659417867</v>
      </c>
      <c r="G5" s="199">
        <f t="shared" si="0"/>
        <v>11571.361659417867</v>
      </c>
      <c r="H5" s="199">
        <f t="shared" si="0"/>
        <v>11571.361659417867</v>
      </c>
      <c r="I5" s="199">
        <f t="shared" si="0"/>
        <v>11571.361659417867</v>
      </c>
      <c r="J5" s="199">
        <f t="shared" si="0"/>
        <v>11571.361659417867</v>
      </c>
      <c r="K5" s="199">
        <f t="shared" si="0"/>
        <v>11571.361659417867</v>
      </c>
      <c r="L5" s="199">
        <f t="shared" si="0"/>
        <v>11571.361659417867</v>
      </c>
      <c r="M5" s="199">
        <f t="shared" si="0"/>
        <v>11571.361659417867</v>
      </c>
      <c r="N5" s="199">
        <f t="shared" si="0"/>
        <v>11571.361659417867</v>
      </c>
      <c r="O5" s="199">
        <f t="shared" si="0"/>
        <v>11571.36165941786</v>
      </c>
      <c r="P5" s="222">
        <f>$C6*P6+$C7*P7+$C8*P8+$C9*P9+$C10*P10</f>
        <v>0</v>
      </c>
      <c r="Q5" s="222"/>
      <c r="R5" s="222"/>
      <c r="S5" s="222">
        <f t="shared" ref="S5:AJ5" si="1">$C6*S6+$C7*S7+$C8*S8+$C9*S9+$C10*S10</f>
        <v>0</v>
      </c>
      <c r="T5" s="222">
        <f t="shared" si="1"/>
        <v>0</v>
      </c>
      <c r="U5" s="222">
        <f t="shared" si="1"/>
        <v>0</v>
      </c>
      <c r="V5" s="222">
        <f t="shared" si="1"/>
        <v>0</v>
      </c>
      <c r="W5" s="222">
        <f t="shared" si="1"/>
        <v>0</v>
      </c>
      <c r="X5" s="222"/>
      <c r="Y5" s="222"/>
      <c r="Z5" s="222">
        <f t="shared" si="1"/>
        <v>0</v>
      </c>
      <c r="AA5" s="222">
        <f t="shared" si="1"/>
        <v>0</v>
      </c>
      <c r="AB5" s="222">
        <f t="shared" si="1"/>
        <v>0</v>
      </c>
      <c r="AC5" s="222">
        <f t="shared" si="1"/>
        <v>0</v>
      </c>
      <c r="AD5" s="222">
        <f t="shared" si="1"/>
        <v>8134.5466711274667</v>
      </c>
      <c r="AE5" s="222">
        <f t="shared" si="1"/>
        <v>8134.5466711274667</v>
      </c>
      <c r="AF5" s="222">
        <f t="shared" si="1"/>
        <v>8134.5466711274667</v>
      </c>
      <c r="AG5" s="222">
        <f t="shared" si="1"/>
        <v>8134.5466711274667</v>
      </c>
      <c r="AH5" s="222">
        <f t="shared" si="1"/>
        <v>8134.5466711274667</v>
      </c>
      <c r="AI5" s="222">
        <f t="shared" si="1"/>
        <v>8134.5466711274667</v>
      </c>
      <c r="AJ5" s="222">
        <f t="shared" si="1"/>
        <v>90049.059886249568</v>
      </c>
      <c r="AK5" s="221">
        <f>SUM(P5:AJ5)</f>
        <v>138856.33991301438</v>
      </c>
    </row>
    <row r="6" spans="2:38">
      <c r="B6" s="135" t="s">
        <v>266</v>
      </c>
      <c r="C6" s="121">
        <f>SUM(D6:O6)</f>
        <v>66242.89059886249</v>
      </c>
      <c r="D6" s="121">
        <v>5520.2408832385418</v>
      </c>
      <c r="E6" s="121">
        <v>5520.2408832385418</v>
      </c>
      <c r="F6" s="121">
        <v>5520.2408832385418</v>
      </c>
      <c r="G6" s="121">
        <v>5520.2408832385418</v>
      </c>
      <c r="H6" s="121">
        <v>5520.2408832385418</v>
      </c>
      <c r="I6" s="121">
        <v>5520.2408832385418</v>
      </c>
      <c r="J6" s="121">
        <v>5520.2408832385418</v>
      </c>
      <c r="K6" s="121">
        <v>5520.2408832385418</v>
      </c>
      <c r="L6" s="121">
        <v>5520.2408832385418</v>
      </c>
      <c r="M6" s="121">
        <v>5520.2408832385418</v>
      </c>
      <c r="N6" s="121">
        <v>5520.2408832385418</v>
      </c>
      <c r="O6" s="121">
        <v>5520.2408832385399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  <c r="X6" s="152">
        <v>0</v>
      </c>
      <c r="Y6" s="152">
        <v>0</v>
      </c>
      <c r="Z6" s="152">
        <v>0</v>
      </c>
      <c r="AA6" s="152">
        <v>0</v>
      </c>
      <c r="AB6" s="152">
        <v>0</v>
      </c>
      <c r="AC6" s="152">
        <v>0</v>
      </c>
      <c r="AD6" s="152">
        <v>0.05</v>
      </c>
      <c r="AE6" s="152">
        <v>0.05</v>
      </c>
      <c r="AF6" s="152">
        <v>0.05</v>
      </c>
      <c r="AG6" s="152">
        <v>0.05</v>
      </c>
      <c r="AH6" s="152">
        <v>0.05</v>
      </c>
      <c r="AI6" s="152">
        <v>0.05</v>
      </c>
      <c r="AJ6" s="152">
        <v>0.7</v>
      </c>
      <c r="AK6" s="190">
        <f>SUM(P6:AJ6)</f>
        <v>1</v>
      </c>
    </row>
    <row r="7" spans="2:38">
      <c r="B7" s="135" t="s">
        <v>267</v>
      </c>
      <c r="C7" s="121">
        <f>SUM(D7:O7)</f>
        <v>20876.547340247573</v>
      </c>
      <c r="D7" s="122">
        <v>1739.7122783539646</v>
      </c>
      <c r="E7" s="122">
        <v>1739.7122783539646</v>
      </c>
      <c r="F7" s="122">
        <v>1739.7122783539646</v>
      </c>
      <c r="G7" s="122">
        <v>1739.7122783539646</v>
      </c>
      <c r="H7" s="122">
        <v>1739.7122783539646</v>
      </c>
      <c r="I7" s="122">
        <v>1739.7122783539646</v>
      </c>
      <c r="J7" s="122">
        <v>1739.7122783539646</v>
      </c>
      <c r="K7" s="122">
        <v>1739.7122783539646</v>
      </c>
      <c r="L7" s="122">
        <v>1739.7122783539646</v>
      </c>
      <c r="M7" s="122">
        <v>1739.7122783539646</v>
      </c>
      <c r="N7" s="122">
        <v>1739.7122783539646</v>
      </c>
      <c r="O7" s="122">
        <v>1739.7122783539601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  <c r="X7" s="152">
        <v>0</v>
      </c>
      <c r="Y7" s="152">
        <v>0</v>
      </c>
      <c r="Z7" s="152">
        <v>0</v>
      </c>
      <c r="AA7" s="152">
        <v>0</v>
      </c>
      <c r="AB7" s="152">
        <v>0</v>
      </c>
      <c r="AC7" s="152">
        <v>0</v>
      </c>
      <c r="AD7" s="152">
        <v>0.05</v>
      </c>
      <c r="AE7" s="152">
        <v>0.05</v>
      </c>
      <c r="AF7" s="152">
        <v>0.05</v>
      </c>
      <c r="AG7" s="152">
        <v>0.05</v>
      </c>
      <c r="AH7" s="152">
        <v>0.05</v>
      </c>
      <c r="AI7" s="152">
        <v>0.05</v>
      </c>
      <c r="AJ7" s="152">
        <v>0.7</v>
      </c>
      <c r="AK7" s="190">
        <f t="shared" ref="AK7:AK10" si="2">SUM(P7:AJ7)</f>
        <v>1</v>
      </c>
    </row>
    <row r="8" spans="2:38">
      <c r="B8" s="135" t="s">
        <v>279</v>
      </c>
      <c r="C8" s="121">
        <f t="shared" ref="C8:C15" si="3">SUM(D8:O8)</f>
        <v>27902.308464369347</v>
      </c>
      <c r="D8" s="122">
        <v>2325.1923720307796</v>
      </c>
      <c r="E8" s="122">
        <v>2325.1923720307796</v>
      </c>
      <c r="F8" s="122">
        <v>2325.1923720307796</v>
      </c>
      <c r="G8" s="122">
        <v>2325.1923720307796</v>
      </c>
      <c r="H8" s="122">
        <v>2325.1923720307796</v>
      </c>
      <c r="I8" s="122">
        <v>2325.1923720307796</v>
      </c>
      <c r="J8" s="122">
        <v>2325.1923720307796</v>
      </c>
      <c r="K8" s="122">
        <v>2325.1923720307796</v>
      </c>
      <c r="L8" s="122">
        <v>2325.1923720307796</v>
      </c>
      <c r="M8" s="122">
        <v>2325.1923720307796</v>
      </c>
      <c r="N8" s="122">
        <v>2325.1923720307796</v>
      </c>
      <c r="O8" s="122">
        <v>2325.19237203078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  <c r="X8" s="152">
        <v>0</v>
      </c>
      <c r="Y8" s="152">
        <v>0</v>
      </c>
      <c r="Z8" s="152">
        <v>0</v>
      </c>
      <c r="AA8" s="152">
        <v>0</v>
      </c>
      <c r="AB8" s="152">
        <v>0</v>
      </c>
      <c r="AC8" s="152">
        <v>0</v>
      </c>
      <c r="AD8" s="152">
        <v>0.05</v>
      </c>
      <c r="AE8" s="152">
        <v>0.05</v>
      </c>
      <c r="AF8" s="152">
        <v>0.05</v>
      </c>
      <c r="AG8" s="152">
        <v>0.05</v>
      </c>
      <c r="AH8" s="152">
        <v>0.05</v>
      </c>
      <c r="AI8" s="152">
        <v>0.05</v>
      </c>
      <c r="AJ8" s="152">
        <v>0.7</v>
      </c>
      <c r="AK8" s="190">
        <f t="shared" si="2"/>
        <v>1</v>
      </c>
    </row>
    <row r="9" spans="2:38">
      <c r="B9" s="169" t="s">
        <v>511</v>
      </c>
      <c r="C9" s="172">
        <f>SUM(D9:O9)</f>
        <v>14400</v>
      </c>
      <c r="D9" s="173">
        <v>1200</v>
      </c>
      <c r="E9" s="173">
        <v>1200</v>
      </c>
      <c r="F9" s="173">
        <v>1200</v>
      </c>
      <c r="G9" s="173">
        <v>1200</v>
      </c>
      <c r="H9" s="173">
        <v>1200</v>
      </c>
      <c r="I9" s="173">
        <v>1200</v>
      </c>
      <c r="J9" s="173">
        <v>1200</v>
      </c>
      <c r="K9" s="173">
        <v>1200</v>
      </c>
      <c r="L9" s="173">
        <v>1200</v>
      </c>
      <c r="M9" s="173">
        <v>1200</v>
      </c>
      <c r="N9" s="173">
        <v>1200</v>
      </c>
      <c r="O9" s="173">
        <v>1200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  <c r="X9" s="152">
        <v>0</v>
      </c>
      <c r="Y9" s="152">
        <v>0</v>
      </c>
      <c r="Z9" s="152">
        <v>0</v>
      </c>
      <c r="AA9" s="152">
        <v>0</v>
      </c>
      <c r="AB9" s="152">
        <v>0</v>
      </c>
      <c r="AC9" s="152">
        <v>0</v>
      </c>
      <c r="AD9" s="152">
        <v>0.1</v>
      </c>
      <c r="AE9" s="152">
        <v>0.1</v>
      </c>
      <c r="AF9" s="152">
        <v>0.1</v>
      </c>
      <c r="AG9" s="152">
        <v>0.1</v>
      </c>
      <c r="AH9" s="152">
        <v>0.1</v>
      </c>
      <c r="AI9" s="152">
        <v>0.1</v>
      </c>
      <c r="AJ9" s="152">
        <v>0.4</v>
      </c>
      <c r="AK9" s="190">
        <f t="shared" si="2"/>
        <v>1</v>
      </c>
    </row>
    <row r="10" spans="2:38">
      <c r="B10" s="155" t="s">
        <v>268</v>
      </c>
      <c r="C10" s="121">
        <f t="shared" si="3"/>
        <v>9434.5935095349596</v>
      </c>
      <c r="D10" s="122">
        <v>786.21612579458019</v>
      </c>
      <c r="E10" s="122">
        <v>786.21612579458019</v>
      </c>
      <c r="F10" s="122">
        <v>786.21612579458019</v>
      </c>
      <c r="G10" s="122">
        <v>786.21612579458019</v>
      </c>
      <c r="H10" s="122">
        <v>786.21612579458019</v>
      </c>
      <c r="I10" s="122">
        <v>786.21612579458019</v>
      </c>
      <c r="J10" s="122">
        <v>786.21612579458019</v>
      </c>
      <c r="K10" s="122">
        <v>786.21612579458019</v>
      </c>
      <c r="L10" s="122">
        <v>786.21612579458019</v>
      </c>
      <c r="M10" s="122">
        <v>786.21612579458019</v>
      </c>
      <c r="N10" s="122">
        <v>786.21612579458019</v>
      </c>
      <c r="O10" s="122">
        <v>786.21612579457997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  <c r="X10" s="152">
        <v>0</v>
      </c>
      <c r="Y10" s="152">
        <v>0</v>
      </c>
      <c r="Z10" s="152">
        <v>0</v>
      </c>
      <c r="AA10" s="152">
        <v>0</v>
      </c>
      <c r="AB10" s="152">
        <v>0</v>
      </c>
      <c r="AC10" s="152">
        <v>0</v>
      </c>
      <c r="AD10" s="152">
        <v>0.1</v>
      </c>
      <c r="AE10" s="152">
        <v>0.1</v>
      </c>
      <c r="AF10" s="152">
        <v>0.1</v>
      </c>
      <c r="AG10" s="152">
        <v>0.1</v>
      </c>
      <c r="AH10" s="152">
        <v>0.1</v>
      </c>
      <c r="AI10" s="152">
        <v>0.1</v>
      </c>
      <c r="AJ10" s="152">
        <v>0.4</v>
      </c>
      <c r="AK10" s="190">
        <f t="shared" si="2"/>
        <v>1</v>
      </c>
    </row>
    <row r="11" spans="2:38" s="194" customFormat="1">
      <c r="B11" s="192" t="s">
        <v>355</v>
      </c>
      <c r="C11" s="193">
        <f>SUM(C12:C16)</f>
        <v>56964.220586595286</v>
      </c>
      <c r="D11" s="193">
        <f t="shared" ref="D11:O11" si="4">SUM(D12:D16)</f>
        <v>1536.4225493476081</v>
      </c>
      <c r="E11" s="193">
        <f t="shared" si="4"/>
        <v>2536.4225493476079</v>
      </c>
      <c r="F11" s="193">
        <f t="shared" si="4"/>
        <v>1536.4225493476081</v>
      </c>
      <c r="G11" s="193">
        <f t="shared" si="4"/>
        <v>1536.4225493476081</v>
      </c>
      <c r="H11" s="193">
        <f t="shared" si="4"/>
        <v>7918.4343704694993</v>
      </c>
      <c r="I11" s="193">
        <f t="shared" si="4"/>
        <v>1536.4225493476081</v>
      </c>
      <c r="J11" s="193">
        <f t="shared" si="4"/>
        <v>13888.85112077618</v>
      </c>
      <c r="K11" s="193">
        <f t="shared" si="4"/>
        <v>1536.4225493476081</v>
      </c>
      <c r="L11" s="193">
        <f t="shared" si="4"/>
        <v>1536.4225493476081</v>
      </c>
      <c r="M11" s="193">
        <f t="shared" si="4"/>
        <v>1536.4225493476081</v>
      </c>
      <c r="N11" s="193">
        <f t="shared" si="4"/>
        <v>7976.7035797925737</v>
      </c>
      <c r="O11" s="193">
        <f t="shared" si="4"/>
        <v>13888.851120776173</v>
      </c>
      <c r="P11" s="195">
        <f t="shared" ref="P11:AJ11" si="5">$C11*P5/$C5</f>
        <v>0</v>
      </c>
      <c r="Q11" s="195"/>
      <c r="R11" s="195"/>
      <c r="S11" s="195">
        <f t="shared" si="5"/>
        <v>0</v>
      </c>
      <c r="T11" s="195">
        <f t="shared" si="5"/>
        <v>0</v>
      </c>
      <c r="U11" s="195">
        <f t="shared" si="5"/>
        <v>0</v>
      </c>
      <c r="V11" s="195">
        <f t="shared" si="5"/>
        <v>0</v>
      </c>
      <c r="W11" s="195">
        <f t="shared" si="5"/>
        <v>0</v>
      </c>
      <c r="X11" s="195"/>
      <c r="Y11" s="195"/>
      <c r="Z11" s="195">
        <f t="shared" si="5"/>
        <v>0</v>
      </c>
      <c r="AA11" s="195">
        <f t="shared" si="5"/>
        <v>0</v>
      </c>
      <c r="AB11" s="195">
        <f t="shared" si="5"/>
        <v>0</v>
      </c>
      <c r="AC11" s="195">
        <f t="shared" si="5"/>
        <v>0</v>
      </c>
      <c r="AD11" s="195">
        <f>$C11*AD5/$C5</f>
        <v>3337.1044580055868</v>
      </c>
      <c r="AE11" s="195">
        <f t="shared" ref="AE11:AF11" si="6">$C11*AE5/$C5</f>
        <v>3337.1044580055868</v>
      </c>
      <c r="AF11" s="195">
        <f t="shared" si="6"/>
        <v>3337.1044580055868</v>
      </c>
      <c r="AG11" s="195">
        <f t="shared" si="5"/>
        <v>3337.1044580055868</v>
      </c>
      <c r="AH11" s="195">
        <f t="shared" si="5"/>
        <v>3337.1044580055868</v>
      </c>
      <c r="AI11" s="195">
        <f t="shared" si="5"/>
        <v>3337.1044580055868</v>
      </c>
      <c r="AJ11" s="195">
        <f t="shared" si="5"/>
        <v>36941.593838561756</v>
      </c>
      <c r="AK11" s="255">
        <f>SUM(P11:AJ11)</f>
        <v>56964.220586595271</v>
      </c>
    </row>
    <row r="12" spans="2:38">
      <c r="B12" s="149" t="s">
        <v>253</v>
      </c>
      <c r="C12" s="121">
        <f t="shared" si="3"/>
        <v>24704.857142857138</v>
      </c>
      <c r="D12" s="122"/>
      <c r="E12" s="123"/>
      <c r="F12" s="124" t="s">
        <v>238</v>
      </c>
      <c r="G12" s="122"/>
      <c r="H12" s="122"/>
      <c r="I12" s="122"/>
      <c r="J12" s="122">
        <f>SUM(J6:J10)*1.0675</f>
        <v>12352.428571428572</v>
      </c>
      <c r="K12" s="122"/>
      <c r="L12" s="122"/>
      <c r="M12" s="123"/>
      <c r="N12" s="125"/>
      <c r="O12" s="122">
        <f>SUM(O6:O10)*1.0675</f>
        <v>12352.428571428565</v>
      </c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51"/>
      <c r="AK12" s="252"/>
      <c r="AL12" s="186"/>
    </row>
    <row r="13" spans="2:38">
      <c r="B13" s="135" t="s">
        <v>254</v>
      </c>
      <c r="C13" s="121">
        <f t="shared" si="3"/>
        <v>12497.070592171296</v>
      </c>
      <c r="D13" s="122">
        <f>SUM(D6:D10)*9%</f>
        <v>1041.4225493476081</v>
      </c>
      <c r="E13" s="122">
        <f t="shared" ref="E13:O13" si="7">SUM(E6:E10)*9%</f>
        <v>1041.4225493476081</v>
      </c>
      <c r="F13" s="122">
        <f t="shared" si="7"/>
        <v>1041.4225493476081</v>
      </c>
      <c r="G13" s="122">
        <f t="shared" si="7"/>
        <v>1041.4225493476081</v>
      </c>
      <c r="H13" s="122">
        <f t="shared" si="7"/>
        <v>1041.4225493476081</v>
      </c>
      <c r="I13" s="122">
        <f t="shared" si="7"/>
        <v>1041.4225493476081</v>
      </c>
      <c r="J13" s="122">
        <f t="shared" si="7"/>
        <v>1041.4225493476081</v>
      </c>
      <c r="K13" s="122">
        <f t="shared" si="7"/>
        <v>1041.4225493476081</v>
      </c>
      <c r="L13" s="122">
        <f t="shared" si="7"/>
        <v>1041.4225493476081</v>
      </c>
      <c r="M13" s="122">
        <f t="shared" si="7"/>
        <v>1041.4225493476081</v>
      </c>
      <c r="N13" s="122">
        <f t="shared" si="7"/>
        <v>1041.4225493476081</v>
      </c>
      <c r="O13" s="122">
        <f t="shared" si="7"/>
        <v>1041.4225493476074</v>
      </c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51"/>
      <c r="AK13" s="252"/>
      <c r="AL13" s="186"/>
    </row>
    <row r="14" spans="2:38">
      <c r="B14" s="135" t="s">
        <v>255</v>
      </c>
      <c r="C14" s="121">
        <f t="shared" si="3"/>
        <v>12822.292851566857</v>
      </c>
      <c r="D14" s="122" t="s">
        <v>238</v>
      </c>
      <c r="E14" s="123" t="s">
        <v>238</v>
      </c>
      <c r="F14" s="126" t="s">
        <v>238</v>
      </c>
      <c r="G14" s="122" t="s">
        <v>238</v>
      </c>
      <c r="H14" s="122">
        <v>6382.0118211218914</v>
      </c>
      <c r="I14" s="122" t="s">
        <v>238</v>
      </c>
      <c r="J14" s="122" t="s">
        <v>238</v>
      </c>
      <c r="K14" s="122" t="s">
        <v>238</v>
      </c>
      <c r="L14" s="122" t="s">
        <v>238</v>
      </c>
      <c r="M14" s="123" t="s">
        <v>238</v>
      </c>
      <c r="N14" s="122">
        <v>6440.2810304449658</v>
      </c>
      <c r="O14" s="125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51"/>
      <c r="AK14" s="252"/>
      <c r="AL14" s="186"/>
    </row>
    <row r="15" spans="2:38">
      <c r="B15" s="133" t="s">
        <v>256</v>
      </c>
      <c r="C15" s="121">
        <f t="shared" si="3"/>
        <v>5940</v>
      </c>
      <c r="D15" s="127">
        <v>495</v>
      </c>
      <c r="E15" s="127">
        <v>495</v>
      </c>
      <c r="F15" s="127">
        <v>495</v>
      </c>
      <c r="G15" s="127">
        <v>495</v>
      </c>
      <c r="H15" s="127">
        <v>495</v>
      </c>
      <c r="I15" s="127">
        <v>495</v>
      </c>
      <c r="J15" s="127">
        <v>495</v>
      </c>
      <c r="K15" s="127">
        <v>495</v>
      </c>
      <c r="L15" s="127">
        <v>495</v>
      </c>
      <c r="M15" s="127">
        <v>495</v>
      </c>
      <c r="N15" s="127">
        <v>495</v>
      </c>
      <c r="O15" s="127">
        <v>495</v>
      </c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51"/>
      <c r="AK15" s="252"/>
      <c r="AL15" s="186"/>
    </row>
    <row r="16" spans="2:38">
      <c r="B16" s="133" t="s">
        <v>278</v>
      </c>
      <c r="C16" s="121">
        <f>SUM(D16:O16)</f>
        <v>1000</v>
      </c>
      <c r="D16" s="136"/>
      <c r="E16" s="127">
        <v>1000</v>
      </c>
      <c r="F16" s="131"/>
      <c r="G16" s="125"/>
      <c r="H16" s="125" t="s">
        <v>238</v>
      </c>
      <c r="I16" s="125" t="s">
        <v>238</v>
      </c>
      <c r="J16" s="131"/>
      <c r="K16" s="125"/>
      <c r="L16" s="124" t="s">
        <v>238</v>
      </c>
      <c r="M16" s="125" t="s">
        <v>238</v>
      </c>
      <c r="N16" s="125"/>
      <c r="O16" s="125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51"/>
      <c r="AK16" s="252"/>
      <c r="AL16" s="186"/>
    </row>
    <row r="17" spans="2:38" s="194" customFormat="1">
      <c r="B17" s="128" t="s">
        <v>270</v>
      </c>
      <c r="C17" s="120">
        <f>+C5+C11</f>
        <v>195820.56049960968</v>
      </c>
      <c r="D17" s="120">
        <f t="shared" ref="D17:O17" si="8">+D5+D11</f>
        <v>13107.784208765475</v>
      </c>
      <c r="E17" s="120">
        <f t="shared" si="8"/>
        <v>14107.784208765475</v>
      </c>
      <c r="F17" s="120">
        <f t="shared" si="8"/>
        <v>13107.784208765475</v>
      </c>
      <c r="G17" s="120">
        <f t="shared" si="8"/>
        <v>13107.784208765475</v>
      </c>
      <c r="H17" s="120">
        <f t="shared" si="8"/>
        <v>19489.796029887366</v>
      </c>
      <c r="I17" s="120">
        <f t="shared" si="8"/>
        <v>13107.784208765475</v>
      </c>
      <c r="J17" s="120">
        <f t="shared" si="8"/>
        <v>25460.212780194048</v>
      </c>
      <c r="K17" s="120">
        <f t="shared" si="8"/>
        <v>13107.784208765475</v>
      </c>
      <c r="L17" s="120">
        <f t="shared" si="8"/>
        <v>13107.784208765475</v>
      </c>
      <c r="M17" s="120">
        <f t="shared" si="8"/>
        <v>13107.784208765475</v>
      </c>
      <c r="N17" s="120">
        <f t="shared" si="8"/>
        <v>19548.065239210442</v>
      </c>
      <c r="O17" s="120">
        <f t="shared" si="8"/>
        <v>25460.212780194033</v>
      </c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7"/>
      <c r="AK17" s="197"/>
      <c r="AL17" s="205"/>
    </row>
    <row r="18" spans="2:38">
      <c r="B18" s="119" t="s">
        <v>271</v>
      </c>
      <c r="C18" s="120"/>
      <c r="D18" s="129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91"/>
      <c r="Q18" s="191"/>
      <c r="R18" s="191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85"/>
      <c r="AK18" s="186"/>
      <c r="AL18" s="186"/>
    </row>
    <row r="19" spans="2:38">
      <c r="B19" s="130" t="s">
        <v>272</v>
      </c>
      <c r="C19" s="121">
        <f>SUM(D19:O19)</f>
        <v>8500</v>
      </c>
      <c r="D19" s="122"/>
      <c r="E19" s="131"/>
      <c r="F19" s="131"/>
      <c r="G19" s="131"/>
      <c r="H19" s="131"/>
      <c r="I19" s="131">
        <v>4250</v>
      </c>
      <c r="J19" s="131"/>
      <c r="K19" s="131"/>
      <c r="L19" s="131">
        <v>4250</v>
      </c>
      <c r="M19" s="131"/>
      <c r="N19" s="131"/>
      <c r="O19" s="131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</row>
    <row r="20" spans="2:38">
      <c r="B20" s="130" t="s">
        <v>324</v>
      </c>
      <c r="C20" s="121">
        <f>SUM(D20:O20)</f>
        <v>4450</v>
      </c>
      <c r="D20" s="122">
        <v>350</v>
      </c>
      <c r="E20" s="122">
        <v>350</v>
      </c>
      <c r="F20" s="122">
        <v>350</v>
      </c>
      <c r="G20" s="122">
        <v>350</v>
      </c>
      <c r="H20" s="122">
        <v>350</v>
      </c>
      <c r="I20" s="122">
        <v>350</v>
      </c>
      <c r="J20" s="122">
        <v>475</v>
      </c>
      <c r="K20" s="122">
        <v>350</v>
      </c>
      <c r="L20" s="122">
        <v>350</v>
      </c>
      <c r="M20" s="122">
        <v>350</v>
      </c>
      <c r="N20" s="122">
        <v>350</v>
      </c>
      <c r="O20" s="122">
        <v>475</v>
      </c>
    </row>
    <row r="21" spans="2:38">
      <c r="B21" s="128" t="s">
        <v>274</v>
      </c>
      <c r="C21" s="120">
        <f t="shared" ref="C21:O21" si="9">SUM(C19:C20)</f>
        <v>12950</v>
      </c>
      <c r="D21" s="120">
        <f t="shared" si="9"/>
        <v>350</v>
      </c>
      <c r="E21" s="120">
        <f t="shared" si="9"/>
        <v>350</v>
      </c>
      <c r="F21" s="120">
        <f t="shared" si="9"/>
        <v>350</v>
      </c>
      <c r="G21" s="120">
        <f t="shared" si="9"/>
        <v>350</v>
      </c>
      <c r="H21" s="120">
        <f t="shared" si="9"/>
        <v>350</v>
      </c>
      <c r="I21" s="120">
        <f t="shared" si="9"/>
        <v>4600</v>
      </c>
      <c r="J21" s="120">
        <f t="shared" si="9"/>
        <v>475</v>
      </c>
      <c r="K21" s="120">
        <f t="shared" si="9"/>
        <v>350</v>
      </c>
      <c r="L21" s="120">
        <f t="shared" si="9"/>
        <v>4600</v>
      </c>
      <c r="M21" s="120">
        <f t="shared" si="9"/>
        <v>350</v>
      </c>
      <c r="N21" s="120">
        <f t="shared" si="9"/>
        <v>350</v>
      </c>
      <c r="O21" s="120">
        <f t="shared" si="9"/>
        <v>475</v>
      </c>
    </row>
    <row r="22" spans="2:38">
      <c r="B22" s="119" t="s">
        <v>275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</row>
    <row r="23" spans="2:38">
      <c r="B23" s="169" t="s">
        <v>493</v>
      </c>
      <c r="C23" s="172">
        <f>SUM(D23:O23)</f>
        <v>7200</v>
      </c>
      <c r="D23" s="212">
        <v>600</v>
      </c>
      <c r="E23" s="212">
        <v>600</v>
      </c>
      <c r="F23" s="212">
        <v>600</v>
      </c>
      <c r="G23" s="212">
        <v>600</v>
      </c>
      <c r="H23" s="212">
        <v>600</v>
      </c>
      <c r="I23" s="212">
        <v>600</v>
      </c>
      <c r="J23" s="212">
        <v>600</v>
      </c>
      <c r="K23" s="212">
        <v>600</v>
      </c>
      <c r="L23" s="212">
        <v>600</v>
      </c>
      <c r="M23" s="212">
        <v>600</v>
      </c>
      <c r="N23" s="212">
        <v>600</v>
      </c>
      <c r="O23" s="212">
        <v>600</v>
      </c>
    </row>
    <row r="24" spans="2:38">
      <c r="B24" s="169" t="s">
        <v>492</v>
      </c>
      <c r="C24" s="172">
        <f>SUM(D24:O24)</f>
        <v>2400</v>
      </c>
      <c r="D24" s="212">
        <v>200</v>
      </c>
      <c r="E24" s="212">
        <v>200</v>
      </c>
      <c r="F24" s="212">
        <v>200</v>
      </c>
      <c r="G24" s="212">
        <v>200</v>
      </c>
      <c r="H24" s="212">
        <v>200</v>
      </c>
      <c r="I24" s="212">
        <v>200</v>
      </c>
      <c r="J24" s="212">
        <v>200</v>
      </c>
      <c r="K24" s="212">
        <v>200</v>
      </c>
      <c r="L24" s="212">
        <v>200</v>
      </c>
      <c r="M24" s="212">
        <v>200</v>
      </c>
      <c r="N24" s="212">
        <v>200</v>
      </c>
      <c r="O24" s="212">
        <v>200</v>
      </c>
    </row>
    <row r="25" spans="2:38">
      <c r="B25" s="128" t="s">
        <v>280</v>
      </c>
      <c r="C25" s="120">
        <f t="shared" ref="C25:O25" si="10">SUM(C23:C24)</f>
        <v>9600</v>
      </c>
      <c r="D25" s="137">
        <f t="shared" si="10"/>
        <v>800</v>
      </c>
      <c r="E25" s="120">
        <f t="shared" si="10"/>
        <v>800</v>
      </c>
      <c r="F25" s="120">
        <f t="shared" si="10"/>
        <v>800</v>
      </c>
      <c r="G25" s="120">
        <f t="shared" si="10"/>
        <v>800</v>
      </c>
      <c r="H25" s="120">
        <f t="shared" si="10"/>
        <v>800</v>
      </c>
      <c r="I25" s="120">
        <f t="shared" si="10"/>
        <v>800</v>
      </c>
      <c r="J25" s="120">
        <f t="shared" si="10"/>
        <v>800</v>
      </c>
      <c r="K25" s="120">
        <f t="shared" si="10"/>
        <v>800</v>
      </c>
      <c r="L25" s="120">
        <f t="shared" si="10"/>
        <v>800</v>
      </c>
      <c r="M25" s="120">
        <f t="shared" si="10"/>
        <v>800</v>
      </c>
      <c r="N25" s="120">
        <f t="shared" si="10"/>
        <v>800</v>
      </c>
      <c r="O25" s="120">
        <f t="shared" si="10"/>
        <v>800</v>
      </c>
    </row>
    <row r="26" spans="2:38">
      <c r="B26" s="128" t="s">
        <v>292</v>
      </c>
      <c r="C26" s="132"/>
      <c r="D26" s="138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</row>
    <row r="27" spans="2:38">
      <c r="B27" s="130" t="s">
        <v>273</v>
      </c>
      <c r="C27" s="121">
        <f>SUM(D27:O27)</f>
        <v>3600</v>
      </c>
      <c r="D27" s="122">
        <v>300</v>
      </c>
      <c r="E27" s="122">
        <v>300</v>
      </c>
      <c r="F27" s="122">
        <v>300</v>
      </c>
      <c r="G27" s="122">
        <v>300</v>
      </c>
      <c r="H27" s="122">
        <v>300</v>
      </c>
      <c r="I27" s="122">
        <v>300</v>
      </c>
      <c r="J27" s="122">
        <v>300</v>
      </c>
      <c r="K27" s="122">
        <v>300</v>
      </c>
      <c r="L27" s="122">
        <v>300</v>
      </c>
      <c r="M27" s="122">
        <v>300</v>
      </c>
      <c r="N27" s="122">
        <v>300</v>
      </c>
      <c r="O27" s="122">
        <v>300</v>
      </c>
    </row>
    <row r="28" spans="2:38">
      <c r="B28" s="135" t="s">
        <v>281</v>
      </c>
      <c r="C28" s="121">
        <f t="shared" ref="C28:C39" si="11">SUM(D28:O28)</f>
        <v>4200</v>
      </c>
      <c r="D28" s="134">
        <v>350</v>
      </c>
      <c r="E28" s="134">
        <v>350</v>
      </c>
      <c r="F28" s="134">
        <v>350</v>
      </c>
      <c r="G28" s="134">
        <v>350</v>
      </c>
      <c r="H28" s="134">
        <v>350</v>
      </c>
      <c r="I28" s="134">
        <v>350</v>
      </c>
      <c r="J28" s="134">
        <v>350</v>
      </c>
      <c r="K28" s="134">
        <v>350</v>
      </c>
      <c r="L28" s="134">
        <v>350</v>
      </c>
      <c r="M28" s="134">
        <v>350</v>
      </c>
      <c r="N28" s="134">
        <v>350</v>
      </c>
      <c r="O28" s="134">
        <v>350</v>
      </c>
    </row>
    <row r="29" spans="2:38">
      <c r="B29" s="135" t="s">
        <v>282</v>
      </c>
      <c r="C29" s="121">
        <f t="shared" si="11"/>
        <v>14400</v>
      </c>
      <c r="D29" s="134">
        <v>1200</v>
      </c>
      <c r="E29" s="134">
        <v>1200</v>
      </c>
      <c r="F29" s="134">
        <v>1200</v>
      </c>
      <c r="G29" s="134">
        <v>1200</v>
      </c>
      <c r="H29" s="134">
        <v>1200</v>
      </c>
      <c r="I29" s="134">
        <v>1200</v>
      </c>
      <c r="J29" s="134">
        <v>1200</v>
      </c>
      <c r="K29" s="134">
        <v>1200</v>
      </c>
      <c r="L29" s="134">
        <v>1200</v>
      </c>
      <c r="M29" s="134">
        <v>1200</v>
      </c>
      <c r="N29" s="134">
        <v>1200</v>
      </c>
      <c r="O29" s="134">
        <v>1200</v>
      </c>
    </row>
    <row r="30" spans="2:38">
      <c r="B30" s="135" t="s">
        <v>283</v>
      </c>
      <c r="C30" s="121">
        <f t="shared" si="11"/>
        <v>1800</v>
      </c>
      <c r="D30" s="134">
        <v>150</v>
      </c>
      <c r="E30" s="134">
        <v>150</v>
      </c>
      <c r="F30" s="134">
        <v>150</v>
      </c>
      <c r="G30" s="134">
        <v>150</v>
      </c>
      <c r="H30" s="134">
        <v>150</v>
      </c>
      <c r="I30" s="134">
        <v>150</v>
      </c>
      <c r="J30" s="134">
        <v>150</v>
      </c>
      <c r="K30" s="134">
        <v>150</v>
      </c>
      <c r="L30" s="134">
        <v>150</v>
      </c>
      <c r="M30" s="134">
        <v>150</v>
      </c>
      <c r="N30" s="134">
        <v>150</v>
      </c>
      <c r="O30" s="134">
        <v>150</v>
      </c>
    </row>
    <row r="31" spans="2:38">
      <c r="B31" s="135" t="s">
        <v>284</v>
      </c>
      <c r="C31" s="121">
        <f t="shared" si="11"/>
        <v>900</v>
      </c>
      <c r="D31" s="134">
        <v>75</v>
      </c>
      <c r="E31" s="134">
        <v>75</v>
      </c>
      <c r="F31" s="134">
        <v>75</v>
      </c>
      <c r="G31" s="134">
        <v>75</v>
      </c>
      <c r="H31" s="134">
        <v>75</v>
      </c>
      <c r="I31" s="134">
        <v>75</v>
      </c>
      <c r="J31" s="134">
        <v>75</v>
      </c>
      <c r="K31" s="134">
        <v>75</v>
      </c>
      <c r="L31" s="134">
        <v>75</v>
      </c>
      <c r="M31" s="134">
        <v>75</v>
      </c>
      <c r="N31" s="134">
        <v>75</v>
      </c>
      <c r="O31" s="134">
        <v>75</v>
      </c>
    </row>
    <row r="32" spans="2:38">
      <c r="B32" s="135" t="s">
        <v>285</v>
      </c>
      <c r="C32" s="121">
        <f t="shared" si="11"/>
        <v>400</v>
      </c>
      <c r="D32" s="134" t="s">
        <v>238</v>
      </c>
      <c r="E32" s="134">
        <v>400</v>
      </c>
      <c r="F32" s="124">
        <v>0</v>
      </c>
      <c r="G32" s="123" t="s">
        <v>238</v>
      </c>
      <c r="H32" s="123" t="s">
        <v>238</v>
      </c>
      <c r="I32" s="122" t="s">
        <v>238</v>
      </c>
      <c r="J32" s="122" t="s">
        <v>238</v>
      </c>
      <c r="K32" s="123" t="s">
        <v>238</v>
      </c>
      <c r="L32" s="122" t="s">
        <v>238</v>
      </c>
      <c r="M32" s="123" t="s">
        <v>238</v>
      </c>
      <c r="N32" s="125"/>
      <c r="O32" s="125"/>
    </row>
    <row r="33" spans="2:15">
      <c r="B33" s="135" t="s">
        <v>286</v>
      </c>
      <c r="C33" s="121">
        <f t="shared" si="11"/>
        <v>3000</v>
      </c>
      <c r="D33" s="134">
        <v>250</v>
      </c>
      <c r="E33" s="134">
        <v>250</v>
      </c>
      <c r="F33" s="134">
        <v>250</v>
      </c>
      <c r="G33" s="134">
        <v>250</v>
      </c>
      <c r="H33" s="134">
        <v>250</v>
      </c>
      <c r="I33" s="134">
        <v>250</v>
      </c>
      <c r="J33" s="134">
        <v>250</v>
      </c>
      <c r="K33" s="134">
        <v>250</v>
      </c>
      <c r="L33" s="134">
        <v>250</v>
      </c>
      <c r="M33" s="134">
        <v>250</v>
      </c>
      <c r="N33" s="134">
        <v>250</v>
      </c>
      <c r="O33" s="134">
        <v>250</v>
      </c>
    </row>
    <row r="34" spans="2:15">
      <c r="B34" s="135" t="s">
        <v>287</v>
      </c>
      <c r="C34" s="121">
        <f t="shared" si="11"/>
        <v>2150</v>
      </c>
      <c r="D34" s="123" t="s">
        <v>238</v>
      </c>
      <c r="E34" s="123"/>
      <c r="F34" s="124">
        <v>950</v>
      </c>
      <c r="G34" s="134" t="s">
        <v>238</v>
      </c>
      <c r="H34" s="123"/>
      <c r="I34" s="122"/>
      <c r="J34" s="122">
        <v>1200</v>
      </c>
      <c r="K34" s="123"/>
      <c r="L34" s="122"/>
      <c r="M34" s="123"/>
      <c r="N34" s="125"/>
      <c r="O34" s="125"/>
    </row>
    <row r="35" spans="2:15">
      <c r="B35" s="135" t="s">
        <v>288</v>
      </c>
      <c r="C35" s="121">
        <f t="shared" si="11"/>
        <v>5100</v>
      </c>
      <c r="D35" s="139">
        <v>375</v>
      </c>
      <c r="E35" s="139">
        <v>975</v>
      </c>
      <c r="F35" s="139">
        <v>375</v>
      </c>
      <c r="G35" s="139">
        <v>375</v>
      </c>
      <c r="H35" s="139">
        <v>375</v>
      </c>
      <c r="I35" s="139">
        <v>375</v>
      </c>
      <c r="J35" s="139">
        <v>375</v>
      </c>
      <c r="K35" s="139">
        <v>375</v>
      </c>
      <c r="L35" s="139">
        <v>375</v>
      </c>
      <c r="M35" s="139">
        <v>375</v>
      </c>
      <c r="N35" s="139">
        <v>375</v>
      </c>
      <c r="O35" s="139">
        <v>375</v>
      </c>
    </row>
    <row r="36" spans="2:15">
      <c r="B36" s="133" t="s">
        <v>291</v>
      </c>
      <c r="C36" s="121">
        <f t="shared" si="11"/>
        <v>1800</v>
      </c>
      <c r="D36" s="134">
        <v>150</v>
      </c>
      <c r="E36" s="134">
        <v>150</v>
      </c>
      <c r="F36" s="134">
        <v>150</v>
      </c>
      <c r="G36" s="134">
        <v>150</v>
      </c>
      <c r="H36" s="134">
        <v>150</v>
      </c>
      <c r="I36" s="134">
        <v>150</v>
      </c>
      <c r="J36" s="134">
        <v>150</v>
      </c>
      <c r="K36" s="134">
        <v>150</v>
      </c>
      <c r="L36" s="134">
        <v>150</v>
      </c>
      <c r="M36" s="134">
        <v>150</v>
      </c>
      <c r="N36" s="134">
        <v>150</v>
      </c>
      <c r="O36" s="134">
        <v>150</v>
      </c>
    </row>
    <row r="37" spans="2:15">
      <c r="B37" s="140" t="s">
        <v>296</v>
      </c>
      <c r="C37" s="121">
        <f t="shared" si="11"/>
        <v>600</v>
      </c>
      <c r="D37" s="134">
        <v>50</v>
      </c>
      <c r="E37" s="134">
        <v>50</v>
      </c>
      <c r="F37" s="134">
        <v>50</v>
      </c>
      <c r="G37" s="134">
        <v>50</v>
      </c>
      <c r="H37" s="134">
        <v>50</v>
      </c>
      <c r="I37" s="134">
        <v>50</v>
      </c>
      <c r="J37" s="134">
        <v>50</v>
      </c>
      <c r="K37" s="134">
        <v>50</v>
      </c>
      <c r="L37" s="134">
        <v>50</v>
      </c>
      <c r="M37" s="134">
        <v>50</v>
      </c>
      <c r="N37" s="134">
        <v>50</v>
      </c>
      <c r="O37" s="134">
        <v>50</v>
      </c>
    </row>
    <row r="38" spans="2:15">
      <c r="B38" s="133" t="s">
        <v>289</v>
      </c>
      <c r="C38" s="121">
        <f t="shared" si="11"/>
        <v>720</v>
      </c>
      <c r="D38" s="134">
        <v>60</v>
      </c>
      <c r="E38" s="134">
        <v>60</v>
      </c>
      <c r="F38" s="134">
        <v>60</v>
      </c>
      <c r="G38" s="134">
        <v>60</v>
      </c>
      <c r="H38" s="134">
        <v>60</v>
      </c>
      <c r="I38" s="134">
        <v>60</v>
      </c>
      <c r="J38" s="134">
        <v>60</v>
      </c>
      <c r="K38" s="134">
        <v>60</v>
      </c>
      <c r="L38" s="134">
        <v>60</v>
      </c>
      <c r="M38" s="134">
        <v>60</v>
      </c>
      <c r="N38" s="134">
        <v>60</v>
      </c>
      <c r="O38" s="134">
        <v>60</v>
      </c>
    </row>
    <row r="39" spans="2:15">
      <c r="B39" s="133" t="s">
        <v>290</v>
      </c>
      <c r="C39" s="121">
        <f t="shared" si="11"/>
        <v>600</v>
      </c>
      <c r="D39" s="134">
        <v>50</v>
      </c>
      <c r="E39" s="134">
        <v>50</v>
      </c>
      <c r="F39" s="134">
        <v>50</v>
      </c>
      <c r="G39" s="134">
        <v>50</v>
      </c>
      <c r="H39" s="134">
        <v>50</v>
      </c>
      <c r="I39" s="134">
        <v>50</v>
      </c>
      <c r="J39" s="134">
        <v>50</v>
      </c>
      <c r="K39" s="134">
        <v>50</v>
      </c>
      <c r="L39" s="134">
        <v>50</v>
      </c>
      <c r="M39" s="134">
        <v>50</v>
      </c>
      <c r="N39" s="134">
        <v>50</v>
      </c>
      <c r="O39" s="134">
        <v>50</v>
      </c>
    </row>
    <row r="40" spans="2:15">
      <c r="B40" s="128" t="s">
        <v>293</v>
      </c>
      <c r="C40" s="120">
        <f>SUM(C27:C39)</f>
        <v>39270</v>
      </c>
      <c r="D40" s="137">
        <f t="shared" ref="D40:O40" si="12">SUM(D28:D39)</f>
        <v>2710</v>
      </c>
      <c r="E40" s="120">
        <f t="shared" si="12"/>
        <v>3710</v>
      </c>
      <c r="F40" s="120">
        <f t="shared" si="12"/>
        <v>3660</v>
      </c>
      <c r="G40" s="120">
        <f t="shared" si="12"/>
        <v>2710</v>
      </c>
      <c r="H40" s="120">
        <f t="shared" si="12"/>
        <v>2710</v>
      </c>
      <c r="I40" s="120">
        <f t="shared" si="12"/>
        <v>2710</v>
      </c>
      <c r="J40" s="120">
        <f t="shared" si="12"/>
        <v>3910</v>
      </c>
      <c r="K40" s="120">
        <f t="shared" si="12"/>
        <v>2710</v>
      </c>
      <c r="L40" s="120">
        <f t="shared" si="12"/>
        <v>2710</v>
      </c>
      <c r="M40" s="120">
        <f t="shared" si="12"/>
        <v>2710</v>
      </c>
      <c r="N40" s="120">
        <f t="shared" si="12"/>
        <v>2710</v>
      </c>
      <c r="O40" s="120">
        <f t="shared" si="12"/>
        <v>2710</v>
      </c>
    </row>
    <row r="41" spans="2:15">
      <c r="B41" s="119" t="s">
        <v>294</v>
      </c>
      <c r="C41" s="120"/>
      <c r="D41" s="138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</row>
    <row r="42" spans="2:15">
      <c r="B42" s="133" t="s">
        <v>295</v>
      </c>
      <c r="C42" s="121">
        <f>SUM(D42:O42)</f>
        <v>200</v>
      </c>
      <c r="D42" s="123">
        <v>200</v>
      </c>
      <c r="E42" s="125"/>
      <c r="F42" s="131" t="s">
        <v>238</v>
      </c>
      <c r="G42" s="124"/>
      <c r="H42" s="125"/>
      <c r="I42" s="125"/>
      <c r="J42" s="131"/>
      <c r="K42" s="125" t="s">
        <v>238</v>
      </c>
      <c r="L42" s="125"/>
      <c r="M42" s="125"/>
      <c r="N42" s="125"/>
      <c r="O42" s="125"/>
    </row>
    <row r="43" spans="2:15">
      <c r="B43" s="135" t="s">
        <v>328</v>
      </c>
      <c r="C43" s="121">
        <f>SUM(D43:O43)</f>
        <v>1700</v>
      </c>
      <c r="D43" s="124">
        <v>500</v>
      </c>
      <c r="E43" s="122">
        <v>1200</v>
      </c>
      <c r="F43" s="131"/>
      <c r="G43" s="124" t="s">
        <v>238</v>
      </c>
      <c r="H43" s="125" t="s">
        <v>238</v>
      </c>
      <c r="I43" s="125"/>
      <c r="J43" s="131"/>
      <c r="K43" s="125"/>
      <c r="L43" s="125"/>
      <c r="M43" s="131" t="s">
        <v>238</v>
      </c>
      <c r="N43" s="125"/>
      <c r="O43" s="125"/>
    </row>
    <row r="44" spans="2:15">
      <c r="B44" s="135" t="s">
        <v>329</v>
      </c>
      <c r="C44" s="121">
        <f>SUM(D44:O44)</f>
        <v>0</v>
      </c>
      <c r="D44" s="123"/>
      <c r="E44" s="125"/>
      <c r="F44" s="131"/>
      <c r="G44" s="124"/>
      <c r="H44" s="125"/>
      <c r="I44" s="125"/>
      <c r="J44" s="131" t="s">
        <v>238</v>
      </c>
      <c r="K44" s="125"/>
      <c r="L44" s="125"/>
      <c r="M44" s="125"/>
      <c r="N44" s="125"/>
      <c r="O44" s="125"/>
    </row>
    <row r="45" spans="2:15">
      <c r="B45" s="133" t="s">
        <v>330</v>
      </c>
      <c r="C45" s="121">
        <f>SUM(D45:O45)</f>
        <v>0</v>
      </c>
      <c r="D45" s="123"/>
      <c r="E45" s="141"/>
      <c r="F45" s="131"/>
      <c r="G45" s="124" t="s">
        <v>238</v>
      </c>
      <c r="H45" s="125"/>
      <c r="I45" s="125" t="s">
        <v>238</v>
      </c>
      <c r="J45" s="131"/>
      <c r="K45" s="125"/>
      <c r="L45" s="125"/>
      <c r="M45" s="141" t="s">
        <v>238</v>
      </c>
      <c r="N45" s="125"/>
      <c r="O45" s="125"/>
    </row>
    <row r="46" spans="2:15">
      <c r="B46" s="128" t="s">
        <v>297</v>
      </c>
      <c r="C46" s="120">
        <f>SUM(C42:C45)</f>
        <v>1900</v>
      </c>
      <c r="D46" s="137">
        <f t="shared" ref="D46:O46" si="13">SUM(D42:D45)</f>
        <v>700</v>
      </c>
      <c r="E46" s="120">
        <f t="shared" si="13"/>
        <v>1200</v>
      </c>
      <c r="F46" s="120">
        <f t="shared" si="13"/>
        <v>0</v>
      </c>
      <c r="G46" s="120">
        <f t="shared" si="13"/>
        <v>0</v>
      </c>
      <c r="H46" s="120">
        <f t="shared" si="13"/>
        <v>0</v>
      </c>
      <c r="I46" s="120">
        <f t="shared" si="13"/>
        <v>0</v>
      </c>
      <c r="J46" s="120">
        <f t="shared" si="13"/>
        <v>0</v>
      </c>
      <c r="K46" s="120">
        <f t="shared" si="13"/>
        <v>0</v>
      </c>
      <c r="L46" s="120">
        <f t="shared" si="13"/>
        <v>0</v>
      </c>
      <c r="M46" s="120">
        <f t="shared" si="13"/>
        <v>0</v>
      </c>
      <c r="N46" s="120">
        <f t="shared" si="13"/>
        <v>0</v>
      </c>
      <c r="O46" s="120">
        <f t="shared" si="13"/>
        <v>0</v>
      </c>
    </row>
    <row r="47" spans="2:15">
      <c r="B47" s="162" t="s">
        <v>298</v>
      </c>
      <c r="C47" s="163">
        <f t="shared" ref="C47:O47" si="14">C17+C21+C25+C40+C46</f>
        <v>259540.56049960968</v>
      </c>
      <c r="D47" s="164">
        <f t="shared" si="14"/>
        <v>17667.784208765475</v>
      </c>
      <c r="E47" s="163">
        <f t="shared" si="14"/>
        <v>20167.784208765475</v>
      </c>
      <c r="F47" s="163">
        <f t="shared" si="14"/>
        <v>17917.784208765475</v>
      </c>
      <c r="G47" s="163">
        <f t="shared" si="14"/>
        <v>16967.784208765475</v>
      </c>
      <c r="H47" s="163">
        <f t="shared" si="14"/>
        <v>23349.796029887366</v>
      </c>
      <c r="I47" s="163">
        <f t="shared" si="14"/>
        <v>21217.784208765475</v>
      </c>
      <c r="J47" s="163">
        <f t="shared" si="14"/>
        <v>30645.212780194048</v>
      </c>
      <c r="K47" s="163">
        <f t="shared" si="14"/>
        <v>16967.784208765475</v>
      </c>
      <c r="L47" s="163">
        <f t="shared" si="14"/>
        <v>21217.784208765475</v>
      </c>
      <c r="M47" s="163">
        <f t="shared" si="14"/>
        <v>16967.784208765475</v>
      </c>
      <c r="N47" s="163">
        <f t="shared" si="14"/>
        <v>23408.065239210442</v>
      </c>
      <c r="O47" s="163">
        <f t="shared" si="14"/>
        <v>29445.212780194033</v>
      </c>
    </row>
    <row r="48" spans="2:15">
      <c r="D48" s="143" t="s">
        <v>238</v>
      </c>
    </row>
    <row r="51" spans="2:38">
      <c r="B51" s="399" t="s">
        <v>299</v>
      </c>
      <c r="C51" s="401" t="s">
        <v>516</v>
      </c>
      <c r="D51" s="409" t="s">
        <v>239</v>
      </c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10"/>
    </row>
    <row r="52" spans="2:38">
      <c r="B52" s="400"/>
      <c r="C52" s="402"/>
      <c r="D52" s="158" t="s">
        <v>241</v>
      </c>
      <c r="E52" s="159" t="s">
        <v>242</v>
      </c>
      <c r="F52" s="159" t="s">
        <v>243</v>
      </c>
      <c r="G52" s="159" t="s">
        <v>244</v>
      </c>
      <c r="H52" s="159" t="s">
        <v>245</v>
      </c>
      <c r="I52" s="159" t="s">
        <v>246</v>
      </c>
      <c r="J52" s="159" t="s">
        <v>247</v>
      </c>
      <c r="K52" s="159" t="s">
        <v>248</v>
      </c>
      <c r="L52" s="159" t="s">
        <v>249</v>
      </c>
      <c r="M52" s="159" t="s">
        <v>250</v>
      </c>
      <c r="N52" s="159" t="s">
        <v>251</v>
      </c>
      <c r="O52" s="159" t="s">
        <v>252</v>
      </c>
    </row>
    <row r="53" spans="2:38">
      <c r="B53" s="144" t="s">
        <v>365</v>
      </c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</row>
    <row r="54" spans="2:38">
      <c r="B54" s="145" t="s">
        <v>333</v>
      </c>
      <c r="C54" s="121">
        <f>SUM(D54:O54)</f>
        <v>23000</v>
      </c>
      <c r="D54" s="124" t="s">
        <v>238</v>
      </c>
      <c r="E54" s="124"/>
      <c r="F54" s="124"/>
      <c r="G54" s="124" t="s">
        <v>238</v>
      </c>
      <c r="H54" s="124" t="s">
        <v>238</v>
      </c>
      <c r="I54" s="124" t="s">
        <v>238</v>
      </c>
      <c r="J54" s="124" t="s">
        <v>238</v>
      </c>
      <c r="K54" s="124"/>
      <c r="L54" s="124">
        <v>23000</v>
      </c>
      <c r="M54" s="124" t="s">
        <v>238</v>
      </c>
      <c r="N54" s="124" t="s">
        <v>238</v>
      </c>
      <c r="O54" s="124" t="s">
        <v>238</v>
      </c>
    </row>
    <row r="55" spans="2:38">
      <c r="B55" s="218" t="s">
        <v>519</v>
      </c>
      <c r="C55" s="172">
        <f>SUM(D55:O55)</f>
        <v>90000</v>
      </c>
      <c r="D55" s="217">
        <v>0</v>
      </c>
      <c r="E55" s="217">
        <v>0</v>
      </c>
      <c r="F55" s="217">
        <v>0</v>
      </c>
      <c r="G55" s="217">
        <v>0</v>
      </c>
      <c r="H55" s="217">
        <v>0</v>
      </c>
      <c r="I55" s="217">
        <v>90000</v>
      </c>
      <c r="J55" s="217">
        <v>0</v>
      </c>
      <c r="K55" s="217">
        <v>0</v>
      </c>
      <c r="L55" s="217">
        <v>0</v>
      </c>
      <c r="M55" s="217">
        <v>0</v>
      </c>
      <c r="N55" s="217">
        <v>0</v>
      </c>
      <c r="O55" s="246">
        <v>0</v>
      </c>
      <c r="P55" s="398"/>
      <c r="Q55" s="398"/>
      <c r="R55" s="398"/>
      <c r="S55" s="398"/>
      <c r="T55" s="398"/>
      <c r="U55" s="398"/>
      <c r="V55" s="398"/>
      <c r="W55" s="398"/>
      <c r="X55" s="398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180"/>
      <c r="AL55" s="183"/>
    </row>
    <row r="56" spans="2:38">
      <c r="B56" s="144" t="s">
        <v>300</v>
      </c>
      <c r="C56" s="120">
        <f t="shared" ref="C56:O56" si="15">SUM(C54:C55)</f>
        <v>113000</v>
      </c>
      <c r="D56" s="120">
        <f t="shared" si="15"/>
        <v>0</v>
      </c>
      <c r="E56" s="120">
        <f t="shared" si="15"/>
        <v>0</v>
      </c>
      <c r="F56" s="120">
        <f t="shared" si="15"/>
        <v>0</v>
      </c>
      <c r="G56" s="120">
        <f t="shared" si="15"/>
        <v>0</v>
      </c>
      <c r="H56" s="120">
        <f t="shared" si="15"/>
        <v>0</v>
      </c>
      <c r="I56" s="120">
        <f t="shared" si="15"/>
        <v>90000</v>
      </c>
      <c r="J56" s="120">
        <f t="shared" si="15"/>
        <v>0</v>
      </c>
      <c r="K56" s="120">
        <f t="shared" si="15"/>
        <v>0</v>
      </c>
      <c r="L56" s="120">
        <f t="shared" si="15"/>
        <v>23000</v>
      </c>
      <c r="M56" s="120">
        <f t="shared" si="15"/>
        <v>0</v>
      </c>
      <c r="N56" s="120">
        <f t="shared" si="15"/>
        <v>0</v>
      </c>
      <c r="O56" s="248">
        <f t="shared" si="15"/>
        <v>0</v>
      </c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3"/>
    </row>
    <row r="57" spans="2:38">
      <c r="B57" s="144" t="s">
        <v>301</v>
      </c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219">
        <v>0.5</v>
      </c>
      <c r="Q57" s="219">
        <v>0.5</v>
      </c>
      <c r="R57" s="219">
        <v>0.5</v>
      </c>
      <c r="S57" s="219">
        <v>1.5</v>
      </c>
      <c r="T57" s="219">
        <v>0</v>
      </c>
      <c r="U57" s="219">
        <v>1.5</v>
      </c>
      <c r="V57" s="219">
        <v>7.5</v>
      </c>
      <c r="W57" s="219">
        <v>0.5</v>
      </c>
      <c r="X57" s="219">
        <v>0.5</v>
      </c>
      <c r="Y57" s="219">
        <v>0.5</v>
      </c>
      <c r="Z57" s="219">
        <v>0.5</v>
      </c>
      <c r="AA57" s="219">
        <v>0</v>
      </c>
      <c r="AB57" s="219">
        <v>0.5</v>
      </c>
      <c r="AC57" s="219">
        <v>0.5</v>
      </c>
      <c r="AD57" s="219">
        <v>0</v>
      </c>
      <c r="AE57" s="219">
        <v>0</v>
      </c>
      <c r="AF57" s="219">
        <v>0</v>
      </c>
      <c r="AG57" s="219">
        <v>0</v>
      </c>
      <c r="AH57" s="219">
        <v>0</v>
      </c>
      <c r="AI57" s="219">
        <v>0</v>
      </c>
      <c r="AJ57" s="219">
        <v>0</v>
      </c>
      <c r="AK57" s="249"/>
    </row>
    <row r="58" spans="2:38" s="143" customFormat="1">
      <c r="B58" s="203" t="s">
        <v>356</v>
      </c>
      <c r="C58" s="199">
        <f>SUM(C59:C66)</f>
        <v>58684.39848778856</v>
      </c>
      <c r="D58" s="199">
        <f t="shared" ref="D58:O58" si="16">SUM(D59:D66)</f>
        <v>4890.3665406490472</v>
      </c>
      <c r="E58" s="199">
        <f t="shared" si="16"/>
        <v>4890.3665406490472</v>
      </c>
      <c r="F58" s="199">
        <f t="shared" si="16"/>
        <v>4890.3665406490472</v>
      </c>
      <c r="G58" s="199">
        <f t="shared" si="16"/>
        <v>4890.3665406490472</v>
      </c>
      <c r="H58" s="199">
        <f t="shared" si="16"/>
        <v>4890.3665406490472</v>
      </c>
      <c r="I58" s="199">
        <f t="shared" si="16"/>
        <v>4890.3665406490472</v>
      </c>
      <c r="J58" s="199">
        <f t="shared" si="16"/>
        <v>4890.3665406490472</v>
      </c>
      <c r="K58" s="199">
        <f t="shared" si="16"/>
        <v>4890.3665406490472</v>
      </c>
      <c r="L58" s="199">
        <f t="shared" si="16"/>
        <v>4890.3665406490472</v>
      </c>
      <c r="M58" s="199">
        <f t="shared" si="16"/>
        <v>4890.3665406490472</v>
      </c>
      <c r="N58" s="199">
        <f t="shared" si="16"/>
        <v>4890.3665406490472</v>
      </c>
      <c r="O58" s="199">
        <f t="shared" si="16"/>
        <v>4890.3665406490472</v>
      </c>
      <c r="P58" s="222">
        <f>$C59*P59+$C60*P60+$C61*P61+$C62*P62+$C63*P63+$C64*P64+$C65*P65+$C66*P66</f>
        <v>185.68200000000007</v>
      </c>
      <c r="Q58" s="222">
        <f t="shared" ref="Q58:R58" si="17">$C59*Q59+$C60*Q60+$C61*Q61+$C62*Q62+$C63*Q63+$C64*Q64+$C65*Q65+$C66*Q66</f>
        <v>185.68200000000007</v>
      </c>
      <c r="R58" s="222">
        <f t="shared" si="17"/>
        <v>185.68200000000007</v>
      </c>
      <c r="S58" s="222">
        <f t="shared" ref="S58:AJ58" si="18">$C59*S59+$C60*S60+$C61*S61+$C62*S62+$C63*S63+$C64*S64+$C65*S65+$C66*S66</f>
        <v>5339.5807949146902</v>
      </c>
      <c r="T58" s="222">
        <f t="shared" si="18"/>
        <v>0</v>
      </c>
      <c r="U58" s="222">
        <f t="shared" si="18"/>
        <v>1865.682</v>
      </c>
      <c r="V58" s="222">
        <f t="shared" si="18"/>
        <v>49250.951692873874</v>
      </c>
      <c r="W58" s="222">
        <f t="shared" si="18"/>
        <v>185.68200000000007</v>
      </c>
      <c r="X58" s="222">
        <f t="shared" si="18"/>
        <v>185.68200000000007</v>
      </c>
      <c r="Y58" s="222">
        <f t="shared" si="18"/>
        <v>185.68200000000007</v>
      </c>
      <c r="Z58" s="222">
        <f t="shared" si="18"/>
        <v>185.68200000000007</v>
      </c>
      <c r="AA58" s="222">
        <f t="shared" si="18"/>
        <v>0</v>
      </c>
      <c r="AB58" s="222">
        <f t="shared" si="18"/>
        <v>185.68200000000007</v>
      </c>
      <c r="AC58" s="222">
        <f t="shared" si="18"/>
        <v>742.72800000000029</v>
      </c>
      <c r="AD58" s="222">
        <f t="shared" si="18"/>
        <v>0</v>
      </c>
      <c r="AE58" s="222">
        <f t="shared" si="18"/>
        <v>0</v>
      </c>
      <c r="AF58" s="222">
        <f t="shared" si="18"/>
        <v>0</v>
      </c>
      <c r="AG58" s="222">
        <f t="shared" si="18"/>
        <v>0</v>
      </c>
      <c r="AH58" s="222">
        <f t="shared" si="18"/>
        <v>0</v>
      </c>
      <c r="AI58" s="222">
        <f t="shared" si="18"/>
        <v>0</v>
      </c>
      <c r="AJ58" s="222">
        <f t="shared" si="18"/>
        <v>0</v>
      </c>
      <c r="AK58" s="189">
        <f>SUM(P58:AJ58)</f>
        <v>58684.398487788567</v>
      </c>
    </row>
    <row r="59" spans="2:38">
      <c r="B59" s="146" t="s">
        <v>305</v>
      </c>
      <c r="C59" s="121">
        <f t="shared" ref="C59:C85" si="19">SUM(D59:O59)</f>
        <v>11040.481766477087</v>
      </c>
      <c r="D59" s="147">
        <v>920.04014720642363</v>
      </c>
      <c r="E59" s="147">
        <v>920.04014720642363</v>
      </c>
      <c r="F59" s="147">
        <v>920.04014720642363</v>
      </c>
      <c r="G59" s="147">
        <v>920.04014720642363</v>
      </c>
      <c r="H59" s="147">
        <v>920.04014720642363</v>
      </c>
      <c r="I59" s="147">
        <v>920.04014720642363</v>
      </c>
      <c r="J59" s="147">
        <v>920.04014720642363</v>
      </c>
      <c r="K59" s="147">
        <v>920.04014720642363</v>
      </c>
      <c r="L59" s="147">
        <v>920.04014720642363</v>
      </c>
      <c r="M59" s="147">
        <v>920.04014720642363</v>
      </c>
      <c r="N59" s="147">
        <v>920.04014720642363</v>
      </c>
      <c r="O59" s="147">
        <v>920.04014720642363</v>
      </c>
      <c r="P59" s="152">
        <v>0</v>
      </c>
      <c r="Q59" s="152">
        <v>0</v>
      </c>
      <c r="R59" s="152">
        <v>0</v>
      </c>
      <c r="S59" s="152">
        <v>0.45</v>
      </c>
      <c r="T59" s="152">
        <v>0</v>
      </c>
      <c r="U59" s="152">
        <v>0</v>
      </c>
      <c r="V59" s="152">
        <v>0.55000000000000004</v>
      </c>
      <c r="W59" s="152">
        <v>0</v>
      </c>
      <c r="X59" s="152">
        <v>0</v>
      </c>
      <c r="Y59" s="152">
        <v>0</v>
      </c>
      <c r="Z59" s="152">
        <v>0</v>
      </c>
      <c r="AA59" s="152">
        <v>0</v>
      </c>
      <c r="AB59" s="152">
        <v>0</v>
      </c>
      <c r="AC59" s="152">
        <v>0</v>
      </c>
      <c r="AD59" s="152">
        <v>0</v>
      </c>
      <c r="AE59" s="152">
        <v>0</v>
      </c>
      <c r="AF59" s="152">
        <v>0</v>
      </c>
      <c r="AG59" s="152">
        <v>0</v>
      </c>
      <c r="AH59" s="152">
        <v>0</v>
      </c>
      <c r="AI59" s="152">
        <v>0</v>
      </c>
      <c r="AJ59" s="152">
        <v>0</v>
      </c>
      <c r="AK59" s="190">
        <f>SUM(P59:AJ59)</f>
        <v>1</v>
      </c>
    </row>
    <row r="60" spans="2:38">
      <c r="B60" s="148" t="s">
        <v>303</v>
      </c>
      <c r="C60" s="121">
        <f t="shared" si="19"/>
        <v>8832.3854131816643</v>
      </c>
      <c r="D60" s="124">
        <v>736.03211776513888</v>
      </c>
      <c r="E60" s="124">
        <v>736.03211776513888</v>
      </c>
      <c r="F60" s="124">
        <v>736.03211776513888</v>
      </c>
      <c r="G60" s="124">
        <v>736.03211776513888</v>
      </c>
      <c r="H60" s="124">
        <v>736.03211776513888</v>
      </c>
      <c r="I60" s="124">
        <v>736.03211776513888</v>
      </c>
      <c r="J60" s="124">
        <v>736.03211776513888</v>
      </c>
      <c r="K60" s="124">
        <v>736.03211776513888</v>
      </c>
      <c r="L60" s="124">
        <v>736.03211776513888</v>
      </c>
      <c r="M60" s="124">
        <v>736.03211776513888</v>
      </c>
      <c r="N60" s="124">
        <v>736.03211776513888</v>
      </c>
      <c r="O60" s="124">
        <v>736.03211776513888</v>
      </c>
      <c r="P60" s="152">
        <v>0</v>
      </c>
      <c r="Q60" s="152">
        <v>0</v>
      </c>
      <c r="R60" s="152">
        <v>0</v>
      </c>
      <c r="S60" s="152">
        <v>0</v>
      </c>
      <c r="T60" s="152">
        <v>0</v>
      </c>
      <c r="U60" s="152">
        <v>0</v>
      </c>
      <c r="V60" s="152">
        <v>1</v>
      </c>
      <c r="W60" s="152">
        <v>0</v>
      </c>
      <c r="X60" s="152">
        <v>0</v>
      </c>
      <c r="Y60" s="152">
        <v>0</v>
      </c>
      <c r="Z60" s="152">
        <v>0</v>
      </c>
      <c r="AA60" s="152">
        <v>0</v>
      </c>
      <c r="AB60" s="152">
        <v>0</v>
      </c>
      <c r="AC60" s="152">
        <v>0</v>
      </c>
      <c r="AD60" s="152">
        <v>0</v>
      </c>
      <c r="AE60" s="152">
        <v>0</v>
      </c>
      <c r="AF60" s="152">
        <v>0</v>
      </c>
      <c r="AG60" s="152">
        <v>0</v>
      </c>
      <c r="AH60" s="152">
        <v>0</v>
      </c>
      <c r="AI60" s="152">
        <v>0</v>
      </c>
      <c r="AJ60" s="152">
        <v>0</v>
      </c>
      <c r="AK60" s="190">
        <f t="shared" ref="AK60:AK63" si="20">SUM(P60:AJ60)</f>
        <v>1</v>
      </c>
    </row>
    <row r="61" spans="2:38">
      <c r="B61" s="148" t="s">
        <v>306</v>
      </c>
      <c r="C61" s="121">
        <f t="shared" si="19"/>
        <v>7226.4971562395449</v>
      </c>
      <c r="D61" s="147">
        <v>602.20809635329545</v>
      </c>
      <c r="E61" s="147">
        <v>602.20809635329545</v>
      </c>
      <c r="F61" s="147">
        <v>602.20809635329545</v>
      </c>
      <c r="G61" s="147">
        <v>602.20809635329545</v>
      </c>
      <c r="H61" s="147">
        <v>602.20809635329545</v>
      </c>
      <c r="I61" s="147">
        <v>602.20809635329545</v>
      </c>
      <c r="J61" s="147">
        <v>602.20809635329545</v>
      </c>
      <c r="K61" s="147">
        <v>602.20809635329545</v>
      </c>
      <c r="L61" s="147">
        <v>602.20809635329545</v>
      </c>
      <c r="M61" s="147">
        <v>602.20809635329545</v>
      </c>
      <c r="N61" s="147">
        <v>602.20809635329545</v>
      </c>
      <c r="O61" s="147">
        <v>602.20809635329545</v>
      </c>
      <c r="P61" s="152">
        <v>0</v>
      </c>
      <c r="Q61" s="152">
        <v>0</v>
      </c>
      <c r="R61" s="152">
        <v>0</v>
      </c>
      <c r="S61" s="152">
        <v>0</v>
      </c>
      <c r="T61" s="152">
        <v>0</v>
      </c>
      <c r="U61" s="152">
        <v>0</v>
      </c>
      <c r="V61" s="152">
        <v>1</v>
      </c>
      <c r="W61" s="152">
        <v>0</v>
      </c>
      <c r="X61" s="152">
        <v>0</v>
      </c>
      <c r="Y61" s="152">
        <v>0</v>
      </c>
      <c r="Z61" s="152">
        <v>0</v>
      </c>
      <c r="AA61" s="152">
        <v>0</v>
      </c>
      <c r="AB61" s="152">
        <v>0</v>
      </c>
      <c r="AC61" s="152">
        <v>0</v>
      </c>
      <c r="AD61" s="152">
        <v>0</v>
      </c>
      <c r="AE61" s="152">
        <v>0</v>
      </c>
      <c r="AF61" s="152">
        <v>0</v>
      </c>
      <c r="AG61" s="152">
        <v>0</v>
      </c>
      <c r="AH61" s="152">
        <v>0</v>
      </c>
      <c r="AI61" s="152">
        <v>0</v>
      </c>
      <c r="AJ61" s="152">
        <v>0</v>
      </c>
      <c r="AK61" s="190">
        <f t="shared" si="20"/>
        <v>1</v>
      </c>
    </row>
    <row r="62" spans="2:38">
      <c r="B62" s="148" t="s">
        <v>304</v>
      </c>
      <c r="C62" s="121">
        <f t="shared" si="19"/>
        <v>8400</v>
      </c>
      <c r="D62" s="147">
        <v>700</v>
      </c>
      <c r="E62" s="147">
        <v>700</v>
      </c>
      <c r="F62" s="147">
        <v>700</v>
      </c>
      <c r="G62" s="147">
        <v>700</v>
      </c>
      <c r="H62" s="147">
        <v>700</v>
      </c>
      <c r="I62" s="147">
        <v>700</v>
      </c>
      <c r="J62" s="147">
        <v>700</v>
      </c>
      <c r="K62" s="147">
        <v>700</v>
      </c>
      <c r="L62" s="147">
        <v>700</v>
      </c>
      <c r="M62" s="147">
        <v>700</v>
      </c>
      <c r="N62" s="147">
        <v>700</v>
      </c>
      <c r="O62" s="147">
        <v>700</v>
      </c>
      <c r="P62" s="152">
        <v>0</v>
      </c>
      <c r="Q62" s="152">
        <v>0</v>
      </c>
      <c r="R62" s="152">
        <v>0</v>
      </c>
      <c r="S62" s="152">
        <v>0</v>
      </c>
      <c r="T62" s="152">
        <v>0</v>
      </c>
      <c r="U62" s="152">
        <v>0.2</v>
      </c>
      <c r="V62" s="152">
        <v>0.8</v>
      </c>
      <c r="W62" s="152">
        <v>0</v>
      </c>
      <c r="X62" s="152">
        <v>0</v>
      </c>
      <c r="Y62" s="152">
        <v>0</v>
      </c>
      <c r="Z62" s="152">
        <v>0</v>
      </c>
      <c r="AA62" s="152">
        <v>0</v>
      </c>
      <c r="AB62" s="152">
        <v>0</v>
      </c>
      <c r="AC62" s="152">
        <v>0</v>
      </c>
      <c r="AD62" s="152">
        <v>0</v>
      </c>
      <c r="AE62" s="152">
        <v>0</v>
      </c>
      <c r="AF62" s="152">
        <v>0</v>
      </c>
      <c r="AG62" s="152">
        <v>0</v>
      </c>
      <c r="AH62" s="152">
        <v>0</v>
      </c>
      <c r="AI62" s="152">
        <v>0</v>
      </c>
      <c r="AJ62" s="152">
        <v>0</v>
      </c>
      <c r="AK62" s="190">
        <f t="shared" si="20"/>
        <v>1</v>
      </c>
    </row>
    <row r="63" spans="2:38">
      <c r="B63" s="146" t="s">
        <v>307</v>
      </c>
      <c r="C63" s="121">
        <f t="shared" si="19"/>
        <v>9233.8574774171957</v>
      </c>
      <c r="D63" s="147">
        <v>769.48812311809968</v>
      </c>
      <c r="E63" s="147">
        <v>769.48812311809968</v>
      </c>
      <c r="F63" s="147">
        <v>769.48812311809968</v>
      </c>
      <c r="G63" s="147">
        <v>769.48812311809968</v>
      </c>
      <c r="H63" s="147">
        <v>769.48812311809968</v>
      </c>
      <c r="I63" s="147">
        <v>769.48812311809968</v>
      </c>
      <c r="J63" s="147">
        <v>769.48812311809968</v>
      </c>
      <c r="K63" s="147">
        <v>769.48812311809968</v>
      </c>
      <c r="L63" s="147">
        <v>769.48812311809968</v>
      </c>
      <c r="M63" s="147">
        <v>769.48812311809968</v>
      </c>
      <c r="N63" s="147">
        <v>769.48812311809968</v>
      </c>
      <c r="O63" s="147">
        <v>769.48812311809968</v>
      </c>
      <c r="P63" s="152">
        <v>0</v>
      </c>
      <c r="Q63" s="152">
        <v>0</v>
      </c>
      <c r="R63" s="152">
        <v>0</v>
      </c>
      <c r="S63" s="152">
        <v>0</v>
      </c>
      <c r="T63" s="152">
        <v>0</v>
      </c>
      <c r="U63" s="152">
        <v>0</v>
      </c>
      <c r="V63" s="152">
        <v>1</v>
      </c>
      <c r="W63" s="152">
        <v>0</v>
      </c>
      <c r="X63" s="152">
        <v>0</v>
      </c>
      <c r="Y63" s="152">
        <v>0</v>
      </c>
      <c r="Z63" s="152">
        <v>0</v>
      </c>
      <c r="AA63" s="152">
        <v>0</v>
      </c>
      <c r="AB63" s="152">
        <v>0</v>
      </c>
      <c r="AC63" s="152">
        <v>0</v>
      </c>
      <c r="AD63" s="152">
        <v>0</v>
      </c>
      <c r="AE63" s="152">
        <v>0</v>
      </c>
      <c r="AF63" s="152">
        <v>0</v>
      </c>
      <c r="AG63" s="152">
        <v>0</v>
      </c>
      <c r="AH63" s="152">
        <v>0</v>
      </c>
      <c r="AI63" s="152">
        <v>0</v>
      </c>
      <c r="AJ63" s="152">
        <v>0</v>
      </c>
      <c r="AK63" s="190">
        <f t="shared" si="20"/>
        <v>1</v>
      </c>
    </row>
    <row r="64" spans="2:38">
      <c r="B64" s="148" t="s">
        <v>308</v>
      </c>
      <c r="C64" s="121">
        <f t="shared" si="19"/>
        <v>6022.0800000000008</v>
      </c>
      <c r="D64" s="147">
        <v>501.84</v>
      </c>
      <c r="E64" s="147">
        <v>501.84</v>
      </c>
      <c r="F64" s="147">
        <v>501.84</v>
      </c>
      <c r="G64" s="147">
        <v>501.84</v>
      </c>
      <c r="H64" s="147">
        <v>501.84</v>
      </c>
      <c r="I64" s="147">
        <v>501.84</v>
      </c>
      <c r="J64" s="147">
        <v>501.84</v>
      </c>
      <c r="K64" s="147">
        <v>501.84</v>
      </c>
      <c r="L64" s="147">
        <v>501.84</v>
      </c>
      <c r="M64" s="147">
        <v>501.84</v>
      </c>
      <c r="N64" s="147">
        <v>501.84</v>
      </c>
      <c r="O64" s="147">
        <v>501.84</v>
      </c>
      <c r="P64" s="152">
        <v>0</v>
      </c>
      <c r="Q64" s="152">
        <v>0</v>
      </c>
      <c r="R64" s="152">
        <v>0</v>
      </c>
      <c r="S64" s="152">
        <v>0</v>
      </c>
      <c r="T64" s="152">
        <v>0</v>
      </c>
      <c r="U64" s="152">
        <v>0</v>
      </c>
      <c r="V64" s="152">
        <v>1</v>
      </c>
      <c r="W64" s="152">
        <v>0</v>
      </c>
      <c r="X64" s="152">
        <v>0</v>
      </c>
      <c r="Y64" s="152">
        <v>0</v>
      </c>
      <c r="Z64" s="152">
        <v>0</v>
      </c>
      <c r="AA64" s="152">
        <v>0</v>
      </c>
      <c r="AB64" s="152">
        <v>0</v>
      </c>
      <c r="AC64" s="152">
        <v>0</v>
      </c>
      <c r="AD64" s="152">
        <v>0</v>
      </c>
      <c r="AE64" s="152">
        <v>0</v>
      </c>
      <c r="AF64" s="152">
        <v>0</v>
      </c>
      <c r="AG64" s="152">
        <v>0</v>
      </c>
      <c r="AH64" s="152">
        <v>0</v>
      </c>
      <c r="AI64" s="152">
        <v>0</v>
      </c>
      <c r="AJ64" s="152">
        <v>0</v>
      </c>
      <c r="AK64" s="190">
        <f t="shared" ref="AK64:AK67" si="21">SUM(P64:AJ64)</f>
        <v>1</v>
      </c>
    </row>
    <row r="65" spans="1:41">
      <c r="B65" s="146" t="s">
        <v>344</v>
      </c>
      <c r="C65" s="121">
        <f t="shared" ref="C65" si="22">SUM(D65:O65)</f>
        <v>4215.4566744730682</v>
      </c>
      <c r="D65" s="147">
        <v>351.28805620608898</v>
      </c>
      <c r="E65" s="147">
        <v>351.28805620608898</v>
      </c>
      <c r="F65" s="147">
        <v>351.28805620608898</v>
      </c>
      <c r="G65" s="147">
        <v>351.28805620608898</v>
      </c>
      <c r="H65" s="147">
        <v>351.28805620608898</v>
      </c>
      <c r="I65" s="147">
        <v>351.28805620608898</v>
      </c>
      <c r="J65" s="147">
        <v>351.28805620608898</v>
      </c>
      <c r="K65" s="147">
        <v>351.28805620608898</v>
      </c>
      <c r="L65" s="147">
        <v>351.28805620608898</v>
      </c>
      <c r="M65" s="147">
        <v>351.28805620608898</v>
      </c>
      <c r="N65" s="147">
        <v>351.28805620608898</v>
      </c>
      <c r="O65" s="147">
        <v>351.28805620608898</v>
      </c>
      <c r="P65" s="152">
        <v>0</v>
      </c>
      <c r="Q65" s="152">
        <v>0</v>
      </c>
      <c r="R65" s="152">
        <v>0</v>
      </c>
      <c r="S65" s="152">
        <v>0</v>
      </c>
      <c r="T65" s="152">
        <v>0</v>
      </c>
      <c r="U65" s="152">
        <v>0</v>
      </c>
      <c r="V65" s="152">
        <v>1</v>
      </c>
      <c r="W65" s="152">
        <v>0</v>
      </c>
      <c r="X65" s="152">
        <v>0</v>
      </c>
      <c r="Y65" s="152">
        <v>0</v>
      </c>
      <c r="Z65" s="152">
        <v>0</v>
      </c>
      <c r="AA65" s="152">
        <v>0</v>
      </c>
      <c r="AB65" s="152">
        <v>0</v>
      </c>
      <c r="AC65" s="152">
        <v>0</v>
      </c>
      <c r="AD65" s="152">
        <v>0</v>
      </c>
      <c r="AE65" s="152">
        <v>0</v>
      </c>
      <c r="AF65" s="152">
        <v>0</v>
      </c>
      <c r="AG65" s="152">
        <v>0</v>
      </c>
      <c r="AH65" s="152">
        <v>0</v>
      </c>
      <c r="AI65" s="152">
        <v>0</v>
      </c>
      <c r="AJ65" s="152">
        <v>0</v>
      </c>
      <c r="AK65" s="190">
        <f t="shared" si="21"/>
        <v>1</v>
      </c>
    </row>
    <row r="66" spans="1:41">
      <c r="A66" s="118" t="s">
        <v>238</v>
      </c>
      <c r="B66" s="150" t="s">
        <v>339</v>
      </c>
      <c r="C66" s="121">
        <f t="shared" ref="C66" si="23">SUM(D66:O66)</f>
        <v>3713.6400000000012</v>
      </c>
      <c r="D66" s="126">
        <f>618.94/2</f>
        <v>309.47000000000003</v>
      </c>
      <c r="E66" s="126">
        <f>618.94/2</f>
        <v>309.47000000000003</v>
      </c>
      <c r="F66" s="126">
        <f t="shared" ref="F66:O66" si="24">618.94/2</f>
        <v>309.47000000000003</v>
      </c>
      <c r="G66" s="126">
        <f t="shared" si="24"/>
        <v>309.47000000000003</v>
      </c>
      <c r="H66" s="126">
        <f t="shared" si="24"/>
        <v>309.47000000000003</v>
      </c>
      <c r="I66" s="126">
        <f t="shared" si="24"/>
        <v>309.47000000000003</v>
      </c>
      <c r="J66" s="126">
        <f t="shared" si="24"/>
        <v>309.47000000000003</v>
      </c>
      <c r="K66" s="126">
        <f t="shared" si="24"/>
        <v>309.47000000000003</v>
      </c>
      <c r="L66" s="126">
        <f t="shared" si="24"/>
        <v>309.47000000000003</v>
      </c>
      <c r="M66" s="126">
        <f t="shared" si="24"/>
        <v>309.47000000000003</v>
      </c>
      <c r="N66" s="126">
        <f t="shared" si="24"/>
        <v>309.47000000000003</v>
      </c>
      <c r="O66" s="126">
        <f t="shared" si="24"/>
        <v>309.47000000000003</v>
      </c>
      <c r="P66" s="152">
        <v>0.05</v>
      </c>
      <c r="Q66" s="152">
        <v>0.05</v>
      </c>
      <c r="R66" s="152">
        <v>0.05</v>
      </c>
      <c r="S66" s="152">
        <v>0.1</v>
      </c>
      <c r="T66" s="152">
        <v>0</v>
      </c>
      <c r="U66" s="152">
        <v>0.05</v>
      </c>
      <c r="V66" s="152">
        <v>0.25</v>
      </c>
      <c r="W66" s="152">
        <v>0.05</v>
      </c>
      <c r="X66" s="152">
        <v>0.05</v>
      </c>
      <c r="Y66" s="152">
        <v>0.05</v>
      </c>
      <c r="Z66" s="152">
        <v>0.05</v>
      </c>
      <c r="AA66" s="152">
        <v>0</v>
      </c>
      <c r="AB66" s="152">
        <v>0.05</v>
      </c>
      <c r="AC66" s="152">
        <v>0.2</v>
      </c>
      <c r="AD66" s="152">
        <v>0</v>
      </c>
      <c r="AE66" s="152">
        <v>0</v>
      </c>
      <c r="AF66" s="152">
        <v>0</v>
      </c>
      <c r="AG66" s="152">
        <v>0</v>
      </c>
      <c r="AH66" s="152">
        <v>0</v>
      </c>
      <c r="AI66" s="152">
        <v>0</v>
      </c>
      <c r="AJ66" s="152">
        <v>0</v>
      </c>
      <c r="AK66" s="190">
        <f t="shared" si="21"/>
        <v>1.0000000000000002</v>
      </c>
    </row>
    <row r="67" spans="1:41">
      <c r="B67" s="203" t="s">
        <v>355</v>
      </c>
      <c r="C67" s="193">
        <f>SUM(C68:C72)</f>
        <v>29327.95605894391</v>
      </c>
      <c r="D67" s="193">
        <f t="shared" ref="D67:O67" si="25">SUM(D68:D72)</f>
        <v>990.13298865841421</v>
      </c>
      <c r="E67" s="193">
        <f t="shared" si="25"/>
        <v>2290.1329886584144</v>
      </c>
      <c r="F67" s="193">
        <f t="shared" si="25"/>
        <v>990.13298865841421</v>
      </c>
      <c r="G67" s="193">
        <f t="shared" si="25"/>
        <v>990.13298865841421</v>
      </c>
      <c r="H67" s="193">
        <f t="shared" si="25"/>
        <v>3842.8468040370253</v>
      </c>
      <c r="I67" s="193">
        <f t="shared" si="25"/>
        <v>990.13298865841421</v>
      </c>
      <c r="J67" s="193">
        <f t="shared" si="25"/>
        <v>6210.5992708012718</v>
      </c>
      <c r="K67" s="193">
        <f t="shared" si="25"/>
        <v>990.13298865841421</v>
      </c>
      <c r="L67" s="193">
        <f t="shared" si="25"/>
        <v>990.13298865841421</v>
      </c>
      <c r="M67" s="193">
        <f t="shared" si="25"/>
        <v>990.13298865841421</v>
      </c>
      <c r="N67" s="193">
        <f t="shared" si="25"/>
        <v>3842.8468040370253</v>
      </c>
      <c r="O67" s="193">
        <f t="shared" si="25"/>
        <v>6210.5992708012718</v>
      </c>
      <c r="P67" s="195">
        <f>$C67*P58/$C58</f>
        <v>92.795933455294715</v>
      </c>
      <c r="Q67" s="195">
        <f t="shared" ref="Q67:R67" si="26">$C67*Q58/$C58</f>
        <v>92.795933455294715</v>
      </c>
      <c r="R67" s="195">
        <f t="shared" si="26"/>
        <v>92.795933455294715</v>
      </c>
      <c r="S67" s="195">
        <f t="shared" ref="S67:AJ67" si="27">$C67*S58/$C58</f>
        <v>2668.4944373933558</v>
      </c>
      <c r="T67" s="195">
        <f t="shared" si="27"/>
        <v>0</v>
      </c>
      <c r="U67" s="195">
        <f t="shared" si="27"/>
        <v>932.38818367284432</v>
      </c>
      <c r="V67" s="195">
        <f t="shared" si="27"/>
        <v>24613.522236414174</v>
      </c>
      <c r="W67" s="195">
        <f t="shared" si="27"/>
        <v>92.795933455294715</v>
      </c>
      <c r="X67" s="195">
        <f t="shared" si="27"/>
        <v>92.795933455294715</v>
      </c>
      <c r="Y67" s="195">
        <f t="shared" si="27"/>
        <v>92.795933455294715</v>
      </c>
      <c r="Z67" s="195">
        <f t="shared" si="27"/>
        <v>92.795933455294715</v>
      </c>
      <c r="AA67" s="195">
        <f t="shared" si="27"/>
        <v>0</v>
      </c>
      <c r="AB67" s="195">
        <f t="shared" si="27"/>
        <v>92.795933455294715</v>
      </c>
      <c r="AC67" s="195">
        <f t="shared" si="27"/>
        <v>371.18373382117886</v>
      </c>
      <c r="AD67" s="195">
        <f t="shared" si="27"/>
        <v>0</v>
      </c>
      <c r="AE67" s="195">
        <f t="shared" si="27"/>
        <v>0</v>
      </c>
      <c r="AF67" s="195">
        <f t="shared" si="27"/>
        <v>0</v>
      </c>
      <c r="AG67" s="195">
        <f t="shared" si="27"/>
        <v>0</v>
      </c>
      <c r="AH67" s="195">
        <f t="shared" si="27"/>
        <v>0</v>
      </c>
      <c r="AI67" s="195">
        <f t="shared" si="27"/>
        <v>0</v>
      </c>
      <c r="AJ67" s="195">
        <f t="shared" si="27"/>
        <v>0</v>
      </c>
      <c r="AK67" s="196">
        <f t="shared" si="21"/>
        <v>29327.956058943906</v>
      </c>
    </row>
    <row r="68" spans="1:41">
      <c r="B68" s="146" t="s">
        <v>309</v>
      </c>
      <c r="C68" s="121">
        <f t="shared" si="19"/>
        <v>10440.932564285715</v>
      </c>
      <c r="D68" s="126"/>
      <c r="E68" s="126"/>
      <c r="F68" s="124"/>
      <c r="G68" s="126"/>
      <c r="H68" s="124"/>
      <c r="I68" s="124"/>
      <c r="J68" s="124">
        <f>SUM(J59:J66)*1.0675</f>
        <v>5220.4662821428574</v>
      </c>
      <c r="K68" s="126"/>
      <c r="L68" s="124"/>
      <c r="M68" s="126"/>
      <c r="N68" s="126"/>
      <c r="O68" s="124">
        <f>SUM(O59:O66)*1.0675</f>
        <v>5220.4662821428574</v>
      </c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190"/>
    </row>
    <row r="69" spans="1:41">
      <c r="B69" s="146" t="s">
        <v>257</v>
      </c>
      <c r="C69" s="121">
        <f t="shared" si="19"/>
        <v>5281.5958639009723</v>
      </c>
      <c r="D69" s="124">
        <f t="shared" ref="D69:O69" si="28">SUM(D59:D66)*9%</f>
        <v>440.13298865841426</v>
      </c>
      <c r="E69" s="124">
        <f t="shared" si="28"/>
        <v>440.13298865841426</v>
      </c>
      <c r="F69" s="124">
        <f t="shared" si="28"/>
        <v>440.13298865841426</v>
      </c>
      <c r="G69" s="124">
        <f t="shared" si="28"/>
        <v>440.13298865841426</v>
      </c>
      <c r="H69" s="124">
        <f t="shared" si="28"/>
        <v>440.13298865841426</v>
      </c>
      <c r="I69" s="124">
        <f t="shared" si="28"/>
        <v>440.13298865841426</v>
      </c>
      <c r="J69" s="124">
        <f t="shared" si="28"/>
        <v>440.13298865841426</v>
      </c>
      <c r="K69" s="124">
        <f t="shared" si="28"/>
        <v>440.13298865841426</v>
      </c>
      <c r="L69" s="124">
        <f t="shared" si="28"/>
        <v>440.13298865841426</v>
      </c>
      <c r="M69" s="124">
        <f t="shared" si="28"/>
        <v>440.13298865841426</v>
      </c>
      <c r="N69" s="124">
        <f t="shared" si="28"/>
        <v>440.13298865841426</v>
      </c>
      <c r="O69" s="124">
        <f t="shared" si="28"/>
        <v>440.13298865841426</v>
      </c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190"/>
    </row>
    <row r="70" spans="1:41">
      <c r="B70" s="146" t="s">
        <v>255</v>
      </c>
      <c r="C70" s="121">
        <f t="shared" si="19"/>
        <v>5705.4276307572218</v>
      </c>
      <c r="D70" s="126"/>
      <c r="E70" s="126"/>
      <c r="F70" s="124"/>
      <c r="G70" s="126"/>
      <c r="H70" s="124">
        <f>((SUM(H59:H66)+SUM(H59:H66)/6)/12)*6</f>
        <v>2852.7138153786109</v>
      </c>
      <c r="I70" s="124"/>
      <c r="J70" s="124" t="s">
        <v>238</v>
      </c>
      <c r="K70" s="126"/>
      <c r="L70" s="124"/>
      <c r="M70" s="126"/>
      <c r="N70" s="124">
        <f>((SUM(N59:N66)+SUM(N59:N66)/6)/12)*6</f>
        <v>2852.7138153786109</v>
      </c>
      <c r="O70" s="126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190"/>
    </row>
    <row r="71" spans="1:41">
      <c r="B71" s="146" t="s">
        <v>310</v>
      </c>
      <c r="C71" s="121">
        <f t="shared" si="19"/>
        <v>6600</v>
      </c>
      <c r="D71" s="147">
        <v>550</v>
      </c>
      <c r="E71" s="147">
        <v>550</v>
      </c>
      <c r="F71" s="147">
        <v>550</v>
      </c>
      <c r="G71" s="147">
        <v>550</v>
      </c>
      <c r="H71" s="147">
        <v>550</v>
      </c>
      <c r="I71" s="147">
        <v>550</v>
      </c>
      <c r="J71" s="147">
        <v>550</v>
      </c>
      <c r="K71" s="147">
        <v>550</v>
      </c>
      <c r="L71" s="147">
        <v>550</v>
      </c>
      <c r="M71" s="147">
        <v>550</v>
      </c>
      <c r="N71" s="147">
        <v>550</v>
      </c>
      <c r="O71" s="147">
        <v>550</v>
      </c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190"/>
    </row>
    <row r="72" spans="1:41">
      <c r="B72" s="146" t="s">
        <v>313</v>
      </c>
      <c r="C72" s="121">
        <f t="shared" ref="C72" si="29">SUM(D72:O72)</f>
        <v>1300</v>
      </c>
      <c r="D72" s="125"/>
      <c r="E72" s="131">
        <v>1300</v>
      </c>
      <c r="F72" s="124"/>
      <c r="G72" s="126" t="s">
        <v>238</v>
      </c>
      <c r="H72" s="131"/>
      <c r="I72" s="124" t="s">
        <v>238</v>
      </c>
      <c r="J72" s="124" t="s">
        <v>238</v>
      </c>
      <c r="K72" s="125"/>
      <c r="L72" s="131"/>
      <c r="M72" s="126" t="s">
        <v>238</v>
      </c>
      <c r="N72" s="131"/>
      <c r="O72" s="125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190"/>
    </row>
    <row r="73" spans="1:41" s="194" customFormat="1">
      <c r="B73" s="203" t="s">
        <v>361</v>
      </c>
      <c r="C73" s="193">
        <f>SUM(C74:C81)</f>
        <v>75525</v>
      </c>
      <c r="D73" s="193">
        <f t="shared" ref="D73:O73" si="30">SUM(D74:D81)</f>
        <v>6050</v>
      </c>
      <c r="E73" s="193">
        <f t="shared" si="30"/>
        <v>13375</v>
      </c>
      <c r="F73" s="193">
        <f t="shared" si="30"/>
        <v>7150</v>
      </c>
      <c r="G73" s="193">
        <f t="shared" si="30"/>
        <v>6050</v>
      </c>
      <c r="H73" s="193">
        <f t="shared" si="30"/>
        <v>6050</v>
      </c>
      <c r="I73" s="193">
        <f t="shared" si="30"/>
        <v>6050</v>
      </c>
      <c r="J73" s="193">
        <f t="shared" si="30"/>
        <v>4950</v>
      </c>
      <c r="K73" s="193">
        <f t="shared" si="30"/>
        <v>4950</v>
      </c>
      <c r="L73" s="193">
        <f t="shared" si="30"/>
        <v>4950</v>
      </c>
      <c r="M73" s="193">
        <f t="shared" si="30"/>
        <v>4950</v>
      </c>
      <c r="N73" s="193">
        <f t="shared" si="30"/>
        <v>6050</v>
      </c>
      <c r="O73" s="193">
        <f t="shared" si="30"/>
        <v>4950</v>
      </c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196"/>
    </row>
    <row r="74" spans="1:41">
      <c r="B74" s="175" t="s">
        <v>346</v>
      </c>
      <c r="C74" s="121">
        <f>SUM(D74:O74)</f>
        <v>31600</v>
      </c>
      <c r="D74" s="131">
        <v>2600</v>
      </c>
      <c r="E74" s="131">
        <f>7000+2600</f>
        <v>9600</v>
      </c>
      <c r="F74" s="131">
        <v>2600</v>
      </c>
      <c r="G74" s="131">
        <v>2600</v>
      </c>
      <c r="H74" s="131">
        <v>2600</v>
      </c>
      <c r="I74" s="131">
        <v>2600</v>
      </c>
      <c r="J74" s="131">
        <v>1500</v>
      </c>
      <c r="K74" s="131">
        <v>1500</v>
      </c>
      <c r="L74" s="131">
        <v>1500</v>
      </c>
      <c r="M74" s="131">
        <v>1500</v>
      </c>
      <c r="N74" s="131">
        <v>1500</v>
      </c>
      <c r="O74" s="131">
        <v>1500</v>
      </c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</row>
    <row r="75" spans="1:41">
      <c r="B75" s="148" t="s">
        <v>392</v>
      </c>
      <c r="C75" s="121">
        <f>SUM(D75:O75)</f>
        <v>4200</v>
      </c>
      <c r="D75" s="141">
        <v>350</v>
      </c>
      <c r="E75" s="141">
        <v>350</v>
      </c>
      <c r="F75" s="141">
        <v>350</v>
      </c>
      <c r="G75" s="141">
        <v>350</v>
      </c>
      <c r="H75" s="141">
        <v>350</v>
      </c>
      <c r="I75" s="141">
        <v>350</v>
      </c>
      <c r="J75" s="141">
        <v>350</v>
      </c>
      <c r="K75" s="141">
        <v>350</v>
      </c>
      <c r="L75" s="141">
        <v>350</v>
      </c>
      <c r="M75" s="141">
        <v>350</v>
      </c>
      <c r="N75" s="141">
        <v>350</v>
      </c>
      <c r="O75" s="141">
        <v>350</v>
      </c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</row>
    <row r="76" spans="1:41">
      <c r="B76" s="146" t="s">
        <v>314</v>
      </c>
      <c r="C76" s="121">
        <f t="shared" si="19"/>
        <v>9000</v>
      </c>
      <c r="D76" s="141">
        <v>750</v>
      </c>
      <c r="E76" s="141">
        <v>750</v>
      </c>
      <c r="F76" s="141">
        <v>750</v>
      </c>
      <c r="G76" s="141">
        <v>750</v>
      </c>
      <c r="H76" s="141">
        <v>750</v>
      </c>
      <c r="I76" s="141">
        <v>750</v>
      </c>
      <c r="J76" s="141">
        <v>750</v>
      </c>
      <c r="K76" s="141">
        <v>750</v>
      </c>
      <c r="L76" s="141">
        <v>750</v>
      </c>
      <c r="M76" s="141">
        <v>750</v>
      </c>
      <c r="N76" s="141">
        <v>750</v>
      </c>
      <c r="O76" s="141">
        <v>750</v>
      </c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</row>
    <row r="77" spans="1:41">
      <c r="B77" s="133" t="s">
        <v>276</v>
      </c>
      <c r="C77" s="121">
        <f>SUM(D77:O77)</f>
        <v>7800</v>
      </c>
      <c r="D77" s="141">
        <v>650</v>
      </c>
      <c r="E77" s="141">
        <v>650</v>
      </c>
      <c r="F77" s="141">
        <v>650</v>
      </c>
      <c r="G77" s="141">
        <v>650</v>
      </c>
      <c r="H77" s="141">
        <v>650</v>
      </c>
      <c r="I77" s="141">
        <v>650</v>
      </c>
      <c r="J77" s="141">
        <v>650</v>
      </c>
      <c r="K77" s="141">
        <v>650</v>
      </c>
      <c r="L77" s="141">
        <v>650</v>
      </c>
      <c r="M77" s="141">
        <v>650</v>
      </c>
      <c r="N77" s="141">
        <v>650</v>
      </c>
      <c r="O77" s="141">
        <v>650</v>
      </c>
    </row>
    <row r="78" spans="1:41">
      <c r="B78" s="135" t="s">
        <v>277</v>
      </c>
      <c r="C78" s="121">
        <f>SUM(D78:O78)</f>
        <v>4200</v>
      </c>
      <c r="D78" s="141">
        <v>350</v>
      </c>
      <c r="E78" s="141">
        <v>350</v>
      </c>
      <c r="F78" s="141">
        <v>350</v>
      </c>
      <c r="G78" s="141">
        <v>350</v>
      </c>
      <c r="H78" s="141">
        <v>350</v>
      </c>
      <c r="I78" s="141">
        <v>350</v>
      </c>
      <c r="J78" s="141">
        <v>350</v>
      </c>
      <c r="K78" s="141">
        <v>350</v>
      </c>
      <c r="L78" s="141">
        <v>350</v>
      </c>
      <c r="M78" s="141">
        <v>350</v>
      </c>
      <c r="N78" s="141">
        <v>350</v>
      </c>
      <c r="O78" s="254">
        <v>350</v>
      </c>
      <c r="P78" s="398"/>
      <c r="Q78" s="398"/>
      <c r="R78" s="398"/>
      <c r="S78" s="398"/>
      <c r="T78" s="398"/>
      <c r="U78" s="398"/>
      <c r="V78" s="398"/>
      <c r="W78" s="398"/>
      <c r="X78" s="398"/>
      <c r="Y78" s="398"/>
      <c r="Z78" s="398"/>
      <c r="AA78" s="398"/>
      <c r="AB78" s="398"/>
      <c r="AC78" s="398"/>
      <c r="AD78" s="398"/>
      <c r="AE78" s="398"/>
      <c r="AF78" s="398"/>
      <c r="AG78" s="398"/>
      <c r="AH78" s="398"/>
      <c r="AI78" s="398"/>
      <c r="AJ78" s="398"/>
      <c r="AK78" s="180"/>
      <c r="AL78" s="183"/>
      <c r="AM78" s="183"/>
      <c r="AN78" s="183"/>
      <c r="AO78" s="183"/>
    </row>
    <row r="79" spans="1:41">
      <c r="B79" s="148" t="s">
        <v>311</v>
      </c>
      <c r="C79" s="121">
        <f t="shared" si="19"/>
        <v>1800</v>
      </c>
      <c r="D79" s="141">
        <v>150</v>
      </c>
      <c r="E79" s="141">
        <v>150</v>
      </c>
      <c r="F79" s="141">
        <v>150</v>
      </c>
      <c r="G79" s="141">
        <v>150</v>
      </c>
      <c r="H79" s="141">
        <v>150</v>
      </c>
      <c r="I79" s="141">
        <v>150</v>
      </c>
      <c r="J79" s="141">
        <v>150</v>
      </c>
      <c r="K79" s="141">
        <v>150</v>
      </c>
      <c r="L79" s="141">
        <v>150</v>
      </c>
      <c r="M79" s="141">
        <v>150</v>
      </c>
      <c r="N79" s="141">
        <v>150</v>
      </c>
      <c r="O79" s="141">
        <v>150</v>
      </c>
    </row>
    <row r="80" spans="1:41">
      <c r="B80" s="146" t="s">
        <v>312</v>
      </c>
      <c r="C80" s="121">
        <f t="shared" si="19"/>
        <v>14400</v>
      </c>
      <c r="D80" s="131">
        <v>1200</v>
      </c>
      <c r="E80" s="131">
        <v>1200</v>
      </c>
      <c r="F80" s="131">
        <v>1200</v>
      </c>
      <c r="G80" s="131">
        <v>1200</v>
      </c>
      <c r="H80" s="131">
        <v>1200</v>
      </c>
      <c r="I80" s="131">
        <v>1200</v>
      </c>
      <c r="J80" s="131">
        <v>1200</v>
      </c>
      <c r="K80" s="131">
        <v>1200</v>
      </c>
      <c r="L80" s="131">
        <v>1200</v>
      </c>
      <c r="M80" s="131">
        <v>1200</v>
      </c>
      <c r="N80" s="131">
        <v>1200</v>
      </c>
      <c r="O80" s="131">
        <v>1200</v>
      </c>
    </row>
    <row r="81" spans="2:41">
      <c r="B81" s="146" t="s">
        <v>400</v>
      </c>
      <c r="C81" s="121">
        <f t="shared" si="19"/>
        <v>2525</v>
      </c>
      <c r="D81" s="125"/>
      <c r="E81" s="131">
        <v>325</v>
      </c>
      <c r="F81" s="124">
        <v>1100</v>
      </c>
      <c r="G81" s="126" t="s">
        <v>238</v>
      </c>
      <c r="H81" s="131"/>
      <c r="I81" s="124" t="s">
        <v>238</v>
      </c>
      <c r="J81" s="124" t="s">
        <v>238</v>
      </c>
      <c r="K81" s="125"/>
      <c r="L81" s="131"/>
      <c r="M81" s="126" t="s">
        <v>238</v>
      </c>
      <c r="N81" s="131">
        <v>1100</v>
      </c>
      <c r="O81" s="125"/>
    </row>
    <row r="82" spans="2:41" s="194" customFormat="1">
      <c r="B82" s="203" t="s">
        <v>393</v>
      </c>
      <c r="C82" s="193">
        <f>SUM(C83:C85)</f>
        <v>13800</v>
      </c>
      <c r="D82" s="193">
        <f t="shared" ref="D82:O82" si="31">SUM(D83:D85)</f>
        <v>1150</v>
      </c>
      <c r="E82" s="193">
        <f t="shared" si="31"/>
        <v>1150</v>
      </c>
      <c r="F82" s="193">
        <f t="shared" si="31"/>
        <v>1150</v>
      </c>
      <c r="G82" s="193">
        <f t="shared" si="31"/>
        <v>1150</v>
      </c>
      <c r="H82" s="193">
        <f t="shared" si="31"/>
        <v>1150</v>
      </c>
      <c r="I82" s="193">
        <f t="shared" si="31"/>
        <v>1150</v>
      </c>
      <c r="J82" s="193">
        <f t="shared" si="31"/>
        <v>1150</v>
      </c>
      <c r="K82" s="193">
        <f t="shared" si="31"/>
        <v>1150</v>
      </c>
      <c r="L82" s="193">
        <f t="shared" si="31"/>
        <v>1150</v>
      </c>
      <c r="M82" s="193">
        <f t="shared" si="31"/>
        <v>1150</v>
      </c>
      <c r="N82" s="193">
        <f t="shared" si="31"/>
        <v>1150</v>
      </c>
      <c r="O82" s="193">
        <f t="shared" si="31"/>
        <v>1150</v>
      </c>
    </row>
    <row r="83" spans="2:41">
      <c r="B83" s="146" t="s">
        <v>315</v>
      </c>
      <c r="C83" s="121">
        <f t="shared" si="19"/>
        <v>1800</v>
      </c>
      <c r="D83" s="141">
        <v>150</v>
      </c>
      <c r="E83" s="141">
        <v>150</v>
      </c>
      <c r="F83" s="141">
        <v>150</v>
      </c>
      <c r="G83" s="141">
        <v>150</v>
      </c>
      <c r="H83" s="141">
        <v>150</v>
      </c>
      <c r="I83" s="141">
        <v>150</v>
      </c>
      <c r="J83" s="141">
        <v>150</v>
      </c>
      <c r="K83" s="141">
        <v>150</v>
      </c>
      <c r="L83" s="141">
        <v>150</v>
      </c>
      <c r="M83" s="141">
        <v>150</v>
      </c>
      <c r="N83" s="141">
        <v>150</v>
      </c>
      <c r="O83" s="141">
        <v>150</v>
      </c>
    </row>
    <row r="84" spans="2:41">
      <c r="B84" s="148" t="s">
        <v>392</v>
      </c>
      <c r="C84" s="121">
        <f>SUM(D84:O84)</f>
        <v>4200</v>
      </c>
      <c r="D84" s="141">
        <v>350</v>
      </c>
      <c r="E84" s="141">
        <v>350</v>
      </c>
      <c r="F84" s="141">
        <v>350</v>
      </c>
      <c r="G84" s="141">
        <v>350</v>
      </c>
      <c r="H84" s="141">
        <v>350</v>
      </c>
      <c r="I84" s="141">
        <v>350</v>
      </c>
      <c r="J84" s="141">
        <v>350</v>
      </c>
      <c r="K84" s="141">
        <v>350</v>
      </c>
      <c r="L84" s="141">
        <v>350</v>
      </c>
      <c r="M84" s="141">
        <v>350</v>
      </c>
      <c r="N84" s="141">
        <v>350</v>
      </c>
      <c r="O84" s="141">
        <v>350</v>
      </c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</row>
    <row r="85" spans="2:41">
      <c r="B85" s="146" t="s">
        <v>401</v>
      </c>
      <c r="C85" s="121">
        <f t="shared" si="19"/>
        <v>7800</v>
      </c>
      <c r="D85" s="131">
        <v>650</v>
      </c>
      <c r="E85" s="131">
        <v>650</v>
      </c>
      <c r="F85" s="131">
        <v>650</v>
      </c>
      <c r="G85" s="131">
        <v>650</v>
      </c>
      <c r="H85" s="131">
        <v>650</v>
      </c>
      <c r="I85" s="131">
        <v>650</v>
      </c>
      <c r="J85" s="131">
        <v>650</v>
      </c>
      <c r="K85" s="131">
        <v>650</v>
      </c>
      <c r="L85" s="131">
        <v>650</v>
      </c>
      <c r="M85" s="131">
        <v>650</v>
      </c>
      <c r="N85" s="131">
        <v>650</v>
      </c>
      <c r="O85" s="131">
        <v>650</v>
      </c>
    </row>
    <row r="86" spans="2:41">
      <c r="B86" s="144" t="s">
        <v>316</v>
      </c>
      <c r="C86" s="120">
        <f>+C58+C67+C73+C82</f>
        <v>177337.35454673247</v>
      </c>
      <c r="D86" s="120">
        <f t="shared" ref="D86:O86" si="32">+D58+D67+D73+D82</f>
        <v>13080.499529307461</v>
      </c>
      <c r="E86" s="120">
        <f t="shared" si="32"/>
        <v>21705.499529307461</v>
      </c>
      <c r="F86" s="120">
        <f t="shared" si="32"/>
        <v>14180.499529307461</v>
      </c>
      <c r="G86" s="120">
        <f t="shared" si="32"/>
        <v>13080.499529307461</v>
      </c>
      <c r="H86" s="120">
        <f t="shared" si="32"/>
        <v>15933.213344686072</v>
      </c>
      <c r="I86" s="120">
        <f t="shared" si="32"/>
        <v>13080.499529307461</v>
      </c>
      <c r="J86" s="120">
        <f t="shared" si="32"/>
        <v>17200.965811450318</v>
      </c>
      <c r="K86" s="120">
        <f t="shared" si="32"/>
        <v>11980.499529307461</v>
      </c>
      <c r="L86" s="120">
        <f t="shared" si="32"/>
        <v>11980.499529307461</v>
      </c>
      <c r="M86" s="120">
        <f t="shared" si="32"/>
        <v>11980.499529307461</v>
      </c>
      <c r="N86" s="120">
        <f t="shared" si="32"/>
        <v>15933.213344686072</v>
      </c>
      <c r="O86" s="120">
        <f t="shared" si="32"/>
        <v>17200.965811450318</v>
      </c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3"/>
      <c r="AM86" s="183"/>
      <c r="AN86" s="183"/>
      <c r="AO86" s="183"/>
    </row>
    <row r="87" spans="2:41">
      <c r="B87" s="144" t="s">
        <v>317</v>
      </c>
      <c r="C87" s="120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220">
        <v>0</v>
      </c>
      <c r="Q87" s="220">
        <v>0</v>
      </c>
      <c r="R87" s="220">
        <v>0</v>
      </c>
      <c r="S87" s="220">
        <v>0</v>
      </c>
      <c r="T87" s="220">
        <v>0</v>
      </c>
      <c r="U87" s="220">
        <v>0</v>
      </c>
      <c r="V87" s="220">
        <v>0</v>
      </c>
      <c r="W87" s="220">
        <v>2</v>
      </c>
      <c r="X87" s="220">
        <v>2</v>
      </c>
      <c r="Y87" s="220">
        <v>2</v>
      </c>
      <c r="Z87" s="220">
        <v>2</v>
      </c>
      <c r="AA87" s="220">
        <v>2</v>
      </c>
      <c r="AB87" s="220">
        <v>2</v>
      </c>
      <c r="AC87" s="220">
        <v>2</v>
      </c>
      <c r="AD87" s="220">
        <v>0</v>
      </c>
      <c r="AE87" s="220">
        <v>0</v>
      </c>
      <c r="AF87" s="220">
        <v>0</v>
      </c>
      <c r="AG87" s="220">
        <v>0</v>
      </c>
      <c r="AH87" s="220">
        <v>0</v>
      </c>
      <c r="AI87" s="220">
        <v>0</v>
      </c>
      <c r="AJ87" s="220">
        <v>0</v>
      </c>
      <c r="AK87" s="249"/>
    </row>
    <row r="88" spans="2:41" s="143" customFormat="1">
      <c r="B88" s="203" t="s">
        <v>356</v>
      </c>
      <c r="C88" s="199">
        <f>SUM(C89:C90)</f>
        <v>16080</v>
      </c>
      <c r="D88" s="199">
        <f t="shared" ref="D88:O88" si="33">SUM(D89:D90)</f>
        <v>1340</v>
      </c>
      <c r="E88" s="199">
        <f t="shared" si="33"/>
        <v>1340</v>
      </c>
      <c r="F88" s="199">
        <f t="shared" si="33"/>
        <v>1340</v>
      </c>
      <c r="G88" s="199">
        <f t="shared" si="33"/>
        <v>1340</v>
      </c>
      <c r="H88" s="199">
        <f t="shared" si="33"/>
        <v>1340</v>
      </c>
      <c r="I88" s="199">
        <f t="shared" si="33"/>
        <v>1340</v>
      </c>
      <c r="J88" s="199">
        <f t="shared" si="33"/>
        <v>1340</v>
      </c>
      <c r="K88" s="199">
        <f t="shared" si="33"/>
        <v>1340</v>
      </c>
      <c r="L88" s="199">
        <f t="shared" si="33"/>
        <v>1340</v>
      </c>
      <c r="M88" s="199">
        <f t="shared" si="33"/>
        <v>1340</v>
      </c>
      <c r="N88" s="199">
        <f t="shared" si="33"/>
        <v>1340</v>
      </c>
      <c r="O88" s="199">
        <f t="shared" si="33"/>
        <v>1340</v>
      </c>
      <c r="P88" s="222">
        <f>$C89*P89+$C90*P90</f>
        <v>0</v>
      </c>
      <c r="Q88" s="222">
        <f t="shared" ref="Q88:R88" si="34">$C89*Q89+$C90*Q90</f>
        <v>0</v>
      </c>
      <c r="R88" s="222">
        <f t="shared" si="34"/>
        <v>0</v>
      </c>
      <c r="S88" s="222">
        <f t="shared" ref="S88:AJ88" si="35">$C89*S89+$C90*S90</f>
        <v>0</v>
      </c>
      <c r="T88" s="222">
        <f t="shared" si="35"/>
        <v>0</v>
      </c>
      <c r="U88" s="222">
        <f t="shared" si="35"/>
        <v>0</v>
      </c>
      <c r="V88" s="222">
        <f t="shared" si="35"/>
        <v>0</v>
      </c>
      <c r="W88" s="222">
        <f t="shared" si="35"/>
        <v>1608</v>
      </c>
      <c r="X88" s="222">
        <f t="shared" si="35"/>
        <v>1608</v>
      </c>
      <c r="Y88" s="222">
        <f t="shared" si="35"/>
        <v>1608</v>
      </c>
      <c r="Z88" s="222">
        <f t="shared" si="35"/>
        <v>1608</v>
      </c>
      <c r="AA88" s="222">
        <f t="shared" si="35"/>
        <v>0</v>
      </c>
      <c r="AB88" s="222">
        <f t="shared" si="35"/>
        <v>1608</v>
      </c>
      <c r="AC88" s="222">
        <f t="shared" si="35"/>
        <v>8040</v>
      </c>
      <c r="AD88" s="222">
        <f t="shared" si="35"/>
        <v>0</v>
      </c>
      <c r="AE88" s="222">
        <f t="shared" ref="AE88:AF88" si="36">$C89*AE89+$C90*AE90</f>
        <v>0</v>
      </c>
      <c r="AF88" s="222">
        <f t="shared" si="36"/>
        <v>0</v>
      </c>
      <c r="AG88" s="222">
        <f t="shared" si="35"/>
        <v>0</v>
      </c>
      <c r="AH88" s="222">
        <f t="shared" si="35"/>
        <v>0</v>
      </c>
      <c r="AI88" s="222">
        <f t="shared" si="35"/>
        <v>0</v>
      </c>
      <c r="AJ88" s="222">
        <f t="shared" si="35"/>
        <v>0</v>
      </c>
      <c r="AK88" s="189">
        <f>SUM(P88:AJ88)</f>
        <v>16080</v>
      </c>
    </row>
    <row r="89" spans="2:41">
      <c r="B89" s="170" t="s">
        <v>362</v>
      </c>
      <c r="C89" s="172">
        <f t="shared" ref="C89:C98" si="37">SUM(D89:O89)</f>
        <v>8040</v>
      </c>
      <c r="D89" s="174">
        <v>670</v>
      </c>
      <c r="E89" s="174">
        <v>670</v>
      </c>
      <c r="F89" s="174">
        <v>670</v>
      </c>
      <c r="G89" s="174">
        <v>670</v>
      </c>
      <c r="H89" s="174">
        <v>670</v>
      </c>
      <c r="I89" s="174">
        <v>670</v>
      </c>
      <c r="J89" s="174">
        <v>670</v>
      </c>
      <c r="K89" s="174">
        <v>670</v>
      </c>
      <c r="L89" s="174">
        <v>670</v>
      </c>
      <c r="M89" s="174">
        <v>670</v>
      </c>
      <c r="N89" s="174">
        <v>670</v>
      </c>
      <c r="O89" s="174">
        <v>670</v>
      </c>
      <c r="P89" s="152">
        <v>0</v>
      </c>
      <c r="Q89" s="152">
        <v>0</v>
      </c>
      <c r="R89" s="152">
        <v>0</v>
      </c>
      <c r="S89" s="152">
        <v>0</v>
      </c>
      <c r="T89" s="152">
        <v>0</v>
      </c>
      <c r="U89" s="152">
        <v>0</v>
      </c>
      <c r="V89" s="152">
        <v>0</v>
      </c>
      <c r="W89" s="152">
        <v>0.1</v>
      </c>
      <c r="X89" s="152">
        <v>0.1</v>
      </c>
      <c r="Y89" s="152">
        <v>0.1</v>
      </c>
      <c r="Z89" s="152">
        <v>0.1</v>
      </c>
      <c r="AA89" s="152">
        <v>0</v>
      </c>
      <c r="AB89" s="152">
        <v>0.1</v>
      </c>
      <c r="AC89" s="152">
        <v>0.5</v>
      </c>
      <c r="AD89" s="152">
        <v>0</v>
      </c>
      <c r="AE89" s="152">
        <v>0</v>
      </c>
      <c r="AF89" s="152">
        <v>0</v>
      </c>
      <c r="AG89" s="152">
        <v>0</v>
      </c>
      <c r="AH89" s="152">
        <v>0</v>
      </c>
      <c r="AI89" s="152">
        <v>0</v>
      </c>
      <c r="AJ89" s="152">
        <v>0</v>
      </c>
      <c r="AK89" s="190">
        <f>SUM(P89:AJ89)</f>
        <v>1</v>
      </c>
    </row>
    <row r="90" spans="2:41">
      <c r="B90" s="170" t="s">
        <v>363</v>
      </c>
      <c r="C90" s="172">
        <f t="shared" si="37"/>
        <v>8040</v>
      </c>
      <c r="D90" s="174">
        <v>670</v>
      </c>
      <c r="E90" s="174">
        <v>670</v>
      </c>
      <c r="F90" s="174">
        <v>670</v>
      </c>
      <c r="G90" s="174">
        <v>670</v>
      </c>
      <c r="H90" s="174">
        <v>670</v>
      </c>
      <c r="I90" s="174">
        <v>670</v>
      </c>
      <c r="J90" s="174">
        <v>670</v>
      </c>
      <c r="K90" s="174">
        <v>670</v>
      </c>
      <c r="L90" s="174">
        <v>670</v>
      </c>
      <c r="M90" s="174">
        <v>670</v>
      </c>
      <c r="N90" s="174">
        <v>670</v>
      </c>
      <c r="O90" s="174">
        <v>670</v>
      </c>
      <c r="P90" s="152">
        <v>0</v>
      </c>
      <c r="Q90" s="152">
        <v>0</v>
      </c>
      <c r="R90" s="152">
        <v>0</v>
      </c>
      <c r="S90" s="152">
        <v>0</v>
      </c>
      <c r="T90" s="152">
        <v>0</v>
      </c>
      <c r="U90" s="152">
        <v>0</v>
      </c>
      <c r="V90" s="152">
        <v>0</v>
      </c>
      <c r="W90" s="152">
        <v>0.1</v>
      </c>
      <c r="X90" s="152">
        <v>0.1</v>
      </c>
      <c r="Y90" s="152">
        <v>0.1</v>
      </c>
      <c r="Z90" s="152">
        <v>0.1</v>
      </c>
      <c r="AA90" s="152">
        <v>0</v>
      </c>
      <c r="AB90" s="152">
        <v>0.1</v>
      </c>
      <c r="AC90" s="152">
        <v>0.5</v>
      </c>
      <c r="AD90" s="152">
        <v>0</v>
      </c>
      <c r="AE90" s="152">
        <v>0</v>
      </c>
      <c r="AF90" s="152">
        <v>0</v>
      </c>
      <c r="AG90" s="152">
        <v>0</v>
      </c>
      <c r="AH90" s="152">
        <v>0</v>
      </c>
      <c r="AI90" s="152">
        <v>0</v>
      </c>
      <c r="AJ90" s="152">
        <v>0</v>
      </c>
      <c r="AK90" s="190">
        <f t="shared" ref="AK90" si="38">SUM(P90:AJ90)</f>
        <v>1</v>
      </c>
    </row>
    <row r="91" spans="2:41" s="194" customFormat="1">
      <c r="B91" s="203" t="s">
        <v>355</v>
      </c>
      <c r="C91" s="193">
        <f>SUM(C92:C96)</f>
        <v>7756.4333333333325</v>
      </c>
      <c r="D91" s="193">
        <f t="shared" ref="D91:O91" si="39">SUM(D92:D96)</f>
        <v>250.6</v>
      </c>
      <c r="E91" s="193">
        <f t="shared" si="39"/>
        <v>575.6</v>
      </c>
      <c r="F91" s="193">
        <f t="shared" si="39"/>
        <v>250.6</v>
      </c>
      <c r="G91" s="193">
        <f t="shared" si="39"/>
        <v>250.6</v>
      </c>
      <c r="H91" s="193">
        <f t="shared" si="39"/>
        <v>1032.2666666666667</v>
      </c>
      <c r="I91" s="193">
        <f t="shared" si="39"/>
        <v>250.6</v>
      </c>
      <c r="J91" s="193">
        <f t="shared" si="39"/>
        <v>1681.0499999999997</v>
      </c>
      <c r="K91" s="193">
        <f t="shared" si="39"/>
        <v>250.6</v>
      </c>
      <c r="L91" s="193">
        <f t="shared" si="39"/>
        <v>250.6</v>
      </c>
      <c r="M91" s="193">
        <f t="shared" si="39"/>
        <v>250.6</v>
      </c>
      <c r="N91" s="193">
        <f t="shared" si="39"/>
        <v>1032.2666666666667</v>
      </c>
      <c r="O91" s="193">
        <f t="shared" si="39"/>
        <v>1681.0499999999997</v>
      </c>
      <c r="P91" s="195">
        <f>$C91*P88/$C88</f>
        <v>0</v>
      </c>
      <c r="Q91" s="195">
        <f t="shared" ref="Q91:R91" si="40">$C91*Q88/$C88</f>
        <v>0</v>
      </c>
      <c r="R91" s="195">
        <f t="shared" si="40"/>
        <v>0</v>
      </c>
      <c r="S91" s="195">
        <f t="shared" ref="S91:AJ91" si="41">$C91*S88/$C88</f>
        <v>0</v>
      </c>
      <c r="T91" s="195">
        <f t="shared" si="41"/>
        <v>0</v>
      </c>
      <c r="U91" s="195">
        <f t="shared" si="41"/>
        <v>0</v>
      </c>
      <c r="V91" s="195">
        <f t="shared" si="41"/>
        <v>0</v>
      </c>
      <c r="W91" s="195">
        <f t="shared" si="41"/>
        <v>775.64333333333332</v>
      </c>
      <c r="X91" s="195">
        <f t="shared" si="41"/>
        <v>775.64333333333332</v>
      </c>
      <c r="Y91" s="195">
        <f t="shared" si="41"/>
        <v>775.64333333333332</v>
      </c>
      <c r="Z91" s="195">
        <f t="shared" si="41"/>
        <v>775.64333333333332</v>
      </c>
      <c r="AA91" s="195">
        <f t="shared" si="41"/>
        <v>0</v>
      </c>
      <c r="AB91" s="195">
        <f t="shared" si="41"/>
        <v>775.64333333333332</v>
      </c>
      <c r="AC91" s="195">
        <f t="shared" si="41"/>
        <v>3878.2166666666662</v>
      </c>
      <c r="AD91" s="195">
        <f t="shared" si="41"/>
        <v>0</v>
      </c>
      <c r="AE91" s="195">
        <f t="shared" ref="AE91:AF91" si="42">$C91*AE88/$C88</f>
        <v>0</v>
      </c>
      <c r="AF91" s="195">
        <f t="shared" si="42"/>
        <v>0</v>
      </c>
      <c r="AG91" s="195">
        <f t="shared" si="41"/>
        <v>0</v>
      </c>
      <c r="AH91" s="195">
        <f t="shared" si="41"/>
        <v>0</v>
      </c>
      <c r="AI91" s="195">
        <f t="shared" si="41"/>
        <v>0</v>
      </c>
      <c r="AJ91" s="195">
        <f t="shared" si="41"/>
        <v>0</v>
      </c>
      <c r="AK91" s="250">
        <f>SUM(P91:AJ91)</f>
        <v>7756.4333333333325</v>
      </c>
    </row>
    <row r="92" spans="2:41">
      <c r="B92" s="149" t="s">
        <v>318</v>
      </c>
      <c r="C92" s="121">
        <f t="shared" si="37"/>
        <v>2860.8999999999996</v>
      </c>
      <c r="D92" s="126"/>
      <c r="E92" s="126"/>
      <c r="F92" s="124" t="s">
        <v>238</v>
      </c>
      <c r="G92" s="126"/>
      <c r="H92" s="126"/>
      <c r="I92" s="124"/>
      <c r="J92" s="124">
        <f>SUM(J89:J90)*1.0675</f>
        <v>1430.4499999999998</v>
      </c>
      <c r="K92" s="126"/>
      <c r="L92" s="126"/>
      <c r="M92" s="126"/>
      <c r="N92" s="126"/>
      <c r="O92" s="124">
        <f>SUM(O89:O90)*1.0675</f>
        <v>1430.4499999999998</v>
      </c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51"/>
      <c r="AK92" s="252"/>
      <c r="AL92" s="186"/>
      <c r="AM92" s="186"/>
      <c r="AN92" s="186"/>
      <c r="AO92" s="186"/>
    </row>
    <row r="93" spans="2:41">
      <c r="B93" s="149" t="s">
        <v>257</v>
      </c>
      <c r="C93" s="121">
        <f t="shared" si="37"/>
        <v>1447.1999999999998</v>
      </c>
      <c r="D93" s="147">
        <f>SUM(D89:D90)*9%</f>
        <v>120.6</v>
      </c>
      <c r="E93" s="147">
        <f t="shared" ref="E93:O93" si="43">SUM(E89:E90)*9%</f>
        <v>120.6</v>
      </c>
      <c r="F93" s="147">
        <f t="shared" si="43"/>
        <v>120.6</v>
      </c>
      <c r="G93" s="147">
        <f t="shared" si="43"/>
        <v>120.6</v>
      </c>
      <c r="H93" s="147">
        <f t="shared" si="43"/>
        <v>120.6</v>
      </c>
      <c r="I93" s="147">
        <f t="shared" si="43"/>
        <v>120.6</v>
      </c>
      <c r="J93" s="147">
        <f t="shared" si="43"/>
        <v>120.6</v>
      </c>
      <c r="K93" s="147">
        <f t="shared" si="43"/>
        <v>120.6</v>
      </c>
      <c r="L93" s="147">
        <f t="shared" si="43"/>
        <v>120.6</v>
      </c>
      <c r="M93" s="147">
        <f t="shared" si="43"/>
        <v>120.6</v>
      </c>
      <c r="N93" s="147">
        <f t="shared" si="43"/>
        <v>120.6</v>
      </c>
      <c r="O93" s="147">
        <f t="shared" si="43"/>
        <v>120.6</v>
      </c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51"/>
      <c r="AK93" s="252"/>
      <c r="AL93" s="186"/>
      <c r="AM93" s="186"/>
      <c r="AN93" s="186"/>
      <c r="AO93" s="186"/>
    </row>
    <row r="94" spans="2:41">
      <c r="B94" s="149" t="s">
        <v>255</v>
      </c>
      <c r="C94" s="121">
        <f t="shared" si="37"/>
        <v>1563.3333333333333</v>
      </c>
      <c r="D94" s="126"/>
      <c r="E94" s="126"/>
      <c r="F94" s="124"/>
      <c r="G94" s="126" t="s">
        <v>238</v>
      </c>
      <c r="H94" s="124">
        <f>((SUM(H89:H90)+SUM(H89:H90)/6)/12)*6</f>
        <v>781.66666666666663</v>
      </c>
      <c r="I94" s="124"/>
      <c r="J94" s="124" t="s">
        <v>238</v>
      </c>
      <c r="K94" s="126"/>
      <c r="L94" s="126"/>
      <c r="M94" s="126"/>
      <c r="N94" s="124">
        <f>((SUM(N89:N90)+SUM(N89:N90)/6)/12)*6</f>
        <v>781.66666666666663</v>
      </c>
      <c r="O94" s="126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53"/>
      <c r="AK94" s="253"/>
      <c r="AL94" s="186"/>
      <c r="AM94" s="186"/>
      <c r="AN94" s="186"/>
      <c r="AO94" s="186"/>
    </row>
    <row r="95" spans="2:41">
      <c r="B95" s="133" t="s">
        <v>319</v>
      </c>
      <c r="C95" s="121">
        <f t="shared" si="37"/>
        <v>1560</v>
      </c>
      <c r="D95" s="147">
        <v>130</v>
      </c>
      <c r="E95" s="147">
        <v>130</v>
      </c>
      <c r="F95" s="147">
        <v>130</v>
      </c>
      <c r="G95" s="147">
        <v>130</v>
      </c>
      <c r="H95" s="147">
        <v>130</v>
      </c>
      <c r="I95" s="147">
        <v>130</v>
      </c>
      <c r="J95" s="147">
        <v>130</v>
      </c>
      <c r="K95" s="147">
        <v>130</v>
      </c>
      <c r="L95" s="147">
        <v>130</v>
      </c>
      <c r="M95" s="147">
        <v>130</v>
      </c>
      <c r="N95" s="147">
        <v>130</v>
      </c>
      <c r="O95" s="147">
        <v>130</v>
      </c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85"/>
      <c r="AK95" s="252"/>
      <c r="AL95" s="186"/>
      <c r="AM95" s="186"/>
      <c r="AN95" s="186"/>
      <c r="AO95" s="186"/>
    </row>
    <row r="96" spans="2:41">
      <c r="B96" s="146" t="s">
        <v>313</v>
      </c>
      <c r="C96" s="121">
        <f t="shared" si="37"/>
        <v>325</v>
      </c>
      <c r="D96" s="147"/>
      <c r="E96" s="147">
        <v>325</v>
      </c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85"/>
      <c r="AK96" s="252"/>
      <c r="AL96" s="186"/>
      <c r="AM96" s="186"/>
      <c r="AN96" s="186"/>
      <c r="AO96" s="186"/>
    </row>
    <row r="97" spans="2:41" s="194" customFormat="1">
      <c r="B97" s="203" t="s">
        <v>360</v>
      </c>
      <c r="C97" s="193">
        <f>SUM(C98:C102)</f>
        <v>25050</v>
      </c>
      <c r="D97" s="193">
        <f t="shared" ref="D97:O97" si="44">SUM(D98:D102)</f>
        <v>2350</v>
      </c>
      <c r="E97" s="193">
        <f t="shared" si="44"/>
        <v>2350</v>
      </c>
      <c r="F97" s="193">
        <f t="shared" si="44"/>
        <v>2350</v>
      </c>
      <c r="G97" s="193">
        <f t="shared" si="44"/>
        <v>2000</v>
      </c>
      <c r="H97" s="193">
        <f t="shared" si="44"/>
        <v>2000</v>
      </c>
      <c r="I97" s="193">
        <f t="shared" si="44"/>
        <v>2000</v>
      </c>
      <c r="J97" s="193">
        <f t="shared" si="44"/>
        <v>2000</v>
      </c>
      <c r="K97" s="193">
        <f t="shared" si="44"/>
        <v>2000</v>
      </c>
      <c r="L97" s="193">
        <f t="shared" si="44"/>
        <v>2000</v>
      </c>
      <c r="M97" s="193">
        <f t="shared" si="44"/>
        <v>2000</v>
      </c>
      <c r="N97" s="193">
        <f t="shared" si="44"/>
        <v>2000</v>
      </c>
      <c r="O97" s="193">
        <f t="shared" si="44"/>
        <v>2000</v>
      </c>
      <c r="AJ97" s="205"/>
      <c r="AK97" s="205"/>
      <c r="AL97" s="205"/>
      <c r="AM97" s="205"/>
      <c r="AN97" s="205"/>
      <c r="AO97" s="205"/>
    </row>
    <row r="98" spans="2:41">
      <c r="B98" s="150" t="s">
        <v>320</v>
      </c>
      <c r="C98" s="121">
        <f t="shared" si="37"/>
        <v>1050</v>
      </c>
      <c r="D98" s="141">
        <v>350</v>
      </c>
      <c r="E98" s="141">
        <v>350</v>
      </c>
      <c r="F98" s="141">
        <v>350</v>
      </c>
      <c r="G98" s="141"/>
      <c r="H98" s="141"/>
      <c r="I98" s="141"/>
      <c r="J98" s="141"/>
      <c r="K98" s="141"/>
      <c r="L98" s="141"/>
      <c r="M98" s="141"/>
      <c r="N98" s="141"/>
      <c r="O98" s="141"/>
    </row>
    <row r="99" spans="2:41">
      <c r="B99" s="171" t="s">
        <v>367</v>
      </c>
      <c r="C99" s="172">
        <f t="shared" ref="C99" si="45">SUM(D99:O99)</f>
        <v>6000</v>
      </c>
      <c r="D99" s="217">
        <v>500</v>
      </c>
      <c r="E99" s="217">
        <v>500</v>
      </c>
      <c r="F99" s="217">
        <v>500</v>
      </c>
      <c r="G99" s="217">
        <v>500</v>
      </c>
      <c r="H99" s="217">
        <v>500</v>
      </c>
      <c r="I99" s="217">
        <v>500</v>
      </c>
      <c r="J99" s="217">
        <v>500</v>
      </c>
      <c r="K99" s="217">
        <v>500</v>
      </c>
      <c r="L99" s="217">
        <v>500</v>
      </c>
      <c r="M99" s="217">
        <v>500</v>
      </c>
      <c r="N99" s="217">
        <v>500</v>
      </c>
      <c r="O99" s="246">
        <v>500</v>
      </c>
      <c r="P99" s="398"/>
      <c r="Q99" s="398"/>
      <c r="R99" s="398"/>
      <c r="S99" s="398"/>
      <c r="T99" s="398"/>
      <c r="U99" s="398"/>
      <c r="V99" s="398"/>
      <c r="W99" s="398"/>
      <c r="X99" s="398"/>
      <c r="Y99" s="398"/>
      <c r="Z99" s="398"/>
      <c r="AA99" s="398"/>
      <c r="AB99" s="398"/>
      <c r="AC99" s="398"/>
      <c r="AD99" s="398"/>
      <c r="AE99" s="398"/>
      <c r="AF99" s="398"/>
      <c r="AG99" s="398"/>
      <c r="AH99" s="398"/>
      <c r="AI99" s="398"/>
      <c r="AJ99" s="398"/>
      <c r="AK99" s="180"/>
    </row>
    <row r="100" spans="2:41">
      <c r="B100" s="216" t="s">
        <v>495</v>
      </c>
      <c r="C100" s="172">
        <f t="shared" ref="C100" si="46">SUM(D100:O100)</f>
        <v>6000</v>
      </c>
      <c r="D100" s="217">
        <v>500</v>
      </c>
      <c r="E100" s="217">
        <v>500</v>
      </c>
      <c r="F100" s="217">
        <v>500</v>
      </c>
      <c r="G100" s="217">
        <v>500</v>
      </c>
      <c r="H100" s="217">
        <v>500</v>
      </c>
      <c r="I100" s="217">
        <v>500</v>
      </c>
      <c r="J100" s="217">
        <v>500</v>
      </c>
      <c r="K100" s="217">
        <v>500</v>
      </c>
      <c r="L100" s="217">
        <v>500</v>
      </c>
      <c r="M100" s="217">
        <v>500</v>
      </c>
      <c r="N100" s="217">
        <v>500</v>
      </c>
      <c r="O100" s="246">
        <v>500</v>
      </c>
      <c r="P100" s="180"/>
      <c r="Q100" s="278"/>
      <c r="R100" s="278"/>
      <c r="S100" s="180"/>
      <c r="T100" s="180"/>
      <c r="U100" s="180"/>
      <c r="V100" s="180"/>
      <c r="W100" s="180"/>
      <c r="X100" s="279"/>
      <c r="Y100" s="279"/>
      <c r="Z100" s="180"/>
      <c r="AA100" s="180"/>
      <c r="AB100" s="180"/>
      <c r="AC100" s="180"/>
      <c r="AD100" s="180"/>
      <c r="AE100" s="279"/>
      <c r="AF100" s="279"/>
      <c r="AG100" s="180"/>
      <c r="AH100" s="180"/>
      <c r="AI100" s="180"/>
      <c r="AJ100" s="180"/>
      <c r="AK100" s="180"/>
    </row>
    <row r="101" spans="2:41">
      <c r="B101" s="169" t="s">
        <v>494</v>
      </c>
      <c r="C101" s="172">
        <f t="shared" ref="C101:C102" si="47">SUM(D101:O101)</f>
        <v>7800</v>
      </c>
      <c r="D101" s="174">
        <v>650</v>
      </c>
      <c r="E101" s="174">
        <v>650</v>
      </c>
      <c r="F101" s="174">
        <v>650</v>
      </c>
      <c r="G101" s="174">
        <v>650</v>
      </c>
      <c r="H101" s="174">
        <v>650</v>
      </c>
      <c r="I101" s="174">
        <v>650</v>
      </c>
      <c r="J101" s="174">
        <v>650</v>
      </c>
      <c r="K101" s="174">
        <v>650</v>
      </c>
      <c r="L101" s="174">
        <v>650</v>
      </c>
      <c r="M101" s="174">
        <v>650</v>
      </c>
      <c r="N101" s="174">
        <v>650</v>
      </c>
      <c r="O101" s="247">
        <v>650</v>
      </c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3"/>
      <c r="AK101" s="183"/>
    </row>
    <row r="102" spans="2:41">
      <c r="B102" s="169" t="s">
        <v>366</v>
      </c>
      <c r="C102" s="172">
        <f t="shared" si="47"/>
        <v>4200</v>
      </c>
      <c r="D102" s="174">
        <v>350</v>
      </c>
      <c r="E102" s="174">
        <v>350</v>
      </c>
      <c r="F102" s="174">
        <v>350</v>
      </c>
      <c r="G102" s="174">
        <v>350</v>
      </c>
      <c r="H102" s="174">
        <v>350</v>
      </c>
      <c r="I102" s="174">
        <v>350</v>
      </c>
      <c r="J102" s="174">
        <v>350</v>
      </c>
      <c r="K102" s="174">
        <v>350</v>
      </c>
      <c r="L102" s="174">
        <v>350</v>
      </c>
      <c r="M102" s="174">
        <v>350</v>
      </c>
      <c r="N102" s="174">
        <v>350</v>
      </c>
      <c r="O102" s="247">
        <v>350</v>
      </c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98"/>
      <c r="AB102" s="398"/>
      <c r="AC102" s="398"/>
      <c r="AD102" s="398"/>
      <c r="AE102" s="398"/>
      <c r="AF102" s="398"/>
      <c r="AG102" s="398"/>
      <c r="AH102" s="398"/>
      <c r="AI102" s="398"/>
      <c r="AJ102" s="398"/>
      <c r="AK102" s="180"/>
    </row>
    <row r="103" spans="2:41">
      <c r="B103" s="144" t="s">
        <v>321</v>
      </c>
      <c r="C103" s="120">
        <f>+C88+C91+C97</f>
        <v>48886.433333333334</v>
      </c>
      <c r="D103" s="120">
        <f t="shared" ref="D103:O103" si="48">+D88+D91+D97</f>
        <v>3940.6</v>
      </c>
      <c r="E103" s="120">
        <f t="shared" si="48"/>
        <v>4265.6000000000004</v>
      </c>
      <c r="F103" s="120">
        <f t="shared" si="48"/>
        <v>3940.6</v>
      </c>
      <c r="G103" s="120">
        <f t="shared" si="48"/>
        <v>3590.6</v>
      </c>
      <c r="H103" s="120">
        <f t="shared" si="48"/>
        <v>4372.2666666666664</v>
      </c>
      <c r="I103" s="120">
        <f t="shared" si="48"/>
        <v>3590.6</v>
      </c>
      <c r="J103" s="120">
        <f t="shared" si="48"/>
        <v>5021.0499999999993</v>
      </c>
      <c r="K103" s="120">
        <f t="shared" si="48"/>
        <v>3590.6</v>
      </c>
      <c r="L103" s="120">
        <f t="shared" si="48"/>
        <v>3590.6</v>
      </c>
      <c r="M103" s="120">
        <f t="shared" si="48"/>
        <v>3590.6</v>
      </c>
      <c r="N103" s="120">
        <f t="shared" si="48"/>
        <v>4372.2666666666664</v>
      </c>
      <c r="O103" s="248">
        <f t="shared" si="48"/>
        <v>5021.0499999999993</v>
      </c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  <c r="AJ103" s="184"/>
      <c r="AK103" s="184"/>
    </row>
    <row r="104" spans="2:41">
      <c r="B104" s="144" t="s">
        <v>325</v>
      </c>
      <c r="C104" s="120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220">
        <v>0</v>
      </c>
      <c r="Q104" s="220">
        <v>0</v>
      </c>
      <c r="R104" s="220">
        <v>0</v>
      </c>
      <c r="S104" s="220">
        <v>0</v>
      </c>
      <c r="T104" s="220">
        <v>0</v>
      </c>
      <c r="U104" s="220">
        <v>0</v>
      </c>
      <c r="V104" s="220">
        <v>0</v>
      </c>
      <c r="W104" s="220">
        <v>0</v>
      </c>
      <c r="X104" s="220">
        <v>0</v>
      </c>
      <c r="Y104" s="220">
        <v>0</v>
      </c>
      <c r="Z104" s="220">
        <v>0</v>
      </c>
      <c r="AA104" s="220">
        <v>0</v>
      </c>
      <c r="AB104" s="220">
        <v>0</v>
      </c>
      <c r="AC104" s="220">
        <v>0</v>
      </c>
      <c r="AD104" s="220">
        <v>4</v>
      </c>
      <c r="AE104" s="220">
        <v>4</v>
      </c>
      <c r="AF104" s="220">
        <v>4</v>
      </c>
      <c r="AG104" s="220">
        <v>4</v>
      </c>
      <c r="AH104" s="220">
        <v>0</v>
      </c>
      <c r="AI104" s="220">
        <v>4</v>
      </c>
      <c r="AJ104" s="220">
        <v>4</v>
      </c>
      <c r="AK104" s="249"/>
    </row>
    <row r="105" spans="2:41" s="143" customFormat="1">
      <c r="B105" s="203" t="s">
        <v>356</v>
      </c>
      <c r="C105" s="199">
        <f>SUM(C106:C109)</f>
        <v>27456.673509534958</v>
      </c>
      <c r="D105" s="199">
        <f t="shared" ref="D105:O105" si="49">SUM(D106:D109)</f>
        <v>2288.0561257945797</v>
      </c>
      <c r="E105" s="199">
        <f t="shared" si="49"/>
        <v>2288.0561257945797</v>
      </c>
      <c r="F105" s="199">
        <f t="shared" si="49"/>
        <v>2288.0561257945797</v>
      </c>
      <c r="G105" s="199">
        <f t="shared" si="49"/>
        <v>2288.0561257945797</v>
      </c>
      <c r="H105" s="199">
        <f t="shared" si="49"/>
        <v>2288.0561257945797</v>
      </c>
      <c r="I105" s="199">
        <f t="shared" si="49"/>
        <v>2288.0561257945797</v>
      </c>
      <c r="J105" s="199">
        <f t="shared" si="49"/>
        <v>2288.0561257945797</v>
      </c>
      <c r="K105" s="199">
        <f t="shared" si="49"/>
        <v>2288.0561257945797</v>
      </c>
      <c r="L105" s="199">
        <f t="shared" si="49"/>
        <v>2288.0561257945797</v>
      </c>
      <c r="M105" s="199">
        <f t="shared" si="49"/>
        <v>2288.0561257945797</v>
      </c>
      <c r="N105" s="199">
        <f t="shared" si="49"/>
        <v>2288.0561257945797</v>
      </c>
      <c r="O105" s="199">
        <f t="shared" si="49"/>
        <v>2288.0561257945797</v>
      </c>
      <c r="P105" s="200">
        <f>$C106*P106+$C107*P107+$C108*P108+$C109*P109</f>
        <v>0</v>
      </c>
      <c r="Q105" s="200">
        <f t="shared" ref="Q105:R105" si="50">$C106*Q106+$C107*Q107+$C108*Q108+$C109*Q109</f>
        <v>0</v>
      </c>
      <c r="R105" s="200">
        <f t="shared" si="50"/>
        <v>0</v>
      </c>
      <c r="S105" s="200">
        <f t="shared" ref="S105:AJ105" si="51">$C106*S106+$C107*S107+$C108*S108+$C109*S109</f>
        <v>0</v>
      </c>
      <c r="T105" s="200">
        <f t="shared" si="51"/>
        <v>0</v>
      </c>
      <c r="U105" s="200">
        <f t="shared" si="51"/>
        <v>0</v>
      </c>
      <c r="V105" s="200">
        <f t="shared" si="51"/>
        <v>0</v>
      </c>
      <c r="W105" s="200">
        <f t="shared" si="51"/>
        <v>0</v>
      </c>
      <c r="X105" s="200">
        <f t="shared" ref="X105:Y105" si="52">$C106*X106+$C107*X107+$C108*X108+$C109*X109</f>
        <v>0</v>
      </c>
      <c r="Y105" s="200">
        <f t="shared" si="52"/>
        <v>0</v>
      </c>
      <c r="Z105" s="200">
        <f t="shared" si="51"/>
        <v>0</v>
      </c>
      <c r="AA105" s="200">
        <f t="shared" si="51"/>
        <v>0</v>
      </c>
      <c r="AB105" s="200">
        <f t="shared" si="51"/>
        <v>0</v>
      </c>
      <c r="AC105" s="200">
        <f t="shared" si="51"/>
        <v>0</v>
      </c>
      <c r="AD105" s="200">
        <f t="shared" si="51"/>
        <v>2745.6673509534958</v>
      </c>
      <c r="AE105" s="200">
        <f t="shared" ref="AE105:AF105" si="53">$C106*AE106+$C107*AE107+$C108*AE108+$C109*AE109</f>
        <v>2745.6673509534958</v>
      </c>
      <c r="AF105" s="200">
        <f t="shared" si="53"/>
        <v>2745.6673509534958</v>
      </c>
      <c r="AG105" s="200">
        <f t="shared" si="51"/>
        <v>2745.6673509534958</v>
      </c>
      <c r="AH105" s="200">
        <f t="shared" si="51"/>
        <v>0</v>
      </c>
      <c r="AI105" s="200">
        <f t="shared" si="51"/>
        <v>2745.6673509534958</v>
      </c>
      <c r="AJ105" s="200">
        <f t="shared" si="51"/>
        <v>13728.336754767479</v>
      </c>
      <c r="AK105" s="189">
        <f>SUM(P105:AJ105)</f>
        <v>27456.673509534958</v>
      </c>
    </row>
    <row r="106" spans="2:41" s="143" customFormat="1">
      <c r="B106" s="150" t="s">
        <v>496</v>
      </c>
      <c r="C106" s="213">
        <f t="shared" ref="C106:C123" si="54">SUM(D106:O106)</f>
        <v>12000</v>
      </c>
      <c r="D106" s="147">
        <v>1000</v>
      </c>
      <c r="E106" s="147">
        <v>1000</v>
      </c>
      <c r="F106" s="147">
        <v>1000</v>
      </c>
      <c r="G106" s="147">
        <v>1000</v>
      </c>
      <c r="H106" s="147">
        <v>1000</v>
      </c>
      <c r="I106" s="147">
        <v>1000</v>
      </c>
      <c r="J106" s="147">
        <v>1000</v>
      </c>
      <c r="K106" s="147">
        <v>1000</v>
      </c>
      <c r="L106" s="147">
        <v>1000</v>
      </c>
      <c r="M106" s="147">
        <v>1000</v>
      </c>
      <c r="N106" s="147">
        <v>1000</v>
      </c>
      <c r="O106" s="147">
        <v>1000</v>
      </c>
      <c r="P106" s="214">
        <v>0</v>
      </c>
      <c r="Q106" s="214">
        <v>0</v>
      </c>
      <c r="R106" s="214">
        <v>0</v>
      </c>
      <c r="S106" s="214">
        <v>0</v>
      </c>
      <c r="T106" s="214">
        <v>0</v>
      </c>
      <c r="U106" s="214">
        <v>0</v>
      </c>
      <c r="V106" s="214">
        <v>0</v>
      </c>
      <c r="W106" s="214">
        <v>0</v>
      </c>
      <c r="X106" s="214">
        <v>0</v>
      </c>
      <c r="Y106" s="214">
        <v>0</v>
      </c>
      <c r="Z106" s="214">
        <v>0</v>
      </c>
      <c r="AA106" s="214">
        <v>0</v>
      </c>
      <c r="AB106" s="214">
        <v>0</v>
      </c>
      <c r="AC106" s="214">
        <v>0</v>
      </c>
      <c r="AD106" s="214">
        <v>0.1</v>
      </c>
      <c r="AE106" s="214">
        <v>0.1</v>
      </c>
      <c r="AF106" s="214">
        <v>0.1</v>
      </c>
      <c r="AG106" s="214">
        <v>0.1</v>
      </c>
      <c r="AH106" s="214">
        <v>0</v>
      </c>
      <c r="AI106" s="214">
        <v>0.1</v>
      </c>
      <c r="AJ106" s="214">
        <v>0.5</v>
      </c>
      <c r="AK106" s="215">
        <f>SUM(P106:AJ106)</f>
        <v>1</v>
      </c>
    </row>
    <row r="107" spans="2:41">
      <c r="B107" s="149" t="s">
        <v>497</v>
      </c>
      <c r="C107" s="121">
        <f t="shared" ref="C107" si="55">SUM(D107:O107)</f>
        <v>6423.5530277684848</v>
      </c>
      <c r="D107" s="147">
        <v>535.29608564737373</v>
      </c>
      <c r="E107" s="147">
        <v>535.29608564737373</v>
      </c>
      <c r="F107" s="147">
        <v>535.29608564737373</v>
      </c>
      <c r="G107" s="147">
        <v>535.29608564737373</v>
      </c>
      <c r="H107" s="147">
        <v>535.29608564737373</v>
      </c>
      <c r="I107" s="147">
        <v>535.29608564737373</v>
      </c>
      <c r="J107" s="147">
        <v>535.29608564737373</v>
      </c>
      <c r="K107" s="147">
        <v>535.29608564737373</v>
      </c>
      <c r="L107" s="147">
        <v>535.29608564737373</v>
      </c>
      <c r="M107" s="147">
        <v>535.29608564737373</v>
      </c>
      <c r="N107" s="147">
        <v>535.29608564737373</v>
      </c>
      <c r="O107" s="147">
        <v>535.29608564737373</v>
      </c>
      <c r="P107" s="152">
        <v>0</v>
      </c>
      <c r="Q107" s="152">
        <v>0</v>
      </c>
      <c r="R107" s="152">
        <v>0</v>
      </c>
      <c r="S107" s="152">
        <v>0</v>
      </c>
      <c r="T107" s="152">
        <v>0</v>
      </c>
      <c r="U107" s="152">
        <v>0</v>
      </c>
      <c r="V107" s="152">
        <v>0</v>
      </c>
      <c r="W107" s="152">
        <v>0</v>
      </c>
      <c r="X107" s="152">
        <v>0</v>
      </c>
      <c r="Y107" s="152">
        <v>0</v>
      </c>
      <c r="Z107" s="152">
        <v>0</v>
      </c>
      <c r="AA107" s="152">
        <v>0</v>
      </c>
      <c r="AB107" s="152">
        <v>0</v>
      </c>
      <c r="AC107" s="152">
        <v>0</v>
      </c>
      <c r="AD107" s="214">
        <v>0.1</v>
      </c>
      <c r="AE107" s="214">
        <v>0.1</v>
      </c>
      <c r="AF107" s="214">
        <v>0.1</v>
      </c>
      <c r="AG107" s="214">
        <v>0.1</v>
      </c>
      <c r="AH107" s="214">
        <v>0</v>
      </c>
      <c r="AI107" s="214">
        <v>0.1</v>
      </c>
      <c r="AJ107" s="214">
        <v>0.5</v>
      </c>
      <c r="AK107" s="190">
        <f t="shared" ref="AK107" si="56">SUM(P107:AJ107)</f>
        <v>1</v>
      </c>
    </row>
    <row r="108" spans="2:41" s="143" customFormat="1">
      <c r="B108" s="150" t="s">
        <v>499</v>
      </c>
      <c r="C108" s="121">
        <f t="shared" si="54"/>
        <v>3011.040481766473</v>
      </c>
      <c r="D108" s="147">
        <f>250.920040147206</f>
        <v>250.92004014720601</v>
      </c>
      <c r="E108" s="147">
        <f t="shared" ref="E108:O108" si="57">250.920040147206</f>
        <v>250.92004014720601</v>
      </c>
      <c r="F108" s="147">
        <f t="shared" si="57"/>
        <v>250.92004014720601</v>
      </c>
      <c r="G108" s="147">
        <f t="shared" si="57"/>
        <v>250.92004014720601</v>
      </c>
      <c r="H108" s="147">
        <f t="shared" si="57"/>
        <v>250.92004014720601</v>
      </c>
      <c r="I108" s="147">
        <f t="shared" si="57"/>
        <v>250.92004014720601</v>
      </c>
      <c r="J108" s="147">
        <f t="shared" si="57"/>
        <v>250.92004014720601</v>
      </c>
      <c r="K108" s="147">
        <f t="shared" si="57"/>
        <v>250.92004014720601</v>
      </c>
      <c r="L108" s="147">
        <f t="shared" si="57"/>
        <v>250.92004014720601</v>
      </c>
      <c r="M108" s="147">
        <f t="shared" si="57"/>
        <v>250.92004014720601</v>
      </c>
      <c r="N108" s="147">
        <f t="shared" si="57"/>
        <v>250.92004014720601</v>
      </c>
      <c r="O108" s="147">
        <f t="shared" si="57"/>
        <v>250.92004014720601</v>
      </c>
      <c r="P108" s="152">
        <v>0</v>
      </c>
      <c r="Q108" s="152">
        <v>0</v>
      </c>
      <c r="R108" s="152">
        <v>0</v>
      </c>
      <c r="S108" s="152">
        <v>0</v>
      </c>
      <c r="T108" s="152">
        <v>0</v>
      </c>
      <c r="U108" s="152">
        <v>0</v>
      </c>
      <c r="V108" s="152">
        <v>0</v>
      </c>
      <c r="W108" s="152">
        <v>0</v>
      </c>
      <c r="X108" s="152">
        <v>0</v>
      </c>
      <c r="Y108" s="152">
        <v>0</v>
      </c>
      <c r="Z108" s="152">
        <v>0</v>
      </c>
      <c r="AA108" s="152">
        <v>0</v>
      </c>
      <c r="AB108" s="152">
        <v>0</v>
      </c>
      <c r="AC108" s="152">
        <v>0</v>
      </c>
      <c r="AD108" s="214">
        <v>0.1</v>
      </c>
      <c r="AE108" s="214">
        <v>0.1</v>
      </c>
      <c r="AF108" s="214">
        <v>0.1</v>
      </c>
      <c r="AG108" s="214">
        <v>0.1</v>
      </c>
      <c r="AH108" s="214">
        <v>0</v>
      </c>
      <c r="AI108" s="214">
        <v>0.1</v>
      </c>
      <c r="AJ108" s="214">
        <v>0.5</v>
      </c>
      <c r="AK108" s="190">
        <f t="shared" ref="AK108:AK109" si="58">SUM(P108:AJ108)</f>
        <v>1</v>
      </c>
    </row>
    <row r="109" spans="2:41">
      <c r="B109" s="146" t="s">
        <v>498</v>
      </c>
      <c r="C109" s="121">
        <f>SUM(D109:O109)</f>
        <v>6022.0800000000008</v>
      </c>
      <c r="D109" s="147">
        <v>501.84</v>
      </c>
      <c r="E109" s="147">
        <v>501.84</v>
      </c>
      <c r="F109" s="147">
        <v>501.84</v>
      </c>
      <c r="G109" s="147">
        <v>501.84</v>
      </c>
      <c r="H109" s="147">
        <v>501.84</v>
      </c>
      <c r="I109" s="147">
        <v>501.84</v>
      </c>
      <c r="J109" s="147">
        <v>501.84</v>
      </c>
      <c r="K109" s="147">
        <v>501.84</v>
      </c>
      <c r="L109" s="147">
        <v>501.84</v>
      </c>
      <c r="M109" s="147">
        <v>501.84</v>
      </c>
      <c r="N109" s="147">
        <v>501.84</v>
      </c>
      <c r="O109" s="147">
        <v>501.84</v>
      </c>
      <c r="P109" s="152">
        <v>0</v>
      </c>
      <c r="Q109" s="152">
        <v>0</v>
      </c>
      <c r="R109" s="152">
        <v>0</v>
      </c>
      <c r="S109" s="152">
        <v>0</v>
      </c>
      <c r="T109" s="152">
        <v>0</v>
      </c>
      <c r="U109" s="152">
        <v>0</v>
      </c>
      <c r="V109" s="152">
        <v>0</v>
      </c>
      <c r="W109" s="152">
        <v>0</v>
      </c>
      <c r="X109" s="152">
        <v>0</v>
      </c>
      <c r="Y109" s="152">
        <v>0</v>
      </c>
      <c r="Z109" s="152">
        <v>0</v>
      </c>
      <c r="AA109" s="152">
        <v>0</v>
      </c>
      <c r="AB109" s="152">
        <v>0</v>
      </c>
      <c r="AC109" s="152">
        <v>0</v>
      </c>
      <c r="AD109" s="214">
        <v>0.1</v>
      </c>
      <c r="AE109" s="214">
        <v>0.1</v>
      </c>
      <c r="AF109" s="214">
        <v>0.1</v>
      </c>
      <c r="AG109" s="214">
        <v>0.1</v>
      </c>
      <c r="AH109" s="214">
        <v>0</v>
      </c>
      <c r="AI109" s="214">
        <v>0.1</v>
      </c>
      <c r="AJ109" s="214">
        <v>0.5</v>
      </c>
      <c r="AK109" s="190">
        <f t="shared" si="58"/>
        <v>1</v>
      </c>
    </row>
    <row r="110" spans="2:41" s="194" customFormat="1">
      <c r="B110" s="203" t="s">
        <v>355</v>
      </c>
      <c r="C110" s="193">
        <f>SUM(C111:C115)</f>
        <v>11118.499257856583</v>
      </c>
      <c r="D110" s="193">
        <f t="shared" ref="D110:O110" si="59">SUM(D111:D115)</f>
        <v>269.92505132151217</v>
      </c>
      <c r="E110" s="193">
        <f t="shared" si="59"/>
        <v>594.92505132151223</v>
      </c>
      <c r="F110" s="193">
        <f t="shared" si="59"/>
        <v>269.92505132151217</v>
      </c>
      <c r="G110" s="193">
        <f t="shared" si="59"/>
        <v>269.92505132151217</v>
      </c>
      <c r="H110" s="193">
        <f t="shared" si="59"/>
        <v>1604.6244580350169</v>
      </c>
      <c r="I110" s="193">
        <f t="shared" si="59"/>
        <v>269.92505132151217</v>
      </c>
      <c r="J110" s="193">
        <f t="shared" si="59"/>
        <v>2712.4249656072257</v>
      </c>
      <c r="K110" s="193">
        <f t="shared" si="59"/>
        <v>269.92505132151217</v>
      </c>
      <c r="L110" s="193">
        <f t="shared" si="59"/>
        <v>269.92505132151217</v>
      </c>
      <c r="M110" s="193">
        <f t="shared" si="59"/>
        <v>269.92505132151217</v>
      </c>
      <c r="N110" s="193">
        <f t="shared" si="59"/>
        <v>1604.6244580350169</v>
      </c>
      <c r="O110" s="193">
        <f t="shared" si="59"/>
        <v>2712.4249656072257</v>
      </c>
      <c r="P110" s="195">
        <f>$C110*P105/$C105</f>
        <v>0</v>
      </c>
      <c r="Q110" s="195">
        <f t="shared" ref="Q110:R110" si="60">$C110*Q105/$C105</f>
        <v>0</v>
      </c>
      <c r="R110" s="195">
        <f t="shared" si="60"/>
        <v>0</v>
      </c>
      <c r="S110" s="195">
        <f t="shared" ref="S110:AJ110" si="61">$C110*S105/$C105</f>
        <v>0</v>
      </c>
      <c r="T110" s="195">
        <f t="shared" si="61"/>
        <v>0</v>
      </c>
      <c r="U110" s="195">
        <f t="shared" si="61"/>
        <v>0</v>
      </c>
      <c r="V110" s="195">
        <f t="shared" si="61"/>
        <v>0</v>
      </c>
      <c r="W110" s="195">
        <f t="shared" si="61"/>
        <v>0</v>
      </c>
      <c r="X110" s="195">
        <f t="shared" ref="X110:Y110" si="62">$C110*X105/$C105</f>
        <v>0</v>
      </c>
      <c r="Y110" s="195">
        <f t="shared" si="62"/>
        <v>0</v>
      </c>
      <c r="Z110" s="195">
        <f t="shared" si="61"/>
        <v>0</v>
      </c>
      <c r="AA110" s="195">
        <f t="shared" si="61"/>
        <v>0</v>
      </c>
      <c r="AB110" s="195">
        <f t="shared" si="61"/>
        <v>0</v>
      </c>
      <c r="AC110" s="195">
        <f t="shared" si="61"/>
        <v>0</v>
      </c>
      <c r="AD110" s="195">
        <f t="shared" si="61"/>
        <v>1111.8499257856583</v>
      </c>
      <c r="AE110" s="195">
        <f t="shared" ref="AE110:AF110" si="63">$C110*AE105/$C105</f>
        <v>1111.8499257856583</v>
      </c>
      <c r="AF110" s="195">
        <f t="shared" si="63"/>
        <v>1111.8499257856583</v>
      </c>
      <c r="AG110" s="195">
        <f t="shared" si="61"/>
        <v>1111.8499257856583</v>
      </c>
      <c r="AH110" s="195">
        <f t="shared" si="61"/>
        <v>0</v>
      </c>
      <c r="AI110" s="195">
        <f t="shared" si="61"/>
        <v>1111.8499257856583</v>
      </c>
      <c r="AJ110" s="195">
        <f t="shared" si="61"/>
        <v>5559.2496289282917</v>
      </c>
      <c r="AK110" s="250">
        <f>SUM(P110:AJ110)</f>
        <v>11118.499257856583</v>
      </c>
    </row>
    <row r="111" spans="2:41">
      <c r="B111" s="149" t="s">
        <v>318</v>
      </c>
      <c r="C111" s="121">
        <f t="shared" si="54"/>
        <v>4884.9998285714273</v>
      </c>
      <c r="D111" s="126"/>
      <c r="E111" s="126"/>
      <c r="F111" s="124"/>
      <c r="G111" s="126"/>
      <c r="H111" s="126"/>
      <c r="I111" s="124"/>
      <c r="J111" s="124">
        <f>SUM(J106:J109)*1.0675</f>
        <v>2442.4999142857137</v>
      </c>
      <c r="K111" s="124"/>
      <c r="L111" s="126"/>
      <c r="M111" s="126"/>
      <c r="N111" s="126"/>
      <c r="O111" s="124">
        <f>SUM(O106:O109)*1.0675</f>
        <v>2442.4999142857137</v>
      </c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85"/>
      <c r="AK111" s="252"/>
      <c r="AL111" s="186"/>
    </row>
    <row r="112" spans="2:41">
      <c r="B112" s="149" t="s">
        <v>257</v>
      </c>
      <c r="C112" s="121">
        <f t="shared" si="54"/>
        <v>2471.1006158581458</v>
      </c>
      <c r="D112" s="147">
        <f t="shared" ref="D112:O112" si="64">SUM(D106:D109)*9%</f>
        <v>205.92505132151217</v>
      </c>
      <c r="E112" s="147">
        <f t="shared" si="64"/>
        <v>205.92505132151217</v>
      </c>
      <c r="F112" s="147">
        <f t="shared" si="64"/>
        <v>205.92505132151217</v>
      </c>
      <c r="G112" s="147">
        <f t="shared" si="64"/>
        <v>205.92505132151217</v>
      </c>
      <c r="H112" s="147">
        <f t="shared" si="64"/>
        <v>205.92505132151217</v>
      </c>
      <c r="I112" s="147">
        <f t="shared" si="64"/>
        <v>205.92505132151217</v>
      </c>
      <c r="J112" s="147">
        <f t="shared" si="64"/>
        <v>205.92505132151217</v>
      </c>
      <c r="K112" s="147">
        <f t="shared" si="64"/>
        <v>205.92505132151217</v>
      </c>
      <c r="L112" s="147">
        <f t="shared" si="64"/>
        <v>205.92505132151217</v>
      </c>
      <c r="M112" s="147">
        <f t="shared" si="64"/>
        <v>205.92505132151217</v>
      </c>
      <c r="N112" s="147">
        <f t="shared" si="64"/>
        <v>205.92505132151217</v>
      </c>
      <c r="O112" s="147">
        <f t="shared" si="64"/>
        <v>205.92505132151217</v>
      </c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85"/>
      <c r="AK112" s="252"/>
      <c r="AL112" s="186"/>
    </row>
    <row r="113" spans="2:38">
      <c r="B113" s="149" t="s">
        <v>255</v>
      </c>
      <c r="C113" s="121">
        <f t="shared" si="54"/>
        <v>2669.3988134270094</v>
      </c>
      <c r="D113" s="126"/>
      <c r="E113" s="126"/>
      <c r="F113" s="124"/>
      <c r="G113" s="126"/>
      <c r="H113" s="124">
        <f>((SUM(H106:H109)+SUM(H106:H109)/6)/12)*6</f>
        <v>1334.6994067135047</v>
      </c>
      <c r="I113" s="124"/>
      <c r="J113" s="124"/>
      <c r="K113" s="124" t="s">
        <v>238</v>
      </c>
      <c r="L113" s="126"/>
      <c r="M113" s="126"/>
      <c r="N113" s="124">
        <f>((SUM(N106:N109)+SUM(N106:N109)/6)/12)*6</f>
        <v>1334.6994067135047</v>
      </c>
      <c r="O113" s="126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85"/>
      <c r="AK113" s="252"/>
      <c r="AL113" s="186"/>
    </row>
    <row r="114" spans="2:38">
      <c r="B114" s="133" t="s">
        <v>319</v>
      </c>
      <c r="C114" s="121">
        <f t="shared" si="54"/>
        <v>768</v>
      </c>
      <c r="D114" s="147">
        <v>64</v>
      </c>
      <c r="E114" s="147">
        <v>64</v>
      </c>
      <c r="F114" s="147">
        <v>64</v>
      </c>
      <c r="G114" s="147">
        <v>64</v>
      </c>
      <c r="H114" s="147">
        <v>64</v>
      </c>
      <c r="I114" s="147">
        <v>64</v>
      </c>
      <c r="J114" s="147">
        <v>64</v>
      </c>
      <c r="K114" s="147">
        <v>64</v>
      </c>
      <c r="L114" s="147">
        <v>64</v>
      </c>
      <c r="M114" s="147">
        <v>64</v>
      </c>
      <c r="N114" s="147">
        <v>64</v>
      </c>
      <c r="O114" s="147">
        <v>64</v>
      </c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85"/>
      <c r="AK114" s="252"/>
      <c r="AL114" s="186"/>
    </row>
    <row r="115" spans="2:38">
      <c r="B115" s="146" t="s">
        <v>313</v>
      </c>
      <c r="C115" s="121">
        <f t="shared" si="54"/>
        <v>325</v>
      </c>
      <c r="D115" s="147"/>
      <c r="E115" s="147">
        <v>325</v>
      </c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85"/>
      <c r="AK115" s="252"/>
      <c r="AL115" s="186"/>
    </row>
    <row r="116" spans="2:38" s="194" customFormat="1">
      <c r="B116" s="203" t="s">
        <v>358</v>
      </c>
      <c r="C116" s="193">
        <f>SUM(C117:C123)</f>
        <v>11765</v>
      </c>
      <c r="D116" s="193">
        <f t="shared" ref="D116:O116" si="65">SUM(D117:D123)</f>
        <v>900</v>
      </c>
      <c r="E116" s="193">
        <f t="shared" si="65"/>
        <v>900</v>
      </c>
      <c r="F116" s="193">
        <f t="shared" si="65"/>
        <v>1665</v>
      </c>
      <c r="G116" s="193">
        <f t="shared" si="65"/>
        <v>900</v>
      </c>
      <c r="H116" s="193">
        <f t="shared" si="65"/>
        <v>900</v>
      </c>
      <c r="I116" s="193">
        <f t="shared" si="65"/>
        <v>900</v>
      </c>
      <c r="J116" s="193">
        <f t="shared" si="65"/>
        <v>900</v>
      </c>
      <c r="K116" s="193">
        <f t="shared" si="65"/>
        <v>900</v>
      </c>
      <c r="L116" s="193">
        <f t="shared" si="65"/>
        <v>900</v>
      </c>
      <c r="M116" s="193">
        <f t="shared" si="65"/>
        <v>1100</v>
      </c>
      <c r="N116" s="193">
        <f t="shared" si="65"/>
        <v>900</v>
      </c>
      <c r="O116" s="193">
        <f t="shared" si="65"/>
        <v>900</v>
      </c>
      <c r="P116" s="277"/>
      <c r="Q116" s="277"/>
      <c r="R116" s="277"/>
    </row>
    <row r="117" spans="2:38">
      <c r="B117" s="146" t="s">
        <v>357</v>
      </c>
      <c r="C117" s="121">
        <f>SUM(D117:O117)</f>
        <v>965</v>
      </c>
      <c r="D117" s="125"/>
      <c r="E117" s="125"/>
      <c r="F117" s="124">
        <v>765</v>
      </c>
      <c r="G117" s="125"/>
      <c r="H117" s="131"/>
      <c r="I117" s="131"/>
      <c r="J117" s="131"/>
      <c r="K117" s="125"/>
      <c r="L117" s="131"/>
      <c r="M117" s="141">
        <v>200</v>
      </c>
      <c r="N117" s="125"/>
      <c r="O117" s="125"/>
    </row>
    <row r="118" spans="2:38">
      <c r="B118" s="151" t="s">
        <v>334</v>
      </c>
      <c r="C118" s="121">
        <f t="shared" si="54"/>
        <v>2400</v>
      </c>
      <c r="D118" s="141">
        <v>200</v>
      </c>
      <c r="E118" s="141">
        <v>200</v>
      </c>
      <c r="F118" s="141">
        <v>200</v>
      </c>
      <c r="G118" s="141">
        <v>200</v>
      </c>
      <c r="H118" s="141">
        <v>200</v>
      </c>
      <c r="I118" s="141">
        <v>200</v>
      </c>
      <c r="J118" s="141">
        <v>200</v>
      </c>
      <c r="K118" s="141">
        <v>200</v>
      </c>
      <c r="L118" s="141">
        <v>200</v>
      </c>
      <c r="M118" s="141">
        <v>200</v>
      </c>
      <c r="N118" s="141">
        <v>200</v>
      </c>
      <c r="O118" s="141">
        <v>200</v>
      </c>
    </row>
    <row r="119" spans="2:38">
      <c r="B119" s="149" t="s">
        <v>335</v>
      </c>
      <c r="C119" s="121">
        <f t="shared" si="54"/>
        <v>3600</v>
      </c>
      <c r="D119" s="141">
        <v>300</v>
      </c>
      <c r="E119" s="141">
        <v>300</v>
      </c>
      <c r="F119" s="141">
        <v>300</v>
      </c>
      <c r="G119" s="141">
        <v>300</v>
      </c>
      <c r="H119" s="141">
        <v>300</v>
      </c>
      <c r="I119" s="141">
        <v>300</v>
      </c>
      <c r="J119" s="141">
        <v>300</v>
      </c>
      <c r="K119" s="141">
        <v>300</v>
      </c>
      <c r="L119" s="141">
        <v>300</v>
      </c>
      <c r="M119" s="141">
        <v>300</v>
      </c>
      <c r="N119" s="141">
        <v>300</v>
      </c>
      <c r="O119" s="141">
        <v>300</v>
      </c>
    </row>
    <row r="120" spans="2:38">
      <c r="B120" s="149" t="s">
        <v>336</v>
      </c>
      <c r="C120" s="121">
        <f t="shared" si="54"/>
        <v>1200</v>
      </c>
      <c r="D120" s="141">
        <v>100</v>
      </c>
      <c r="E120" s="141">
        <v>100</v>
      </c>
      <c r="F120" s="141">
        <v>100</v>
      </c>
      <c r="G120" s="141">
        <v>100</v>
      </c>
      <c r="H120" s="141">
        <v>100</v>
      </c>
      <c r="I120" s="141">
        <v>100</v>
      </c>
      <c r="J120" s="141">
        <v>100</v>
      </c>
      <c r="K120" s="141">
        <v>100</v>
      </c>
      <c r="L120" s="141">
        <v>100</v>
      </c>
      <c r="M120" s="141">
        <v>100</v>
      </c>
      <c r="N120" s="141">
        <v>100</v>
      </c>
      <c r="O120" s="141">
        <v>100</v>
      </c>
    </row>
    <row r="121" spans="2:38">
      <c r="B121" s="149" t="s">
        <v>337</v>
      </c>
      <c r="C121" s="121">
        <f t="shared" si="54"/>
        <v>1800</v>
      </c>
      <c r="D121" s="141">
        <v>150</v>
      </c>
      <c r="E121" s="141">
        <v>150</v>
      </c>
      <c r="F121" s="141">
        <v>150</v>
      </c>
      <c r="G121" s="141">
        <v>150</v>
      </c>
      <c r="H121" s="141">
        <v>150</v>
      </c>
      <c r="I121" s="141">
        <v>150</v>
      </c>
      <c r="J121" s="141">
        <v>150</v>
      </c>
      <c r="K121" s="141">
        <v>150</v>
      </c>
      <c r="L121" s="141">
        <v>150</v>
      </c>
      <c r="M121" s="141">
        <v>150</v>
      </c>
      <c r="N121" s="141">
        <v>150</v>
      </c>
      <c r="O121" s="141">
        <v>150</v>
      </c>
    </row>
    <row r="122" spans="2:38">
      <c r="B122" s="149" t="s">
        <v>289</v>
      </c>
      <c r="C122" s="121">
        <f t="shared" si="54"/>
        <v>1200</v>
      </c>
      <c r="D122" s="141">
        <v>100</v>
      </c>
      <c r="E122" s="141">
        <v>100</v>
      </c>
      <c r="F122" s="141">
        <v>100</v>
      </c>
      <c r="G122" s="141">
        <v>100</v>
      </c>
      <c r="H122" s="141">
        <v>100</v>
      </c>
      <c r="I122" s="141">
        <v>100</v>
      </c>
      <c r="J122" s="141">
        <v>100</v>
      </c>
      <c r="K122" s="141">
        <v>100</v>
      </c>
      <c r="L122" s="141">
        <v>100</v>
      </c>
      <c r="M122" s="141">
        <v>100</v>
      </c>
      <c r="N122" s="141">
        <v>100</v>
      </c>
      <c r="O122" s="141">
        <v>100</v>
      </c>
    </row>
    <row r="123" spans="2:38">
      <c r="B123" s="149" t="s">
        <v>338</v>
      </c>
      <c r="C123" s="121">
        <f t="shared" si="54"/>
        <v>600</v>
      </c>
      <c r="D123" s="141">
        <v>50</v>
      </c>
      <c r="E123" s="141">
        <v>50</v>
      </c>
      <c r="F123" s="141">
        <v>50</v>
      </c>
      <c r="G123" s="141">
        <v>50</v>
      </c>
      <c r="H123" s="141">
        <v>50</v>
      </c>
      <c r="I123" s="141">
        <v>50</v>
      </c>
      <c r="J123" s="141">
        <v>50</v>
      </c>
      <c r="K123" s="141">
        <v>50</v>
      </c>
      <c r="L123" s="141">
        <v>50</v>
      </c>
      <c r="M123" s="141">
        <v>50</v>
      </c>
      <c r="N123" s="141">
        <v>50</v>
      </c>
      <c r="O123" s="141">
        <v>50</v>
      </c>
    </row>
    <row r="124" spans="2:38">
      <c r="B124" s="144" t="s">
        <v>326</v>
      </c>
      <c r="C124" s="120">
        <f>+C105+C110+C116</f>
        <v>50340.172767391545</v>
      </c>
      <c r="D124" s="120">
        <f t="shared" ref="D124:O124" si="66">+D105+D110+D116</f>
        <v>3457.9811771160917</v>
      </c>
      <c r="E124" s="120">
        <f t="shared" si="66"/>
        <v>3782.9811771160921</v>
      </c>
      <c r="F124" s="120">
        <f t="shared" si="66"/>
        <v>4222.9811771160912</v>
      </c>
      <c r="G124" s="120">
        <f t="shared" si="66"/>
        <v>3457.9811771160917</v>
      </c>
      <c r="H124" s="120">
        <f t="shared" si="66"/>
        <v>4792.6805838295968</v>
      </c>
      <c r="I124" s="120">
        <f t="shared" si="66"/>
        <v>3457.9811771160917</v>
      </c>
      <c r="J124" s="120">
        <f t="shared" si="66"/>
        <v>5900.4810914018053</v>
      </c>
      <c r="K124" s="120">
        <f t="shared" si="66"/>
        <v>3457.9811771160917</v>
      </c>
      <c r="L124" s="120">
        <f t="shared" si="66"/>
        <v>3457.9811771160917</v>
      </c>
      <c r="M124" s="120">
        <f t="shared" si="66"/>
        <v>3657.9811771160917</v>
      </c>
      <c r="N124" s="120">
        <f t="shared" si="66"/>
        <v>4792.6805838295968</v>
      </c>
      <c r="O124" s="120">
        <f t="shared" si="66"/>
        <v>5900.4810914018053</v>
      </c>
    </row>
    <row r="125" spans="2:38">
      <c r="B125" s="167" t="s">
        <v>327</v>
      </c>
      <c r="C125" s="168">
        <f t="shared" ref="C125:O125" si="67">C56+C86+C103+C124</f>
        <v>389563.9606474574</v>
      </c>
      <c r="D125" s="168">
        <f t="shared" si="67"/>
        <v>20479.080706423552</v>
      </c>
      <c r="E125" s="168">
        <f t="shared" si="67"/>
        <v>29754.080706423552</v>
      </c>
      <c r="F125" s="168">
        <f t="shared" si="67"/>
        <v>22344.080706423549</v>
      </c>
      <c r="G125" s="168">
        <f t="shared" si="67"/>
        <v>20129.080706423552</v>
      </c>
      <c r="H125" s="168">
        <f t="shared" si="67"/>
        <v>25098.160595182337</v>
      </c>
      <c r="I125" s="168">
        <f t="shared" si="67"/>
        <v>110129.08070642356</v>
      </c>
      <c r="J125" s="168">
        <f t="shared" si="67"/>
        <v>28122.496902852123</v>
      </c>
      <c r="K125" s="168">
        <f t="shared" si="67"/>
        <v>19029.080706423552</v>
      </c>
      <c r="L125" s="168">
        <f t="shared" si="67"/>
        <v>42029.080706423549</v>
      </c>
      <c r="M125" s="168">
        <f t="shared" si="67"/>
        <v>19229.080706423552</v>
      </c>
      <c r="N125" s="168">
        <f t="shared" si="67"/>
        <v>25098.160595182337</v>
      </c>
      <c r="O125" s="168">
        <f t="shared" si="67"/>
        <v>28122.496902852123</v>
      </c>
    </row>
    <row r="127" spans="2:38">
      <c r="B127" s="403" t="s">
        <v>332</v>
      </c>
      <c r="C127" s="405" t="s">
        <v>517</v>
      </c>
      <c r="D127" s="411" t="s">
        <v>239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</row>
    <row r="128" spans="2:38">
      <c r="B128" s="404" t="s">
        <v>240</v>
      </c>
      <c r="C128" s="406">
        <v>2015</v>
      </c>
      <c r="D128" s="160" t="s">
        <v>241</v>
      </c>
      <c r="E128" s="161" t="s">
        <v>242</v>
      </c>
      <c r="F128" s="161" t="s">
        <v>243</v>
      </c>
      <c r="G128" s="161" t="s">
        <v>244</v>
      </c>
      <c r="H128" s="161" t="s">
        <v>245</v>
      </c>
      <c r="I128" s="161" t="s">
        <v>246</v>
      </c>
      <c r="J128" s="161" t="s">
        <v>247</v>
      </c>
      <c r="K128" s="161" t="s">
        <v>248</v>
      </c>
      <c r="L128" s="161" t="s">
        <v>249</v>
      </c>
      <c r="M128" s="161" t="s">
        <v>250</v>
      </c>
      <c r="N128" s="161" t="s">
        <v>251</v>
      </c>
      <c r="O128" s="161" t="s">
        <v>252</v>
      </c>
    </row>
    <row r="129" spans="1:39">
      <c r="B129" s="144" t="s">
        <v>365</v>
      </c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</row>
    <row r="130" spans="1:39">
      <c r="B130" s="145" t="s">
        <v>333</v>
      </c>
      <c r="C130" s="121">
        <f>SUM(D130:O130)</f>
        <v>23000</v>
      </c>
      <c r="D130" s="124" t="s">
        <v>238</v>
      </c>
      <c r="E130" s="124"/>
      <c r="F130" s="124"/>
      <c r="G130" s="124" t="s">
        <v>238</v>
      </c>
      <c r="H130" s="124" t="s">
        <v>238</v>
      </c>
      <c r="I130" s="124" t="s">
        <v>238</v>
      </c>
      <c r="J130" s="124" t="s">
        <v>238</v>
      </c>
      <c r="K130" s="124" t="s">
        <v>238</v>
      </c>
      <c r="L130" s="124">
        <v>23000</v>
      </c>
      <c r="M130" s="124" t="s">
        <v>238</v>
      </c>
      <c r="N130" s="124" t="s">
        <v>238</v>
      </c>
      <c r="O130" s="124" t="s">
        <v>238</v>
      </c>
    </row>
    <row r="131" spans="1:39">
      <c r="B131" s="218" t="s">
        <v>518</v>
      </c>
      <c r="C131" s="172">
        <f>SUM(D131:O131)</f>
        <v>90000</v>
      </c>
      <c r="D131" s="217">
        <v>0</v>
      </c>
      <c r="E131" s="217">
        <v>0</v>
      </c>
      <c r="F131" s="217">
        <v>0</v>
      </c>
      <c r="G131" s="217">
        <v>0</v>
      </c>
      <c r="H131" s="217">
        <v>0</v>
      </c>
      <c r="I131" s="217">
        <v>90000</v>
      </c>
      <c r="J131" s="217">
        <v>0</v>
      </c>
      <c r="K131" s="217">
        <v>0</v>
      </c>
      <c r="L131" s="217">
        <v>0</v>
      </c>
      <c r="M131" s="217">
        <v>0</v>
      </c>
      <c r="N131" s="217">
        <v>0</v>
      </c>
      <c r="O131" s="246">
        <v>0</v>
      </c>
      <c r="P131" s="398"/>
      <c r="Q131" s="398"/>
      <c r="R131" s="398"/>
      <c r="S131" s="398"/>
      <c r="T131" s="398"/>
      <c r="U131" s="398"/>
      <c r="V131" s="398"/>
      <c r="W131" s="398"/>
      <c r="X131" s="398"/>
      <c r="Y131" s="398"/>
      <c r="Z131" s="398"/>
      <c r="AA131" s="398"/>
      <c r="AB131" s="398"/>
      <c r="AC131" s="398"/>
      <c r="AD131" s="398"/>
      <c r="AE131" s="398"/>
      <c r="AF131" s="398"/>
      <c r="AG131" s="398"/>
      <c r="AH131" s="398"/>
      <c r="AI131" s="398"/>
      <c r="AJ131" s="398"/>
      <c r="AK131" s="180"/>
    </row>
    <row r="132" spans="1:39">
      <c r="B132" s="144" t="s">
        <v>300</v>
      </c>
      <c r="C132" s="120">
        <f t="shared" ref="C132:O132" si="68">SUM(C130:C131)</f>
        <v>113000</v>
      </c>
      <c r="D132" s="120">
        <f t="shared" si="68"/>
        <v>0</v>
      </c>
      <c r="E132" s="120">
        <f t="shared" si="68"/>
        <v>0</v>
      </c>
      <c r="F132" s="120">
        <f t="shared" si="68"/>
        <v>0</v>
      </c>
      <c r="G132" s="120">
        <f t="shared" si="68"/>
        <v>0</v>
      </c>
      <c r="H132" s="120">
        <f t="shared" si="68"/>
        <v>0</v>
      </c>
      <c r="I132" s="120">
        <f t="shared" si="68"/>
        <v>90000</v>
      </c>
      <c r="J132" s="120">
        <f t="shared" si="68"/>
        <v>0</v>
      </c>
      <c r="K132" s="120">
        <f t="shared" si="68"/>
        <v>0</v>
      </c>
      <c r="L132" s="120">
        <f t="shared" si="68"/>
        <v>23000</v>
      </c>
      <c r="M132" s="120">
        <f t="shared" si="68"/>
        <v>0</v>
      </c>
      <c r="N132" s="120">
        <f t="shared" si="68"/>
        <v>0</v>
      </c>
      <c r="O132" s="248">
        <f t="shared" si="68"/>
        <v>0</v>
      </c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</row>
    <row r="133" spans="1:39">
      <c r="B133" s="144" t="s">
        <v>301</v>
      </c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219">
        <v>0.5</v>
      </c>
      <c r="Q133" s="219">
        <v>0.5</v>
      </c>
      <c r="R133" s="219">
        <v>0.5</v>
      </c>
      <c r="S133" s="219">
        <v>1.5</v>
      </c>
      <c r="T133" s="219">
        <v>1.5</v>
      </c>
      <c r="U133" s="219">
        <v>2.5</v>
      </c>
      <c r="V133" s="219">
        <v>6.5</v>
      </c>
      <c r="W133" s="219">
        <v>0.5</v>
      </c>
      <c r="X133" s="219">
        <v>0.5</v>
      </c>
      <c r="Y133" s="219">
        <v>0.5</v>
      </c>
      <c r="Z133" s="219">
        <v>0.5</v>
      </c>
      <c r="AA133" s="219">
        <v>0.5</v>
      </c>
      <c r="AB133" s="219">
        <v>0.5</v>
      </c>
      <c r="AC133" s="219">
        <v>0.5</v>
      </c>
      <c r="AD133" s="219">
        <v>0</v>
      </c>
      <c r="AE133" s="219">
        <v>0</v>
      </c>
      <c r="AF133" s="219">
        <v>0</v>
      </c>
      <c r="AG133" s="219">
        <v>0</v>
      </c>
      <c r="AH133" s="219">
        <v>0</v>
      </c>
      <c r="AI133" s="219">
        <v>0</v>
      </c>
      <c r="AJ133" s="219">
        <v>0</v>
      </c>
      <c r="AK133" s="249"/>
    </row>
    <row r="134" spans="1:39" s="143" customFormat="1">
      <c r="B134" s="203" t="s">
        <v>356</v>
      </c>
      <c r="C134" s="199">
        <f>SUM(C135:C141)</f>
        <v>50284.397524255604</v>
      </c>
      <c r="D134" s="199">
        <f t="shared" ref="D134:O134" si="69">SUM(D135:D141)</f>
        <v>4190.366460354634</v>
      </c>
      <c r="E134" s="199">
        <f t="shared" si="69"/>
        <v>4190.366460354634</v>
      </c>
      <c r="F134" s="199">
        <f t="shared" si="69"/>
        <v>4190.366460354634</v>
      </c>
      <c r="G134" s="199">
        <f t="shared" si="69"/>
        <v>4190.366460354634</v>
      </c>
      <c r="H134" s="199">
        <f t="shared" si="69"/>
        <v>4190.366460354634</v>
      </c>
      <c r="I134" s="199">
        <f t="shared" si="69"/>
        <v>4190.366460354634</v>
      </c>
      <c r="J134" s="199">
        <f t="shared" si="69"/>
        <v>4190.366460354634</v>
      </c>
      <c r="K134" s="199">
        <f t="shared" si="69"/>
        <v>4190.366460354634</v>
      </c>
      <c r="L134" s="199">
        <f t="shared" si="69"/>
        <v>4190.366460354634</v>
      </c>
      <c r="M134" s="199">
        <f t="shared" si="69"/>
        <v>4190.366460354634</v>
      </c>
      <c r="N134" s="199">
        <f t="shared" si="69"/>
        <v>4190.366460354634</v>
      </c>
      <c r="O134" s="199">
        <f t="shared" si="69"/>
        <v>4190.366460354634</v>
      </c>
      <c r="P134" s="200">
        <f>$C135*P135+$C136*P136+$C137*P137+$C138*P138+$C139*P139+$C140*P140+$C141*P141</f>
        <v>185.68200000000007</v>
      </c>
      <c r="Q134" s="200">
        <f t="shared" ref="Q134:R134" si="70">$C135*Q135+$C136*Q136+$C137*Q137+$C138*Q138+$C139*Q139+$C140*Q140+$C141*Q141</f>
        <v>185.68200000000007</v>
      </c>
      <c r="R134" s="200">
        <f t="shared" si="70"/>
        <v>185.68200000000007</v>
      </c>
      <c r="S134" s="222">
        <f>$C135*S135+$C136*S136+$C137*S137+$C138*S138+$C139*S139+$C140*S140+$C141*S141</f>
        <v>4682.1691194379391</v>
      </c>
      <c r="T134" s="222">
        <f t="shared" ref="T134:AJ134" si="71">$C135*T135+$C136*T136+$C137*T137+$C138*T138+$C139*T139+$C140*T140+$C141*T141</f>
        <v>2755.1032111073941</v>
      </c>
      <c r="U134" s="222">
        <f t="shared" si="71"/>
        <v>1791.5702569421212</v>
      </c>
      <c r="V134" s="222">
        <f t="shared" si="71"/>
        <v>38641.688936768158</v>
      </c>
      <c r="W134" s="222">
        <f t="shared" si="71"/>
        <v>185.68200000000007</v>
      </c>
      <c r="X134" s="222">
        <f t="shared" ref="X134:Y134" si="72">$C135*X135+$C136*X136+$C137*X137+$C138*X138+$C139*X139+$C140*X140+$C141*X141</f>
        <v>185.68200000000007</v>
      </c>
      <c r="Y134" s="222">
        <f t="shared" si="72"/>
        <v>185.68200000000007</v>
      </c>
      <c r="Z134" s="222">
        <f t="shared" si="71"/>
        <v>185.68200000000007</v>
      </c>
      <c r="AA134" s="222">
        <f t="shared" si="71"/>
        <v>185.68200000000007</v>
      </c>
      <c r="AB134" s="222">
        <f t="shared" si="71"/>
        <v>185.68200000000007</v>
      </c>
      <c r="AC134" s="222">
        <f t="shared" si="71"/>
        <v>742.72800000000029</v>
      </c>
      <c r="AD134" s="222">
        <f t="shared" si="71"/>
        <v>0</v>
      </c>
      <c r="AE134" s="222">
        <f t="shared" ref="AE134:AF134" si="73">$C135*AE135+$C136*AE136+$C137*AE137+$C138*AE138+$C139*AE139+$C140*AE140+$C141*AE141</f>
        <v>0</v>
      </c>
      <c r="AF134" s="222">
        <f t="shared" si="73"/>
        <v>0</v>
      </c>
      <c r="AG134" s="222">
        <f t="shared" si="71"/>
        <v>0</v>
      </c>
      <c r="AH134" s="222">
        <f t="shared" si="71"/>
        <v>0</v>
      </c>
      <c r="AI134" s="222">
        <f t="shared" si="71"/>
        <v>0</v>
      </c>
      <c r="AJ134" s="222">
        <f t="shared" si="71"/>
        <v>0</v>
      </c>
      <c r="AK134" s="189">
        <f>SUM(P134:AJ134)</f>
        <v>50284.397524255619</v>
      </c>
    </row>
    <row r="135" spans="1:39">
      <c r="B135" s="146" t="s">
        <v>500</v>
      </c>
      <c r="C135" s="121">
        <f t="shared" ref="C135:C159" si="74">SUM(D135:O135)</f>
        <v>12847.10605553697</v>
      </c>
      <c r="D135" s="124">
        <v>1070.5921712947475</v>
      </c>
      <c r="E135" s="124">
        <v>1070.5921712947475</v>
      </c>
      <c r="F135" s="124">
        <v>1070.5921712947475</v>
      </c>
      <c r="G135" s="124">
        <v>1070.5921712947475</v>
      </c>
      <c r="H135" s="124">
        <v>1070.5921712947475</v>
      </c>
      <c r="I135" s="124">
        <v>1070.5921712947475</v>
      </c>
      <c r="J135" s="124">
        <v>1070.5921712947475</v>
      </c>
      <c r="K135" s="124">
        <v>1070.5921712947475</v>
      </c>
      <c r="L135" s="124">
        <v>1070.5921712947475</v>
      </c>
      <c r="M135" s="124">
        <v>1070.5921712947475</v>
      </c>
      <c r="N135" s="124">
        <v>1070.5921712947475</v>
      </c>
      <c r="O135" s="124">
        <v>1070.5921712947475</v>
      </c>
      <c r="P135" s="152">
        <v>0</v>
      </c>
      <c r="Q135" s="152">
        <v>0</v>
      </c>
      <c r="R135" s="152">
        <v>0</v>
      </c>
      <c r="S135" s="152">
        <v>0.35</v>
      </c>
      <c r="T135" s="152">
        <v>0.2</v>
      </c>
      <c r="U135" s="152">
        <v>0</v>
      </c>
      <c r="V135" s="152">
        <v>0.45</v>
      </c>
      <c r="W135" s="152">
        <v>0</v>
      </c>
      <c r="X135" s="152">
        <v>0</v>
      </c>
      <c r="Y135" s="152">
        <v>0</v>
      </c>
      <c r="Z135" s="152">
        <v>0</v>
      </c>
      <c r="AA135" s="152">
        <v>0</v>
      </c>
      <c r="AB135" s="152">
        <v>0</v>
      </c>
      <c r="AC135" s="152">
        <v>0</v>
      </c>
      <c r="AD135" s="152">
        <v>0</v>
      </c>
      <c r="AE135" s="152">
        <v>0</v>
      </c>
      <c r="AF135" s="152">
        <v>0</v>
      </c>
      <c r="AG135" s="152">
        <v>0</v>
      </c>
      <c r="AH135" s="152">
        <v>0</v>
      </c>
      <c r="AI135" s="152">
        <v>0</v>
      </c>
      <c r="AJ135" s="152">
        <v>0</v>
      </c>
      <c r="AK135" s="190">
        <f>SUM(P135:AJ135)</f>
        <v>1</v>
      </c>
    </row>
    <row r="136" spans="1:39">
      <c r="B136" s="148" t="s">
        <v>340</v>
      </c>
      <c r="C136" s="121">
        <f t="shared" si="74"/>
        <v>6022.0800000000008</v>
      </c>
      <c r="D136" s="124">
        <v>501.84</v>
      </c>
      <c r="E136" s="124">
        <v>501.84</v>
      </c>
      <c r="F136" s="124">
        <v>501.84</v>
      </c>
      <c r="G136" s="124">
        <v>501.84</v>
      </c>
      <c r="H136" s="124">
        <v>501.84</v>
      </c>
      <c r="I136" s="124">
        <v>501.84</v>
      </c>
      <c r="J136" s="124">
        <v>501.84</v>
      </c>
      <c r="K136" s="124">
        <v>501.84</v>
      </c>
      <c r="L136" s="124">
        <v>501.84</v>
      </c>
      <c r="M136" s="124">
        <v>501.84</v>
      </c>
      <c r="N136" s="124">
        <v>501.84</v>
      </c>
      <c r="O136" s="124">
        <v>501.84</v>
      </c>
      <c r="P136" s="152">
        <v>0</v>
      </c>
      <c r="Q136" s="152">
        <v>0</v>
      </c>
      <c r="R136" s="152">
        <v>0</v>
      </c>
      <c r="S136" s="152">
        <v>0</v>
      </c>
      <c r="T136" s="152">
        <v>0</v>
      </c>
      <c r="U136" s="152">
        <v>0</v>
      </c>
      <c r="V136" s="152">
        <v>1</v>
      </c>
      <c r="W136" s="152">
        <v>0</v>
      </c>
      <c r="X136" s="152">
        <v>0</v>
      </c>
      <c r="Y136" s="152">
        <v>0</v>
      </c>
      <c r="Z136" s="152">
        <v>0</v>
      </c>
      <c r="AA136" s="152">
        <v>0</v>
      </c>
      <c r="AB136" s="152">
        <v>0</v>
      </c>
      <c r="AC136" s="152">
        <v>0</v>
      </c>
      <c r="AD136" s="152">
        <v>0</v>
      </c>
      <c r="AE136" s="152">
        <v>0</v>
      </c>
      <c r="AF136" s="152">
        <v>0</v>
      </c>
      <c r="AG136" s="152">
        <v>0</v>
      </c>
      <c r="AH136" s="152">
        <v>0</v>
      </c>
      <c r="AI136" s="152">
        <v>0</v>
      </c>
      <c r="AJ136" s="152">
        <v>0</v>
      </c>
      <c r="AK136" s="190">
        <f t="shared" ref="AK136:AK141" si="75">SUM(P136:AJ136)</f>
        <v>1</v>
      </c>
    </row>
    <row r="137" spans="1:39">
      <c r="B137" s="146" t="s">
        <v>341</v>
      </c>
      <c r="C137" s="121">
        <f t="shared" si="74"/>
        <v>10036.801605888257</v>
      </c>
      <c r="D137" s="124">
        <v>836.4001338240214</v>
      </c>
      <c r="E137" s="124">
        <v>836.4001338240214</v>
      </c>
      <c r="F137" s="124">
        <v>836.4001338240214</v>
      </c>
      <c r="G137" s="124">
        <v>836.4001338240214</v>
      </c>
      <c r="H137" s="124">
        <v>836.4001338240214</v>
      </c>
      <c r="I137" s="124">
        <v>836.4001338240214</v>
      </c>
      <c r="J137" s="124">
        <v>836.4001338240214</v>
      </c>
      <c r="K137" s="124">
        <v>836.4001338240214</v>
      </c>
      <c r="L137" s="124">
        <v>836.4001338240214</v>
      </c>
      <c r="M137" s="124">
        <v>836.4001338240214</v>
      </c>
      <c r="N137" s="124">
        <v>836.4001338240214</v>
      </c>
      <c r="O137" s="124">
        <v>836.4001338240214</v>
      </c>
      <c r="P137" s="152">
        <v>0</v>
      </c>
      <c r="Q137" s="152">
        <v>0</v>
      </c>
      <c r="R137" s="152">
        <v>0</v>
      </c>
      <c r="S137" s="152">
        <v>0</v>
      </c>
      <c r="T137" s="152">
        <v>0</v>
      </c>
      <c r="U137" s="152">
        <v>0.1</v>
      </c>
      <c r="V137" s="152">
        <v>0.9</v>
      </c>
      <c r="W137" s="152">
        <v>0</v>
      </c>
      <c r="X137" s="152">
        <v>0</v>
      </c>
      <c r="Y137" s="152">
        <v>0</v>
      </c>
      <c r="Z137" s="152">
        <v>0</v>
      </c>
      <c r="AA137" s="152">
        <v>0</v>
      </c>
      <c r="AB137" s="152">
        <v>0</v>
      </c>
      <c r="AC137" s="152">
        <v>0</v>
      </c>
      <c r="AD137" s="152">
        <v>0</v>
      </c>
      <c r="AE137" s="152">
        <v>0</v>
      </c>
      <c r="AF137" s="152">
        <v>0</v>
      </c>
      <c r="AG137" s="152">
        <v>0</v>
      </c>
      <c r="AH137" s="152">
        <v>0</v>
      </c>
      <c r="AI137" s="152">
        <v>0</v>
      </c>
      <c r="AJ137" s="152">
        <v>0</v>
      </c>
      <c r="AK137" s="190">
        <f t="shared" si="75"/>
        <v>1</v>
      </c>
    </row>
    <row r="138" spans="1:39">
      <c r="B138" s="148" t="s">
        <v>342</v>
      </c>
      <c r="C138" s="121">
        <f t="shared" si="74"/>
        <v>6022.0809635329533</v>
      </c>
      <c r="D138" s="124">
        <v>501.84008029441287</v>
      </c>
      <c r="E138" s="124">
        <v>501.84008029441287</v>
      </c>
      <c r="F138" s="124">
        <v>501.84008029441287</v>
      </c>
      <c r="G138" s="124">
        <v>501.84008029441287</v>
      </c>
      <c r="H138" s="124">
        <v>501.84008029441287</v>
      </c>
      <c r="I138" s="124">
        <v>501.84008029441287</v>
      </c>
      <c r="J138" s="124">
        <v>501.84008029441287</v>
      </c>
      <c r="K138" s="124">
        <v>501.84008029441287</v>
      </c>
      <c r="L138" s="124">
        <v>501.84008029441287</v>
      </c>
      <c r="M138" s="124">
        <v>501.84008029441287</v>
      </c>
      <c r="N138" s="124">
        <v>501.84008029441287</v>
      </c>
      <c r="O138" s="124">
        <v>501.84008029441287</v>
      </c>
      <c r="P138" s="152">
        <v>0</v>
      </c>
      <c r="Q138" s="152">
        <v>0</v>
      </c>
      <c r="R138" s="152">
        <v>0</v>
      </c>
      <c r="S138" s="152">
        <v>0</v>
      </c>
      <c r="T138" s="152">
        <v>0</v>
      </c>
      <c r="U138" s="152">
        <v>0.1</v>
      </c>
      <c r="V138" s="152">
        <v>0.9</v>
      </c>
      <c r="W138" s="152">
        <v>0</v>
      </c>
      <c r="X138" s="152">
        <v>0</v>
      </c>
      <c r="Y138" s="152">
        <v>0</v>
      </c>
      <c r="Z138" s="152">
        <v>0</v>
      </c>
      <c r="AA138" s="152">
        <v>0</v>
      </c>
      <c r="AB138" s="152">
        <v>0</v>
      </c>
      <c r="AC138" s="152">
        <v>0</v>
      </c>
      <c r="AD138" s="152">
        <v>0</v>
      </c>
      <c r="AE138" s="152">
        <v>0</v>
      </c>
      <c r="AF138" s="152">
        <v>0</v>
      </c>
      <c r="AG138" s="152">
        <v>0</v>
      </c>
      <c r="AH138" s="152">
        <v>0</v>
      </c>
      <c r="AI138" s="152">
        <v>0</v>
      </c>
      <c r="AJ138" s="152">
        <v>0</v>
      </c>
      <c r="AK138" s="190">
        <f t="shared" si="75"/>
        <v>1</v>
      </c>
    </row>
    <row r="139" spans="1:39">
      <c r="B139" s="148" t="s">
        <v>343</v>
      </c>
      <c r="C139" s="121">
        <f t="shared" si="74"/>
        <v>6022.0800000000008</v>
      </c>
      <c r="D139" s="124">
        <v>501.84</v>
      </c>
      <c r="E139" s="124">
        <v>501.84</v>
      </c>
      <c r="F139" s="124">
        <v>501.84</v>
      </c>
      <c r="G139" s="124">
        <v>501.84</v>
      </c>
      <c r="H139" s="124">
        <v>501.84</v>
      </c>
      <c r="I139" s="124">
        <v>501.84</v>
      </c>
      <c r="J139" s="124">
        <v>501.84</v>
      </c>
      <c r="K139" s="124">
        <v>501.84</v>
      </c>
      <c r="L139" s="124">
        <v>501.84</v>
      </c>
      <c r="M139" s="124">
        <v>501.84</v>
      </c>
      <c r="N139" s="124">
        <v>501.84</v>
      </c>
      <c r="O139" s="124">
        <v>501.84</v>
      </c>
      <c r="P139" s="152">
        <v>0</v>
      </c>
      <c r="Q139" s="152">
        <v>0</v>
      </c>
      <c r="R139" s="152">
        <v>0</v>
      </c>
      <c r="S139" s="152">
        <v>0</v>
      </c>
      <c r="T139" s="152">
        <v>0</v>
      </c>
      <c r="U139" s="152">
        <v>0</v>
      </c>
      <c r="V139" s="152">
        <v>1</v>
      </c>
      <c r="W139" s="152">
        <v>0</v>
      </c>
      <c r="X139" s="152">
        <v>0</v>
      </c>
      <c r="Y139" s="152">
        <v>0</v>
      </c>
      <c r="Z139" s="152">
        <v>0</v>
      </c>
      <c r="AA139" s="152">
        <v>0</v>
      </c>
      <c r="AB139" s="152">
        <v>0</v>
      </c>
      <c r="AC139" s="152">
        <v>0</v>
      </c>
      <c r="AD139" s="152">
        <v>0</v>
      </c>
      <c r="AE139" s="152">
        <v>0</v>
      </c>
      <c r="AF139" s="152">
        <v>0</v>
      </c>
      <c r="AG139" s="152">
        <v>0</v>
      </c>
      <c r="AH139" s="152">
        <v>0</v>
      </c>
      <c r="AI139" s="152">
        <v>0</v>
      </c>
      <c r="AJ139" s="152">
        <v>0</v>
      </c>
      <c r="AK139" s="190">
        <f t="shared" si="75"/>
        <v>1</v>
      </c>
    </row>
    <row r="140" spans="1:39">
      <c r="B140" s="146" t="s">
        <v>344</v>
      </c>
      <c r="C140" s="121">
        <f t="shared" si="74"/>
        <v>5620.6088992974246</v>
      </c>
      <c r="D140" s="124">
        <v>468.38407494145201</v>
      </c>
      <c r="E140" s="124">
        <v>468.38407494145201</v>
      </c>
      <c r="F140" s="124">
        <v>468.38407494145201</v>
      </c>
      <c r="G140" s="124">
        <v>468.38407494145201</v>
      </c>
      <c r="H140" s="124">
        <v>468.38407494145201</v>
      </c>
      <c r="I140" s="124">
        <v>468.38407494145201</v>
      </c>
      <c r="J140" s="124">
        <v>468.38407494145201</v>
      </c>
      <c r="K140" s="124">
        <v>468.38407494145201</v>
      </c>
      <c r="L140" s="124">
        <v>468.38407494145201</v>
      </c>
      <c r="M140" s="124">
        <v>468.38407494145201</v>
      </c>
      <c r="N140" s="124">
        <v>468.38407494145201</v>
      </c>
      <c r="O140" s="124">
        <v>468.38407494145201</v>
      </c>
      <c r="P140" s="152">
        <v>0</v>
      </c>
      <c r="Q140" s="152">
        <v>0</v>
      </c>
      <c r="R140" s="152">
        <v>0</v>
      </c>
      <c r="S140" s="152">
        <v>0</v>
      </c>
      <c r="T140" s="152">
        <v>0</v>
      </c>
      <c r="U140" s="152">
        <v>0</v>
      </c>
      <c r="V140" s="152">
        <v>1</v>
      </c>
      <c r="W140" s="152">
        <v>0</v>
      </c>
      <c r="X140" s="152">
        <v>0</v>
      </c>
      <c r="Y140" s="152">
        <v>0</v>
      </c>
      <c r="Z140" s="152">
        <v>0</v>
      </c>
      <c r="AA140" s="152">
        <v>0</v>
      </c>
      <c r="AB140" s="152">
        <v>0</v>
      </c>
      <c r="AC140" s="152">
        <v>0</v>
      </c>
      <c r="AD140" s="152">
        <v>0</v>
      </c>
      <c r="AE140" s="152">
        <v>0</v>
      </c>
      <c r="AF140" s="152">
        <v>0</v>
      </c>
      <c r="AG140" s="152">
        <v>0</v>
      </c>
      <c r="AH140" s="152">
        <v>0</v>
      </c>
      <c r="AI140" s="152">
        <v>0</v>
      </c>
      <c r="AJ140" s="152">
        <v>0</v>
      </c>
      <c r="AK140" s="190">
        <f t="shared" si="75"/>
        <v>1</v>
      </c>
    </row>
    <row r="141" spans="1:39">
      <c r="A141" s="118" t="s">
        <v>238</v>
      </c>
      <c r="B141" s="150" t="s">
        <v>339</v>
      </c>
      <c r="C141" s="121">
        <f t="shared" ref="C141" si="76">SUM(D141:O141)</f>
        <v>3713.6400000000012</v>
      </c>
      <c r="D141" s="126">
        <f>618.94/2</f>
        <v>309.47000000000003</v>
      </c>
      <c r="E141" s="126">
        <f>618.94/2</f>
        <v>309.47000000000003</v>
      </c>
      <c r="F141" s="126">
        <f t="shared" ref="F141:O141" si="77">618.94/2</f>
        <v>309.47000000000003</v>
      </c>
      <c r="G141" s="126">
        <f t="shared" si="77"/>
        <v>309.47000000000003</v>
      </c>
      <c r="H141" s="126">
        <f t="shared" si="77"/>
        <v>309.47000000000003</v>
      </c>
      <c r="I141" s="126">
        <f t="shared" si="77"/>
        <v>309.47000000000003</v>
      </c>
      <c r="J141" s="126">
        <f t="shared" si="77"/>
        <v>309.47000000000003</v>
      </c>
      <c r="K141" s="126">
        <f t="shared" si="77"/>
        <v>309.47000000000003</v>
      </c>
      <c r="L141" s="126">
        <f t="shared" si="77"/>
        <v>309.47000000000003</v>
      </c>
      <c r="M141" s="126">
        <f t="shared" si="77"/>
        <v>309.47000000000003</v>
      </c>
      <c r="N141" s="126">
        <f t="shared" si="77"/>
        <v>309.47000000000003</v>
      </c>
      <c r="O141" s="126">
        <f t="shared" si="77"/>
        <v>309.47000000000003</v>
      </c>
      <c r="P141" s="152">
        <v>0.05</v>
      </c>
      <c r="Q141" s="152">
        <v>0.05</v>
      </c>
      <c r="R141" s="152">
        <v>0.05</v>
      </c>
      <c r="S141" s="152">
        <v>0.05</v>
      </c>
      <c r="T141" s="152">
        <v>0.05</v>
      </c>
      <c r="U141" s="152">
        <v>0.05</v>
      </c>
      <c r="V141" s="152">
        <v>0.2</v>
      </c>
      <c r="W141" s="152">
        <v>0.05</v>
      </c>
      <c r="X141" s="152">
        <v>0.05</v>
      </c>
      <c r="Y141" s="152">
        <v>0.05</v>
      </c>
      <c r="Z141" s="152">
        <v>0.05</v>
      </c>
      <c r="AA141" s="152">
        <v>0.05</v>
      </c>
      <c r="AB141" s="152">
        <v>0.05</v>
      </c>
      <c r="AC141" s="152">
        <v>0.2</v>
      </c>
      <c r="AD141" s="152">
        <v>0</v>
      </c>
      <c r="AE141" s="152">
        <v>0</v>
      </c>
      <c r="AF141" s="152">
        <v>0</v>
      </c>
      <c r="AG141" s="152">
        <v>0</v>
      </c>
      <c r="AH141" s="152">
        <v>0</v>
      </c>
      <c r="AI141" s="152">
        <v>0</v>
      </c>
      <c r="AJ141" s="152">
        <v>0</v>
      </c>
      <c r="AK141" s="190">
        <f t="shared" si="75"/>
        <v>1.0000000000000002</v>
      </c>
    </row>
    <row r="142" spans="1:39" s="194" customFormat="1">
      <c r="B142" s="203" t="s">
        <v>355</v>
      </c>
      <c r="C142" s="193">
        <f>SUM(C143:C147)</f>
        <v>24160.070590453885</v>
      </c>
      <c r="D142" s="193">
        <f t="shared" ref="D142:O142" si="78">SUM(D143:D147)</f>
        <v>807.13298143191707</v>
      </c>
      <c r="E142" s="193">
        <f t="shared" si="78"/>
        <v>2107.132981431917</v>
      </c>
      <c r="F142" s="193">
        <f t="shared" si="78"/>
        <v>807.13298143191707</v>
      </c>
      <c r="G142" s="193">
        <f t="shared" si="78"/>
        <v>807.13298143191707</v>
      </c>
      <c r="H142" s="193">
        <f t="shared" si="78"/>
        <v>3251.513416638787</v>
      </c>
      <c r="I142" s="193">
        <f t="shared" si="78"/>
        <v>807.13298143191707</v>
      </c>
      <c r="J142" s="193">
        <f t="shared" si="78"/>
        <v>4949.9899528604883</v>
      </c>
      <c r="K142" s="193">
        <f t="shared" si="78"/>
        <v>807.13298143191707</v>
      </c>
      <c r="L142" s="193">
        <f t="shared" si="78"/>
        <v>807.13298143191707</v>
      </c>
      <c r="M142" s="193">
        <f t="shared" si="78"/>
        <v>807.13298143191707</v>
      </c>
      <c r="N142" s="193">
        <f t="shared" si="78"/>
        <v>3251.513416638787</v>
      </c>
      <c r="O142" s="193">
        <f t="shared" si="78"/>
        <v>4949.9899528604883</v>
      </c>
      <c r="P142" s="195">
        <f>$C142*P134/$C134</f>
        <v>89.214357698383722</v>
      </c>
      <c r="Q142" s="195">
        <f t="shared" ref="Q142:R142" si="79">$C142*Q134/$C134</f>
        <v>89.214357698383722</v>
      </c>
      <c r="R142" s="195">
        <f t="shared" si="79"/>
        <v>89.214357698383722</v>
      </c>
      <c r="S142" s="195">
        <f t="shared" ref="S142:AJ142" si="80">$C142*S134/$C134</f>
        <v>2249.6349168247993</v>
      </c>
      <c r="T142" s="195">
        <f t="shared" si="80"/>
        <v>1323.7403914849071</v>
      </c>
      <c r="U142" s="195">
        <f t="shared" si="80"/>
        <v>860.79312881496082</v>
      </c>
      <c r="V142" s="195">
        <f t="shared" si="80"/>
        <v>18566.115503250232</v>
      </c>
      <c r="W142" s="195">
        <f t="shared" si="80"/>
        <v>89.214357698383722</v>
      </c>
      <c r="X142" s="195">
        <f t="shared" ref="X142:Y142" si="81">$C142*X134/$C134</f>
        <v>89.214357698383722</v>
      </c>
      <c r="Y142" s="195">
        <f t="shared" si="81"/>
        <v>89.214357698383722</v>
      </c>
      <c r="Z142" s="195">
        <f t="shared" si="80"/>
        <v>89.214357698383722</v>
      </c>
      <c r="AA142" s="195">
        <f t="shared" si="80"/>
        <v>89.214357698383722</v>
      </c>
      <c r="AB142" s="195">
        <f t="shared" si="80"/>
        <v>89.214357698383722</v>
      </c>
      <c r="AC142" s="195">
        <f t="shared" si="80"/>
        <v>356.85743079353489</v>
      </c>
      <c r="AD142" s="195">
        <f t="shared" si="80"/>
        <v>0</v>
      </c>
      <c r="AE142" s="195">
        <f t="shared" ref="AE142:AF142" si="82">$C142*AE134/$C134</f>
        <v>0</v>
      </c>
      <c r="AF142" s="195">
        <f t="shared" si="82"/>
        <v>0</v>
      </c>
      <c r="AG142" s="195">
        <f t="shared" si="80"/>
        <v>0</v>
      </c>
      <c r="AH142" s="195">
        <f t="shared" si="80"/>
        <v>0</v>
      </c>
      <c r="AI142" s="195">
        <f t="shared" si="80"/>
        <v>0</v>
      </c>
      <c r="AJ142" s="195">
        <f t="shared" si="80"/>
        <v>0</v>
      </c>
      <c r="AK142" s="250">
        <f>SUM(P142:AJ142)</f>
        <v>24160.070590453885</v>
      </c>
    </row>
    <row r="143" spans="1:39">
      <c r="B143" s="146" t="s">
        <v>309</v>
      </c>
      <c r="C143" s="121">
        <f t="shared" si="74"/>
        <v>8285.7139428571427</v>
      </c>
      <c r="D143" s="124"/>
      <c r="E143" s="124"/>
      <c r="F143" s="124"/>
      <c r="G143" s="124"/>
      <c r="H143" s="124"/>
      <c r="I143" s="124"/>
      <c r="J143" s="124">
        <f>SUM(J135:J140)*1.0675</f>
        <v>4142.8569714285713</v>
      </c>
      <c r="K143" s="124"/>
      <c r="L143" s="124"/>
      <c r="M143" s="124" t="s">
        <v>238</v>
      </c>
      <c r="N143" s="124"/>
      <c r="O143" s="124">
        <f>SUM(O135:O140)*1.0675</f>
        <v>4142.8569714285713</v>
      </c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85"/>
      <c r="AK143" s="252"/>
      <c r="AL143" s="186"/>
      <c r="AM143" s="186"/>
    </row>
    <row r="144" spans="1:39">
      <c r="B144" s="146" t="s">
        <v>257</v>
      </c>
      <c r="C144" s="121">
        <f t="shared" si="74"/>
        <v>4525.5957771830044</v>
      </c>
      <c r="D144" s="124">
        <f>SUM(D135:D141)*9%</f>
        <v>377.13298143191707</v>
      </c>
      <c r="E144" s="124">
        <f t="shared" ref="E144:O144" si="83">SUM(E135:E141)*9%</f>
        <v>377.13298143191707</v>
      </c>
      <c r="F144" s="124">
        <f t="shared" si="83"/>
        <v>377.13298143191707</v>
      </c>
      <c r="G144" s="124">
        <f t="shared" si="83"/>
        <v>377.13298143191707</v>
      </c>
      <c r="H144" s="124">
        <f t="shared" si="83"/>
        <v>377.13298143191707</v>
      </c>
      <c r="I144" s="124">
        <f t="shared" si="83"/>
        <v>377.13298143191707</v>
      </c>
      <c r="J144" s="124">
        <f t="shared" si="83"/>
        <v>377.13298143191707</v>
      </c>
      <c r="K144" s="124">
        <f t="shared" si="83"/>
        <v>377.13298143191707</v>
      </c>
      <c r="L144" s="124">
        <f t="shared" si="83"/>
        <v>377.13298143191707</v>
      </c>
      <c r="M144" s="124">
        <f t="shared" si="83"/>
        <v>377.13298143191707</v>
      </c>
      <c r="N144" s="124">
        <f t="shared" si="83"/>
        <v>377.13298143191707</v>
      </c>
      <c r="O144" s="124">
        <f t="shared" si="83"/>
        <v>377.13298143191707</v>
      </c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85"/>
      <c r="AK144" s="252"/>
      <c r="AL144" s="186"/>
      <c r="AM144" s="186"/>
    </row>
    <row r="145" spans="2:39">
      <c r="B145" s="146" t="s">
        <v>255</v>
      </c>
      <c r="C145" s="121">
        <f t="shared" si="74"/>
        <v>4888.7608704137401</v>
      </c>
      <c r="D145" s="124"/>
      <c r="E145" s="124" t="s">
        <v>238</v>
      </c>
      <c r="F145" s="124"/>
      <c r="G145" s="124"/>
      <c r="H145" s="124">
        <f>((SUM(H135:H141)+SUM(H135:H141)/6)/12)*6</f>
        <v>2444.3804352068701</v>
      </c>
      <c r="I145" s="124"/>
      <c r="J145" s="124"/>
      <c r="K145" s="124"/>
      <c r="L145" s="124"/>
      <c r="M145" s="124" t="s">
        <v>238</v>
      </c>
      <c r="N145" s="124">
        <f>((SUM(N135:N141)+SUM(N135:N141)/6)/12)*6</f>
        <v>2444.3804352068701</v>
      </c>
      <c r="O145" s="124" t="s">
        <v>238</v>
      </c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85"/>
      <c r="AK145" s="252"/>
      <c r="AL145" s="186"/>
      <c r="AM145" s="186"/>
    </row>
    <row r="146" spans="2:39">
      <c r="B146" s="146" t="s">
        <v>310</v>
      </c>
      <c r="C146" s="121">
        <f t="shared" si="74"/>
        <v>5160</v>
      </c>
      <c r="D146" s="124">
        <v>430</v>
      </c>
      <c r="E146" s="124">
        <v>430</v>
      </c>
      <c r="F146" s="124">
        <v>430</v>
      </c>
      <c r="G146" s="124">
        <v>430</v>
      </c>
      <c r="H146" s="124">
        <v>430</v>
      </c>
      <c r="I146" s="124">
        <v>430</v>
      </c>
      <c r="J146" s="124">
        <v>430</v>
      </c>
      <c r="K146" s="124">
        <v>430</v>
      </c>
      <c r="L146" s="124">
        <v>430</v>
      </c>
      <c r="M146" s="124">
        <v>430</v>
      </c>
      <c r="N146" s="124">
        <v>430</v>
      </c>
      <c r="O146" s="124">
        <v>430</v>
      </c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85"/>
      <c r="AK146" s="252"/>
      <c r="AL146" s="186"/>
      <c r="AM146" s="186"/>
    </row>
    <row r="147" spans="2:39">
      <c r="B147" s="146" t="s">
        <v>313</v>
      </c>
      <c r="C147" s="121">
        <f t="shared" ref="C147" si="84">SUM(D147:O147)</f>
        <v>1300</v>
      </c>
      <c r="D147" s="131"/>
      <c r="E147" s="131">
        <v>1300</v>
      </c>
      <c r="F147" s="124"/>
      <c r="G147" s="124" t="s">
        <v>238</v>
      </c>
      <c r="H147" s="131"/>
      <c r="I147" s="131"/>
      <c r="J147" s="131"/>
      <c r="K147" s="131"/>
      <c r="L147" s="131"/>
      <c r="M147" s="124" t="s">
        <v>238</v>
      </c>
      <c r="N147" s="131"/>
      <c r="O147" s="131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85"/>
      <c r="AK147" s="252"/>
      <c r="AL147" s="186"/>
      <c r="AM147" s="186"/>
    </row>
    <row r="148" spans="2:39" s="194" customFormat="1">
      <c r="B148" s="203" t="s">
        <v>361</v>
      </c>
      <c r="C148" s="193">
        <f>SUM(C149:C155)</f>
        <v>56535</v>
      </c>
      <c r="D148" s="193">
        <f t="shared" ref="D148:O148" si="85">SUM(D149:D155)</f>
        <v>7060</v>
      </c>
      <c r="E148" s="193">
        <f t="shared" si="85"/>
        <v>11575</v>
      </c>
      <c r="F148" s="193">
        <f t="shared" si="85"/>
        <v>5650</v>
      </c>
      <c r="G148" s="193">
        <f t="shared" si="85"/>
        <v>4550</v>
      </c>
      <c r="H148" s="193">
        <f t="shared" si="85"/>
        <v>4550</v>
      </c>
      <c r="I148" s="193">
        <f t="shared" si="85"/>
        <v>4550</v>
      </c>
      <c r="J148" s="193">
        <f t="shared" si="85"/>
        <v>4550</v>
      </c>
      <c r="K148" s="193">
        <f t="shared" si="85"/>
        <v>4550</v>
      </c>
      <c r="L148" s="193">
        <f t="shared" si="85"/>
        <v>2100</v>
      </c>
      <c r="M148" s="193">
        <f t="shared" si="85"/>
        <v>2100</v>
      </c>
      <c r="N148" s="193">
        <f t="shared" si="85"/>
        <v>3200</v>
      </c>
      <c r="O148" s="193">
        <f t="shared" si="85"/>
        <v>2100</v>
      </c>
    </row>
    <row r="149" spans="2:39">
      <c r="B149" s="175" t="s">
        <v>345</v>
      </c>
      <c r="C149" s="121">
        <f>SUM(D149:O149)</f>
        <v>28810</v>
      </c>
      <c r="D149" s="131">
        <v>4960</v>
      </c>
      <c r="E149" s="131">
        <f>2450+6700</f>
        <v>9150</v>
      </c>
      <c r="F149" s="131">
        <v>2450</v>
      </c>
      <c r="G149" s="131">
        <v>2450</v>
      </c>
      <c r="H149" s="131">
        <v>2450</v>
      </c>
      <c r="I149" s="131">
        <v>2450</v>
      </c>
      <c r="J149" s="131">
        <v>2450</v>
      </c>
      <c r="K149" s="131">
        <v>2450</v>
      </c>
      <c r="L149" s="131" t="s">
        <v>238</v>
      </c>
      <c r="M149" s="131" t="s">
        <v>238</v>
      </c>
      <c r="N149" s="131" t="s">
        <v>238</v>
      </c>
      <c r="O149" s="131" t="s">
        <v>238</v>
      </c>
    </row>
    <row r="150" spans="2:39">
      <c r="B150" s="146" t="s">
        <v>314</v>
      </c>
      <c r="C150" s="121">
        <f t="shared" si="74"/>
        <v>9000</v>
      </c>
      <c r="D150" s="147">
        <v>750</v>
      </c>
      <c r="E150" s="147">
        <v>750</v>
      </c>
      <c r="F150" s="147">
        <v>750</v>
      </c>
      <c r="G150" s="147">
        <v>750</v>
      </c>
      <c r="H150" s="147">
        <v>750</v>
      </c>
      <c r="I150" s="147">
        <v>750</v>
      </c>
      <c r="J150" s="147">
        <v>750</v>
      </c>
      <c r="K150" s="147">
        <v>750</v>
      </c>
      <c r="L150" s="147">
        <v>750</v>
      </c>
      <c r="M150" s="147">
        <v>750</v>
      </c>
      <c r="N150" s="147">
        <v>750</v>
      </c>
      <c r="O150" s="147">
        <v>750</v>
      </c>
    </row>
    <row r="151" spans="2:39">
      <c r="B151" s="148" t="s">
        <v>311</v>
      </c>
      <c r="C151" s="121">
        <f t="shared" si="74"/>
        <v>1800</v>
      </c>
      <c r="D151" s="141">
        <v>150</v>
      </c>
      <c r="E151" s="141">
        <v>150</v>
      </c>
      <c r="F151" s="141">
        <v>150</v>
      </c>
      <c r="G151" s="141">
        <v>150</v>
      </c>
      <c r="H151" s="141">
        <v>150</v>
      </c>
      <c r="I151" s="141">
        <v>150</v>
      </c>
      <c r="J151" s="141">
        <v>150</v>
      </c>
      <c r="K151" s="141">
        <v>150</v>
      </c>
      <c r="L151" s="141">
        <v>150</v>
      </c>
      <c r="M151" s="141">
        <v>150</v>
      </c>
      <c r="N151" s="141">
        <v>150</v>
      </c>
      <c r="O151" s="141">
        <v>150</v>
      </c>
    </row>
    <row r="152" spans="2:39">
      <c r="B152" s="146" t="s">
        <v>312</v>
      </c>
      <c r="C152" s="121">
        <f t="shared" si="74"/>
        <v>7200</v>
      </c>
      <c r="D152" s="131">
        <v>600</v>
      </c>
      <c r="E152" s="131">
        <v>600</v>
      </c>
      <c r="F152" s="131">
        <v>600</v>
      </c>
      <c r="G152" s="131">
        <v>600</v>
      </c>
      <c r="H152" s="131">
        <v>600</v>
      </c>
      <c r="I152" s="131">
        <v>600</v>
      </c>
      <c r="J152" s="131">
        <v>600</v>
      </c>
      <c r="K152" s="131">
        <v>600</v>
      </c>
      <c r="L152" s="131">
        <v>600</v>
      </c>
      <c r="M152" s="131">
        <v>600</v>
      </c>
      <c r="N152" s="131">
        <v>600</v>
      </c>
      <c r="O152" s="131">
        <v>600</v>
      </c>
    </row>
    <row r="153" spans="2:39">
      <c r="B153" s="133" t="s">
        <v>276</v>
      </c>
      <c r="C153" s="121">
        <f>SUM(D153:O153)</f>
        <v>4800</v>
      </c>
      <c r="D153" s="141">
        <v>400</v>
      </c>
      <c r="E153" s="141">
        <v>400</v>
      </c>
      <c r="F153" s="141">
        <v>400</v>
      </c>
      <c r="G153" s="141">
        <v>400</v>
      </c>
      <c r="H153" s="141">
        <v>400</v>
      </c>
      <c r="I153" s="141">
        <v>400</v>
      </c>
      <c r="J153" s="141">
        <v>400</v>
      </c>
      <c r="K153" s="141">
        <v>400</v>
      </c>
      <c r="L153" s="141">
        <v>400</v>
      </c>
      <c r="M153" s="141">
        <v>400</v>
      </c>
      <c r="N153" s="141">
        <v>400</v>
      </c>
      <c r="O153" s="141">
        <v>400</v>
      </c>
    </row>
    <row r="154" spans="2:39">
      <c r="B154" s="135" t="s">
        <v>277</v>
      </c>
      <c r="C154" s="121">
        <f>SUM(D154:O154)</f>
        <v>2400</v>
      </c>
      <c r="D154" s="131">
        <v>200</v>
      </c>
      <c r="E154" s="131">
        <v>200</v>
      </c>
      <c r="F154" s="131">
        <v>200</v>
      </c>
      <c r="G154" s="131">
        <v>200</v>
      </c>
      <c r="H154" s="131">
        <v>200</v>
      </c>
      <c r="I154" s="131">
        <v>200</v>
      </c>
      <c r="J154" s="131">
        <v>200</v>
      </c>
      <c r="K154" s="131">
        <v>200</v>
      </c>
      <c r="L154" s="131">
        <v>200</v>
      </c>
      <c r="M154" s="131">
        <v>200</v>
      </c>
      <c r="N154" s="131">
        <v>200</v>
      </c>
      <c r="O154" s="131">
        <v>200</v>
      </c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98"/>
      <c r="AB154" s="398"/>
      <c r="AC154" s="398"/>
      <c r="AD154" s="398"/>
      <c r="AE154" s="398"/>
      <c r="AF154" s="398"/>
      <c r="AG154" s="398"/>
      <c r="AH154" s="398"/>
      <c r="AI154" s="398"/>
      <c r="AJ154" s="398"/>
      <c r="AK154" s="180"/>
    </row>
    <row r="155" spans="2:39">
      <c r="B155" s="146" t="s">
        <v>399</v>
      </c>
      <c r="C155" s="121">
        <f>SUM(D155:O155)</f>
        <v>2525</v>
      </c>
      <c r="D155" s="131"/>
      <c r="E155" s="131">
        <v>325</v>
      </c>
      <c r="F155" s="124">
        <v>1100</v>
      </c>
      <c r="G155" s="124" t="s">
        <v>238</v>
      </c>
      <c r="H155" s="131"/>
      <c r="I155" s="131"/>
      <c r="J155" s="131"/>
      <c r="K155" s="131"/>
      <c r="L155" s="131"/>
      <c r="M155" s="124" t="s">
        <v>238</v>
      </c>
      <c r="N155" s="131">
        <v>1100</v>
      </c>
      <c r="O155" s="131"/>
    </row>
    <row r="156" spans="2:39" s="194" customFormat="1">
      <c r="B156" s="203" t="s">
        <v>393</v>
      </c>
      <c r="C156" s="193">
        <f>SUM(C157:C159)</f>
        <v>11100</v>
      </c>
      <c r="D156" s="193">
        <f t="shared" ref="D156:O156" si="86">SUM(D157:D159)</f>
        <v>925</v>
      </c>
      <c r="E156" s="193">
        <f t="shared" si="86"/>
        <v>925</v>
      </c>
      <c r="F156" s="193">
        <f t="shared" si="86"/>
        <v>925</v>
      </c>
      <c r="G156" s="193">
        <f t="shared" si="86"/>
        <v>925</v>
      </c>
      <c r="H156" s="193">
        <f t="shared" si="86"/>
        <v>925</v>
      </c>
      <c r="I156" s="193">
        <f t="shared" si="86"/>
        <v>925</v>
      </c>
      <c r="J156" s="193">
        <f t="shared" si="86"/>
        <v>925</v>
      </c>
      <c r="K156" s="193">
        <f t="shared" si="86"/>
        <v>925</v>
      </c>
      <c r="L156" s="193">
        <f t="shared" si="86"/>
        <v>925</v>
      </c>
      <c r="M156" s="193">
        <f t="shared" si="86"/>
        <v>925</v>
      </c>
      <c r="N156" s="193">
        <f t="shared" si="86"/>
        <v>925</v>
      </c>
      <c r="O156" s="193">
        <f t="shared" si="86"/>
        <v>925</v>
      </c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</row>
    <row r="157" spans="2:39">
      <c r="B157" s="146" t="s">
        <v>315</v>
      </c>
      <c r="C157" s="121">
        <f t="shared" si="74"/>
        <v>1800</v>
      </c>
      <c r="D157" s="141">
        <v>150</v>
      </c>
      <c r="E157" s="141">
        <v>150</v>
      </c>
      <c r="F157" s="141">
        <v>150</v>
      </c>
      <c r="G157" s="141">
        <v>150</v>
      </c>
      <c r="H157" s="141">
        <v>150</v>
      </c>
      <c r="I157" s="141">
        <v>150</v>
      </c>
      <c r="J157" s="141">
        <v>150</v>
      </c>
      <c r="K157" s="141">
        <v>150</v>
      </c>
      <c r="L157" s="141">
        <v>150</v>
      </c>
      <c r="M157" s="141">
        <v>150</v>
      </c>
      <c r="N157" s="141">
        <v>150</v>
      </c>
      <c r="O157" s="141">
        <v>150</v>
      </c>
    </row>
    <row r="158" spans="2:39">
      <c r="B158" s="148" t="s">
        <v>392</v>
      </c>
      <c r="C158" s="121">
        <f>SUM(D158:O158)</f>
        <v>1500</v>
      </c>
      <c r="D158" s="124">
        <v>125</v>
      </c>
      <c r="E158" s="124">
        <v>125</v>
      </c>
      <c r="F158" s="124">
        <v>125</v>
      </c>
      <c r="G158" s="124">
        <v>125</v>
      </c>
      <c r="H158" s="124">
        <v>125</v>
      </c>
      <c r="I158" s="124">
        <v>125</v>
      </c>
      <c r="J158" s="124">
        <v>125</v>
      </c>
      <c r="K158" s="124">
        <v>125</v>
      </c>
      <c r="L158" s="124">
        <v>125</v>
      </c>
      <c r="M158" s="124">
        <v>125</v>
      </c>
      <c r="N158" s="124">
        <v>125</v>
      </c>
      <c r="O158" s="124">
        <v>125</v>
      </c>
    </row>
    <row r="159" spans="2:39">
      <c r="B159" s="146" t="s">
        <v>401</v>
      </c>
      <c r="C159" s="121">
        <f t="shared" si="74"/>
        <v>7800</v>
      </c>
      <c r="D159" s="131">
        <v>650</v>
      </c>
      <c r="E159" s="131">
        <v>650</v>
      </c>
      <c r="F159" s="131">
        <v>650</v>
      </c>
      <c r="G159" s="131">
        <v>650</v>
      </c>
      <c r="H159" s="131">
        <v>650</v>
      </c>
      <c r="I159" s="131">
        <v>650</v>
      </c>
      <c r="J159" s="131">
        <v>650</v>
      </c>
      <c r="K159" s="131">
        <v>650</v>
      </c>
      <c r="L159" s="131">
        <v>650</v>
      </c>
      <c r="M159" s="131">
        <v>650</v>
      </c>
      <c r="N159" s="131">
        <v>650</v>
      </c>
      <c r="O159" s="131">
        <v>650</v>
      </c>
    </row>
    <row r="160" spans="2:39">
      <c r="B160" s="144" t="s">
        <v>316</v>
      </c>
      <c r="C160" s="120">
        <f t="shared" ref="C160:O160" si="87">+C134+C142+C148+C156</f>
        <v>142079.46811470948</v>
      </c>
      <c r="D160" s="120">
        <f t="shared" si="87"/>
        <v>12982.499441786551</v>
      </c>
      <c r="E160" s="120">
        <f t="shared" si="87"/>
        <v>18797.499441786553</v>
      </c>
      <c r="F160" s="120">
        <f t="shared" si="87"/>
        <v>11572.499441786551</v>
      </c>
      <c r="G160" s="120">
        <f t="shared" si="87"/>
        <v>10472.499441786551</v>
      </c>
      <c r="H160" s="120">
        <f t="shared" si="87"/>
        <v>12916.879876993422</v>
      </c>
      <c r="I160" s="120">
        <f t="shared" si="87"/>
        <v>10472.499441786551</v>
      </c>
      <c r="J160" s="120">
        <f t="shared" si="87"/>
        <v>14615.356413215122</v>
      </c>
      <c r="K160" s="120">
        <f t="shared" si="87"/>
        <v>10472.499441786551</v>
      </c>
      <c r="L160" s="120">
        <f t="shared" si="87"/>
        <v>8022.499441786551</v>
      </c>
      <c r="M160" s="120">
        <f t="shared" si="87"/>
        <v>8022.499441786551</v>
      </c>
      <c r="N160" s="120">
        <f t="shared" si="87"/>
        <v>11566.879876993422</v>
      </c>
      <c r="O160" s="120">
        <f t="shared" si="87"/>
        <v>12165.356413215122</v>
      </c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</row>
    <row r="161" spans="2:38">
      <c r="B161" s="144" t="s">
        <v>317</v>
      </c>
      <c r="C161" s="120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220">
        <v>0</v>
      </c>
      <c r="Q161" s="220">
        <v>0</v>
      </c>
      <c r="R161" s="220">
        <v>0</v>
      </c>
      <c r="S161" s="220">
        <v>0</v>
      </c>
      <c r="T161" s="220">
        <v>0</v>
      </c>
      <c r="U161" s="220">
        <v>0</v>
      </c>
      <c r="V161" s="220">
        <v>0</v>
      </c>
      <c r="W161" s="220">
        <v>2</v>
      </c>
      <c r="X161" s="220">
        <v>2</v>
      </c>
      <c r="Y161" s="220">
        <v>2</v>
      </c>
      <c r="Z161" s="220">
        <v>2</v>
      </c>
      <c r="AA161" s="220">
        <v>2</v>
      </c>
      <c r="AB161" s="220">
        <v>2</v>
      </c>
      <c r="AC161" s="220">
        <v>2</v>
      </c>
      <c r="AD161" s="220">
        <v>0</v>
      </c>
      <c r="AE161" s="220">
        <v>0</v>
      </c>
      <c r="AF161" s="220">
        <v>0</v>
      </c>
      <c r="AG161" s="220">
        <v>0</v>
      </c>
      <c r="AH161" s="220">
        <v>0</v>
      </c>
      <c r="AI161" s="220">
        <v>0</v>
      </c>
      <c r="AJ161" s="220">
        <v>0</v>
      </c>
      <c r="AK161" s="249"/>
    </row>
    <row r="162" spans="2:38" s="143" customFormat="1">
      <c r="B162" s="203" t="s">
        <v>356</v>
      </c>
      <c r="C162" s="199">
        <f>SUM(C163:C164)</f>
        <v>16080</v>
      </c>
      <c r="D162" s="199">
        <f t="shared" ref="D162:O162" si="88">SUM(D163:D164)</f>
        <v>1340</v>
      </c>
      <c r="E162" s="199">
        <f t="shared" si="88"/>
        <v>1340</v>
      </c>
      <c r="F162" s="199">
        <f t="shared" si="88"/>
        <v>1340</v>
      </c>
      <c r="G162" s="199">
        <f t="shared" si="88"/>
        <v>1340</v>
      </c>
      <c r="H162" s="199">
        <f t="shared" si="88"/>
        <v>1340</v>
      </c>
      <c r="I162" s="199">
        <f t="shared" si="88"/>
        <v>1340</v>
      </c>
      <c r="J162" s="199">
        <f t="shared" si="88"/>
        <v>1340</v>
      </c>
      <c r="K162" s="199">
        <f t="shared" si="88"/>
        <v>1340</v>
      </c>
      <c r="L162" s="199">
        <f t="shared" si="88"/>
        <v>1340</v>
      </c>
      <c r="M162" s="199">
        <f t="shared" si="88"/>
        <v>1340</v>
      </c>
      <c r="N162" s="199">
        <f t="shared" si="88"/>
        <v>1340</v>
      </c>
      <c r="O162" s="199">
        <f t="shared" si="88"/>
        <v>1340</v>
      </c>
      <c r="P162" s="222">
        <f>$C163*P163+$C164*P164</f>
        <v>0</v>
      </c>
      <c r="Q162" s="222">
        <f t="shared" ref="Q162:R162" si="89">$C163*Q163+$C164*Q164</f>
        <v>0</v>
      </c>
      <c r="R162" s="222">
        <f t="shared" si="89"/>
        <v>0</v>
      </c>
      <c r="S162" s="222">
        <f t="shared" ref="S162:AJ162" si="90">$C163*S163+$C164*S164</f>
        <v>0</v>
      </c>
      <c r="T162" s="222">
        <f t="shared" si="90"/>
        <v>0</v>
      </c>
      <c r="U162" s="222">
        <f t="shared" si="90"/>
        <v>0</v>
      </c>
      <c r="V162" s="222">
        <f t="shared" si="90"/>
        <v>0</v>
      </c>
      <c r="W162" s="222">
        <f t="shared" si="90"/>
        <v>1608</v>
      </c>
      <c r="X162" s="222">
        <f t="shared" ref="X162:Y162" si="91">$C163*X163+$C164*X164</f>
        <v>1608</v>
      </c>
      <c r="Y162" s="222">
        <f t="shared" si="91"/>
        <v>1608</v>
      </c>
      <c r="Z162" s="222">
        <f t="shared" si="90"/>
        <v>1608</v>
      </c>
      <c r="AA162" s="222">
        <f t="shared" si="90"/>
        <v>1608</v>
      </c>
      <c r="AB162" s="222">
        <f t="shared" si="90"/>
        <v>1608</v>
      </c>
      <c r="AC162" s="222">
        <f t="shared" si="90"/>
        <v>6432</v>
      </c>
      <c r="AD162" s="222">
        <f t="shared" si="90"/>
        <v>0</v>
      </c>
      <c r="AE162" s="222">
        <f t="shared" ref="AE162:AF162" si="92">$C163*AE163+$C164*AE164</f>
        <v>0</v>
      </c>
      <c r="AF162" s="222">
        <f t="shared" si="92"/>
        <v>0</v>
      </c>
      <c r="AG162" s="222">
        <f t="shared" si="90"/>
        <v>0</v>
      </c>
      <c r="AH162" s="222">
        <f t="shared" si="90"/>
        <v>0</v>
      </c>
      <c r="AI162" s="222">
        <f t="shared" si="90"/>
        <v>0</v>
      </c>
      <c r="AJ162" s="222">
        <f t="shared" si="90"/>
        <v>0</v>
      </c>
      <c r="AK162" s="189">
        <f>SUM(P162:AJ162)</f>
        <v>16080</v>
      </c>
    </row>
    <row r="163" spans="2:38">
      <c r="B163" s="170" t="s">
        <v>362</v>
      </c>
      <c r="C163" s="172">
        <f t="shared" ref="C163:C174" si="93">SUM(D163:O163)</f>
        <v>8040</v>
      </c>
      <c r="D163" s="174">
        <v>670</v>
      </c>
      <c r="E163" s="174">
        <v>670</v>
      </c>
      <c r="F163" s="174">
        <v>670</v>
      </c>
      <c r="G163" s="174">
        <v>670</v>
      </c>
      <c r="H163" s="174">
        <v>670</v>
      </c>
      <c r="I163" s="174">
        <v>670</v>
      </c>
      <c r="J163" s="174">
        <v>670</v>
      </c>
      <c r="K163" s="174">
        <v>670</v>
      </c>
      <c r="L163" s="174">
        <v>670</v>
      </c>
      <c r="M163" s="174">
        <v>670</v>
      </c>
      <c r="N163" s="174">
        <v>670</v>
      </c>
      <c r="O163" s="174">
        <v>670</v>
      </c>
      <c r="P163" s="152">
        <v>0</v>
      </c>
      <c r="Q163" s="152">
        <v>0</v>
      </c>
      <c r="R163" s="152">
        <v>0</v>
      </c>
      <c r="S163" s="152">
        <v>0</v>
      </c>
      <c r="T163" s="152">
        <v>0</v>
      </c>
      <c r="U163" s="152">
        <v>0</v>
      </c>
      <c r="V163" s="152">
        <v>0</v>
      </c>
      <c r="W163" s="152">
        <v>0.1</v>
      </c>
      <c r="X163" s="152">
        <v>0.1</v>
      </c>
      <c r="Y163" s="152">
        <v>0.1</v>
      </c>
      <c r="Z163" s="152">
        <v>0.1</v>
      </c>
      <c r="AA163" s="152">
        <v>0.1</v>
      </c>
      <c r="AB163" s="152">
        <v>0.1</v>
      </c>
      <c r="AC163" s="152">
        <v>0.4</v>
      </c>
      <c r="AD163" s="152">
        <v>0</v>
      </c>
      <c r="AE163" s="152">
        <v>0</v>
      </c>
      <c r="AF163" s="152">
        <v>0</v>
      </c>
      <c r="AG163" s="152">
        <v>0</v>
      </c>
      <c r="AH163" s="152">
        <v>0</v>
      </c>
      <c r="AI163" s="152">
        <v>0</v>
      </c>
      <c r="AJ163" s="152">
        <v>0</v>
      </c>
      <c r="AK163" s="190">
        <f>SUM(P163:AJ163)</f>
        <v>1</v>
      </c>
    </row>
    <row r="164" spans="2:38">
      <c r="B164" s="170" t="s">
        <v>363</v>
      </c>
      <c r="C164" s="172">
        <f t="shared" si="93"/>
        <v>8040</v>
      </c>
      <c r="D164" s="174">
        <v>670</v>
      </c>
      <c r="E164" s="174">
        <v>670</v>
      </c>
      <c r="F164" s="174">
        <v>670</v>
      </c>
      <c r="G164" s="174">
        <v>670</v>
      </c>
      <c r="H164" s="174">
        <v>670</v>
      </c>
      <c r="I164" s="174">
        <v>670</v>
      </c>
      <c r="J164" s="174">
        <v>670</v>
      </c>
      <c r="K164" s="174">
        <v>670</v>
      </c>
      <c r="L164" s="174">
        <v>670</v>
      </c>
      <c r="M164" s="174">
        <v>670</v>
      </c>
      <c r="N164" s="174">
        <v>670</v>
      </c>
      <c r="O164" s="174">
        <v>670</v>
      </c>
      <c r="P164" s="152">
        <v>0</v>
      </c>
      <c r="Q164" s="152">
        <v>0</v>
      </c>
      <c r="R164" s="152">
        <v>0</v>
      </c>
      <c r="S164" s="152">
        <v>0</v>
      </c>
      <c r="T164" s="152">
        <v>0</v>
      </c>
      <c r="U164" s="152">
        <v>0</v>
      </c>
      <c r="V164" s="152">
        <v>0</v>
      </c>
      <c r="W164" s="152">
        <v>0.1</v>
      </c>
      <c r="X164" s="152">
        <v>0.1</v>
      </c>
      <c r="Y164" s="152">
        <v>0.1</v>
      </c>
      <c r="Z164" s="152">
        <v>0.1</v>
      </c>
      <c r="AA164" s="152">
        <v>0.1</v>
      </c>
      <c r="AB164" s="152">
        <v>0.1</v>
      </c>
      <c r="AC164" s="152">
        <v>0.4</v>
      </c>
      <c r="AD164" s="152">
        <v>0</v>
      </c>
      <c r="AE164" s="152">
        <v>0</v>
      </c>
      <c r="AF164" s="152">
        <v>0</v>
      </c>
      <c r="AG164" s="152">
        <v>0</v>
      </c>
      <c r="AH164" s="152">
        <v>0</v>
      </c>
      <c r="AI164" s="152">
        <v>0</v>
      </c>
      <c r="AJ164" s="152">
        <v>0</v>
      </c>
      <c r="AK164" s="190">
        <f t="shared" ref="AK164" si="94">SUM(P164:AJ164)</f>
        <v>1</v>
      </c>
    </row>
    <row r="165" spans="2:38" s="194" customFormat="1">
      <c r="B165" s="203" t="s">
        <v>355</v>
      </c>
      <c r="C165" s="193">
        <f>SUM(C166:C170)</f>
        <v>7961.4333333333325</v>
      </c>
      <c r="D165" s="193">
        <f t="shared" ref="D165:O165" si="95">SUM(D166:D170)</f>
        <v>265.60000000000002</v>
      </c>
      <c r="E165" s="193">
        <f t="shared" si="95"/>
        <v>615.6</v>
      </c>
      <c r="F165" s="193">
        <f t="shared" si="95"/>
        <v>265.60000000000002</v>
      </c>
      <c r="G165" s="193">
        <f t="shared" si="95"/>
        <v>265.60000000000002</v>
      </c>
      <c r="H165" s="193">
        <f t="shared" si="95"/>
        <v>1047.2666666666667</v>
      </c>
      <c r="I165" s="193">
        <f t="shared" si="95"/>
        <v>265.60000000000002</v>
      </c>
      <c r="J165" s="193">
        <f t="shared" si="95"/>
        <v>1696.0499999999997</v>
      </c>
      <c r="K165" s="193">
        <f t="shared" si="95"/>
        <v>265.60000000000002</v>
      </c>
      <c r="L165" s="193">
        <f t="shared" si="95"/>
        <v>265.60000000000002</v>
      </c>
      <c r="M165" s="193">
        <f t="shared" si="95"/>
        <v>265.60000000000002</v>
      </c>
      <c r="N165" s="193">
        <f t="shared" si="95"/>
        <v>1047.2666666666667</v>
      </c>
      <c r="O165" s="193">
        <f t="shared" si="95"/>
        <v>1696.0499999999997</v>
      </c>
      <c r="P165" s="195">
        <f>$C165*P162/$C162</f>
        <v>0</v>
      </c>
      <c r="Q165" s="195">
        <f t="shared" ref="Q165:R165" si="96">$C165*Q162/$C162</f>
        <v>0</v>
      </c>
      <c r="R165" s="195">
        <f t="shared" si="96"/>
        <v>0</v>
      </c>
      <c r="S165" s="195">
        <f t="shared" ref="S165:AJ165" si="97">$C165*S162/$C162</f>
        <v>0</v>
      </c>
      <c r="T165" s="195">
        <f t="shared" si="97"/>
        <v>0</v>
      </c>
      <c r="U165" s="195">
        <f t="shared" si="97"/>
        <v>0</v>
      </c>
      <c r="V165" s="195">
        <f t="shared" si="97"/>
        <v>0</v>
      </c>
      <c r="W165" s="195">
        <f t="shared" si="97"/>
        <v>796.14333333333332</v>
      </c>
      <c r="X165" s="195">
        <f t="shared" ref="X165:Y165" si="98">$C165*X162/$C162</f>
        <v>796.14333333333332</v>
      </c>
      <c r="Y165" s="195">
        <f t="shared" si="98"/>
        <v>796.14333333333332</v>
      </c>
      <c r="Z165" s="195">
        <f t="shared" si="97"/>
        <v>796.14333333333332</v>
      </c>
      <c r="AA165" s="195">
        <f t="shared" si="97"/>
        <v>796.14333333333332</v>
      </c>
      <c r="AB165" s="195">
        <f t="shared" si="97"/>
        <v>796.14333333333332</v>
      </c>
      <c r="AC165" s="195">
        <f t="shared" si="97"/>
        <v>3184.5733333333333</v>
      </c>
      <c r="AD165" s="195">
        <f t="shared" si="97"/>
        <v>0</v>
      </c>
      <c r="AE165" s="195">
        <f t="shared" ref="AE165:AF165" si="99">$C165*AE162/$C162</f>
        <v>0</v>
      </c>
      <c r="AF165" s="195">
        <f t="shared" si="99"/>
        <v>0</v>
      </c>
      <c r="AG165" s="195">
        <f t="shared" si="97"/>
        <v>0</v>
      </c>
      <c r="AH165" s="195">
        <f t="shared" si="97"/>
        <v>0</v>
      </c>
      <c r="AI165" s="195">
        <f t="shared" si="97"/>
        <v>0</v>
      </c>
      <c r="AJ165" s="195">
        <f t="shared" si="97"/>
        <v>0</v>
      </c>
      <c r="AK165" s="250">
        <f>SUM(P165:AJ165)</f>
        <v>7961.4333333333325</v>
      </c>
    </row>
    <row r="166" spans="2:38">
      <c r="B166" s="149" t="s">
        <v>318</v>
      </c>
      <c r="C166" s="121">
        <f t="shared" si="93"/>
        <v>2860.8999999999996</v>
      </c>
      <c r="D166" s="126"/>
      <c r="E166" s="126"/>
      <c r="F166" s="124" t="s">
        <v>238</v>
      </c>
      <c r="G166" s="126"/>
      <c r="H166" s="126"/>
      <c r="I166" s="124"/>
      <c r="J166" s="124">
        <f>SUM(J163:J164)*1.0675</f>
        <v>1430.4499999999998</v>
      </c>
      <c r="K166" s="126"/>
      <c r="L166" s="126"/>
      <c r="M166" s="126"/>
      <c r="N166" s="124"/>
      <c r="O166" s="124">
        <f>SUM(O163:O164)*1.0675</f>
        <v>1430.4499999999998</v>
      </c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85"/>
      <c r="AK166" s="252"/>
      <c r="AL166" s="186"/>
    </row>
    <row r="167" spans="2:38">
      <c r="B167" s="149" t="s">
        <v>257</v>
      </c>
      <c r="C167" s="121">
        <f t="shared" si="93"/>
        <v>1447.1999999999998</v>
      </c>
      <c r="D167" s="147">
        <f t="shared" ref="D167:O167" si="100">SUM(D163:D164)*9%</f>
        <v>120.6</v>
      </c>
      <c r="E167" s="147">
        <f t="shared" si="100"/>
        <v>120.6</v>
      </c>
      <c r="F167" s="147">
        <f t="shared" si="100"/>
        <v>120.6</v>
      </c>
      <c r="G167" s="147">
        <f t="shared" si="100"/>
        <v>120.6</v>
      </c>
      <c r="H167" s="147">
        <f t="shared" si="100"/>
        <v>120.6</v>
      </c>
      <c r="I167" s="147">
        <f t="shared" si="100"/>
        <v>120.6</v>
      </c>
      <c r="J167" s="147">
        <f t="shared" si="100"/>
        <v>120.6</v>
      </c>
      <c r="K167" s="147">
        <f t="shared" si="100"/>
        <v>120.6</v>
      </c>
      <c r="L167" s="147">
        <f t="shared" si="100"/>
        <v>120.6</v>
      </c>
      <c r="M167" s="147">
        <f t="shared" si="100"/>
        <v>120.6</v>
      </c>
      <c r="N167" s="147">
        <f t="shared" si="100"/>
        <v>120.6</v>
      </c>
      <c r="O167" s="147">
        <f t="shared" si="100"/>
        <v>120.6</v>
      </c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85"/>
      <c r="AK167" s="252"/>
      <c r="AL167" s="186"/>
    </row>
    <row r="168" spans="2:38">
      <c r="B168" s="149" t="s">
        <v>255</v>
      </c>
      <c r="C168" s="121">
        <f t="shared" si="93"/>
        <v>1563.3333333333333</v>
      </c>
      <c r="D168" s="126"/>
      <c r="E168" s="126"/>
      <c r="F168" s="124"/>
      <c r="G168" s="126"/>
      <c r="H168" s="124">
        <f>((SUM(H163:H164)+SUM(H163:H164)/6)/12)*6</f>
        <v>781.66666666666663</v>
      </c>
      <c r="I168" s="124"/>
      <c r="J168" s="124" t="s">
        <v>238</v>
      </c>
      <c r="K168" s="126"/>
      <c r="L168" s="126"/>
      <c r="M168" s="126"/>
      <c r="N168" s="124">
        <f>((SUM(N163:N164)+SUM(N163:N164)/6)/12)*6</f>
        <v>781.66666666666663</v>
      </c>
      <c r="O168" s="124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85"/>
      <c r="AK168" s="252"/>
      <c r="AL168" s="186"/>
    </row>
    <row r="169" spans="2:38">
      <c r="B169" s="133" t="s">
        <v>319</v>
      </c>
      <c r="C169" s="121">
        <f t="shared" si="93"/>
        <v>1740</v>
      </c>
      <c r="D169" s="147">
        <v>145</v>
      </c>
      <c r="E169" s="147">
        <v>145</v>
      </c>
      <c r="F169" s="147">
        <v>145</v>
      </c>
      <c r="G169" s="147">
        <v>145</v>
      </c>
      <c r="H169" s="147">
        <v>145</v>
      </c>
      <c r="I169" s="147">
        <v>145</v>
      </c>
      <c r="J169" s="147">
        <v>145</v>
      </c>
      <c r="K169" s="147">
        <v>145</v>
      </c>
      <c r="L169" s="147">
        <v>145</v>
      </c>
      <c r="M169" s="147">
        <v>145</v>
      </c>
      <c r="N169" s="147">
        <v>145</v>
      </c>
      <c r="O169" s="147">
        <v>145</v>
      </c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85"/>
      <c r="AK169" s="252"/>
      <c r="AL169" s="186"/>
    </row>
    <row r="170" spans="2:38">
      <c r="B170" s="146" t="s">
        <v>313</v>
      </c>
      <c r="C170" s="121">
        <f t="shared" si="93"/>
        <v>350</v>
      </c>
      <c r="D170" s="147"/>
      <c r="E170" s="147">
        <v>350</v>
      </c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85"/>
      <c r="AK170" s="252"/>
      <c r="AL170" s="186"/>
    </row>
    <row r="171" spans="2:38" s="194" customFormat="1">
      <c r="B171" s="203" t="s">
        <v>360</v>
      </c>
      <c r="C171" s="193">
        <f>SUM(C172:C176)</f>
        <v>25800</v>
      </c>
      <c r="D171" s="193">
        <f t="shared" ref="D171:O171" si="101">SUM(D172:D176)</f>
        <v>2150</v>
      </c>
      <c r="E171" s="193">
        <f t="shared" si="101"/>
        <v>2150</v>
      </c>
      <c r="F171" s="193">
        <f t="shared" si="101"/>
        <v>2150</v>
      </c>
      <c r="G171" s="193">
        <f t="shared" si="101"/>
        <v>2150</v>
      </c>
      <c r="H171" s="193">
        <f t="shared" si="101"/>
        <v>2150</v>
      </c>
      <c r="I171" s="193">
        <f t="shared" si="101"/>
        <v>2150</v>
      </c>
      <c r="J171" s="193">
        <f t="shared" si="101"/>
        <v>2150</v>
      </c>
      <c r="K171" s="193">
        <f t="shared" si="101"/>
        <v>2150</v>
      </c>
      <c r="L171" s="193">
        <f t="shared" si="101"/>
        <v>2150</v>
      </c>
      <c r="M171" s="193">
        <f t="shared" si="101"/>
        <v>2150</v>
      </c>
      <c r="N171" s="193">
        <f t="shared" si="101"/>
        <v>2150</v>
      </c>
      <c r="O171" s="193">
        <f t="shared" si="101"/>
        <v>2150</v>
      </c>
      <c r="AJ171" s="205"/>
      <c r="AK171" s="205"/>
      <c r="AL171" s="205"/>
    </row>
    <row r="172" spans="2:38">
      <c r="B172" s="150" t="s">
        <v>320</v>
      </c>
      <c r="C172" s="121">
        <f t="shared" si="93"/>
        <v>1800</v>
      </c>
      <c r="D172" s="147">
        <v>150</v>
      </c>
      <c r="E172" s="147">
        <v>150</v>
      </c>
      <c r="F172" s="147">
        <v>150</v>
      </c>
      <c r="G172" s="147">
        <v>150</v>
      </c>
      <c r="H172" s="147">
        <v>150</v>
      </c>
      <c r="I172" s="147">
        <v>150</v>
      </c>
      <c r="J172" s="147">
        <v>150</v>
      </c>
      <c r="K172" s="147">
        <v>150</v>
      </c>
      <c r="L172" s="147">
        <v>150</v>
      </c>
      <c r="M172" s="147">
        <v>150</v>
      </c>
      <c r="N172" s="147">
        <v>150</v>
      </c>
      <c r="O172" s="147">
        <v>150</v>
      </c>
      <c r="AJ172" s="186"/>
      <c r="AK172" s="186"/>
      <c r="AL172" s="186"/>
    </row>
    <row r="173" spans="2:38">
      <c r="B173" s="171" t="s">
        <v>367</v>
      </c>
      <c r="C173" s="172">
        <f t="shared" si="93"/>
        <v>6000</v>
      </c>
      <c r="D173" s="217">
        <v>500</v>
      </c>
      <c r="E173" s="217">
        <v>500</v>
      </c>
      <c r="F173" s="217">
        <v>500</v>
      </c>
      <c r="G173" s="217">
        <v>500</v>
      </c>
      <c r="H173" s="217">
        <v>500</v>
      </c>
      <c r="I173" s="217">
        <v>500</v>
      </c>
      <c r="J173" s="217">
        <v>500</v>
      </c>
      <c r="K173" s="217">
        <v>500</v>
      </c>
      <c r="L173" s="217">
        <v>500</v>
      </c>
      <c r="M173" s="217">
        <v>500</v>
      </c>
      <c r="N173" s="217">
        <v>500</v>
      </c>
      <c r="O173" s="246">
        <v>500</v>
      </c>
      <c r="P173" s="398"/>
      <c r="Q173" s="398"/>
      <c r="R173" s="398"/>
      <c r="S173" s="398"/>
      <c r="T173" s="398"/>
      <c r="U173" s="398"/>
      <c r="V173" s="398"/>
      <c r="W173" s="398"/>
      <c r="X173" s="398"/>
      <c r="Y173" s="398"/>
      <c r="Z173" s="398"/>
      <c r="AA173" s="398"/>
      <c r="AB173" s="398"/>
      <c r="AC173" s="398"/>
      <c r="AD173" s="398"/>
      <c r="AE173" s="398"/>
      <c r="AF173" s="398"/>
      <c r="AG173" s="398"/>
      <c r="AH173" s="398"/>
      <c r="AI173" s="398"/>
      <c r="AJ173" s="398"/>
      <c r="AK173" s="180"/>
    </row>
    <row r="174" spans="2:38">
      <c r="B174" s="216" t="s">
        <v>495</v>
      </c>
      <c r="C174" s="172">
        <f t="shared" si="93"/>
        <v>6000</v>
      </c>
      <c r="D174" s="217">
        <v>500</v>
      </c>
      <c r="E174" s="217">
        <v>500</v>
      </c>
      <c r="F174" s="217">
        <v>500</v>
      </c>
      <c r="G174" s="217">
        <v>500</v>
      </c>
      <c r="H174" s="217">
        <v>500</v>
      </c>
      <c r="I174" s="217">
        <v>500</v>
      </c>
      <c r="J174" s="217">
        <v>500</v>
      </c>
      <c r="K174" s="217">
        <v>500</v>
      </c>
      <c r="L174" s="217">
        <v>500</v>
      </c>
      <c r="M174" s="217">
        <v>500</v>
      </c>
      <c r="N174" s="217">
        <v>500</v>
      </c>
      <c r="O174" s="246">
        <v>500</v>
      </c>
      <c r="P174" s="180"/>
      <c r="Q174" s="278"/>
      <c r="R174" s="278"/>
      <c r="S174" s="180"/>
      <c r="T174" s="180"/>
      <c r="U174" s="180"/>
      <c r="V174" s="180"/>
      <c r="W174" s="180"/>
      <c r="X174" s="279"/>
      <c r="Y174" s="279"/>
      <c r="Z174" s="180"/>
      <c r="AA174" s="180"/>
      <c r="AB174" s="180"/>
      <c r="AC174" s="180"/>
      <c r="AD174" s="180"/>
      <c r="AE174" s="279"/>
      <c r="AF174" s="279"/>
      <c r="AG174" s="180"/>
      <c r="AH174" s="180"/>
      <c r="AI174" s="180"/>
      <c r="AJ174" s="180"/>
      <c r="AK174" s="180"/>
    </row>
    <row r="175" spans="2:38">
      <c r="B175" s="169" t="s">
        <v>494</v>
      </c>
      <c r="C175" s="172">
        <f t="shared" ref="C175:C176" si="102">SUM(D175:O175)</f>
        <v>7800</v>
      </c>
      <c r="D175" s="174">
        <v>650</v>
      </c>
      <c r="E175" s="174">
        <v>650</v>
      </c>
      <c r="F175" s="174">
        <v>650</v>
      </c>
      <c r="G175" s="174">
        <v>650</v>
      </c>
      <c r="H175" s="174">
        <v>650</v>
      </c>
      <c r="I175" s="174">
        <v>650</v>
      </c>
      <c r="J175" s="174">
        <v>650</v>
      </c>
      <c r="K175" s="174">
        <v>650</v>
      </c>
      <c r="L175" s="174">
        <v>650</v>
      </c>
      <c r="M175" s="174">
        <v>650</v>
      </c>
      <c r="N175" s="174">
        <v>650</v>
      </c>
      <c r="O175" s="247">
        <v>650</v>
      </c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</row>
    <row r="176" spans="2:38">
      <c r="B176" s="169" t="s">
        <v>366</v>
      </c>
      <c r="C176" s="172">
        <f t="shared" si="102"/>
        <v>4200</v>
      </c>
      <c r="D176" s="174">
        <v>350</v>
      </c>
      <c r="E176" s="174">
        <v>350</v>
      </c>
      <c r="F176" s="174">
        <v>350</v>
      </c>
      <c r="G176" s="174">
        <v>350</v>
      </c>
      <c r="H176" s="174">
        <v>350</v>
      </c>
      <c r="I176" s="174">
        <v>350</v>
      </c>
      <c r="J176" s="174">
        <v>350</v>
      </c>
      <c r="K176" s="174">
        <v>350</v>
      </c>
      <c r="L176" s="174">
        <v>350</v>
      </c>
      <c r="M176" s="174">
        <v>350</v>
      </c>
      <c r="N176" s="174">
        <v>350</v>
      </c>
      <c r="O176" s="247">
        <v>350</v>
      </c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398"/>
      <c r="AB176" s="398"/>
      <c r="AC176" s="398"/>
      <c r="AD176" s="398"/>
      <c r="AE176" s="398"/>
      <c r="AF176" s="398"/>
      <c r="AG176" s="398"/>
      <c r="AH176" s="398"/>
      <c r="AI176" s="398"/>
      <c r="AJ176" s="398"/>
      <c r="AK176" s="180"/>
    </row>
    <row r="177" spans="2:38">
      <c r="B177" s="144" t="s">
        <v>321</v>
      </c>
      <c r="C177" s="120">
        <f>+C162+C165+C171</f>
        <v>49841.433333333334</v>
      </c>
      <c r="D177" s="120">
        <f t="shared" ref="D177:O177" si="103">+D162+D165+D171</f>
        <v>3755.6</v>
      </c>
      <c r="E177" s="120">
        <f t="shared" si="103"/>
        <v>4105.6000000000004</v>
      </c>
      <c r="F177" s="120">
        <f t="shared" si="103"/>
        <v>3755.6</v>
      </c>
      <c r="G177" s="120">
        <f t="shared" si="103"/>
        <v>3755.6</v>
      </c>
      <c r="H177" s="120">
        <f t="shared" si="103"/>
        <v>4537.2666666666664</v>
      </c>
      <c r="I177" s="120">
        <f t="shared" si="103"/>
        <v>3755.6</v>
      </c>
      <c r="J177" s="120">
        <f t="shared" si="103"/>
        <v>5186.0499999999993</v>
      </c>
      <c r="K177" s="120">
        <f t="shared" si="103"/>
        <v>3755.6</v>
      </c>
      <c r="L177" s="120">
        <f t="shared" si="103"/>
        <v>3755.6</v>
      </c>
      <c r="M177" s="120">
        <f t="shared" si="103"/>
        <v>3755.6</v>
      </c>
      <c r="N177" s="120">
        <f t="shared" si="103"/>
        <v>4537.2666666666664</v>
      </c>
      <c r="O177" s="248">
        <f t="shared" si="103"/>
        <v>5186.0499999999993</v>
      </c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</row>
    <row r="178" spans="2:38">
      <c r="B178" s="144" t="s">
        <v>325</v>
      </c>
      <c r="C178" s="120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220">
        <v>0</v>
      </c>
      <c r="Q178" s="220">
        <v>0</v>
      </c>
      <c r="R178" s="220">
        <v>0</v>
      </c>
      <c r="S178" s="220">
        <v>0</v>
      </c>
      <c r="T178" s="220">
        <v>0</v>
      </c>
      <c r="U178" s="220">
        <v>0</v>
      </c>
      <c r="V178" s="220">
        <v>0</v>
      </c>
      <c r="W178" s="220">
        <v>0</v>
      </c>
      <c r="X178" s="220">
        <v>0</v>
      </c>
      <c r="Y178" s="220">
        <v>0</v>
      </c>
      <c r="Z178" s="220">
        <v>0</v>
      </c>
      <c r="AA178" s="220">
        <v>0</v>
      </c>
      <c r="AB178" s="220">
        <v>0</v>
      </c>
      <c r="AC178" s="220">
        <v>0</v>
      </c>
      <c r="AD178" s="220">
        <v>4</v>
      </c>
      <c r="AE178" s="220">
        <v>4</v>
      </c>
      <c r="AF178" s="220">
        <v>4</v>
      </c>
      <c r="AG178" s="220">
        <v>4</v>
      </c>
      <c r="AH178" s="220">
        <v>4</v>
      </c>
      <c r="AI178" s="220">
        <v>4</v>
      </c>
      <c r="AJ178" s="220">
        <v>4</v>
      </c>
      <c r="AK178" s="249"/>
    </row>
    <row r="179" spans="2:38" s="143" customFormat="1">
      <c r="B179" s="203" t="s">
        <v>356</v>
      </c>
      <c r="C179" s="199">
        <f>SUM(C180:C183)</f>
        <v>30659.617638006021</v>
      </c>
      <c r="D179" s="199">
        <f t="shared" ref="D179:O179" si="104">SUM(D180:D183)</f>
        <v>2554.9681365005017</v>
      </c>
      <c r="E179" s="199">
        <f t="shared" si="104"/>
        <v>2554.9681365005017</v>
      </c>
      <c r="F179" s="199">
        <f t="shared" si="104"/>
        <v>2554.9681365005017</v>
      </c>
      <c r="G179" s="199">
        <f t="shared" si="104"/>
        <v>2554.9681365005017</v>
      </c>
      <c r="H179" s="199">
        <f t="shared" si="104"/>
        <v>2554.9681365005017</v>
      </c>
      <c r="I179" s="199">
        <f t="shared" si="104"/>
        <v>2554.9681365005017</v>
      </c>
      <c r="J179" s="199">
        <f t="shared" si="104"/>
        <v>2554.9681365005017</v>
      </c>
      <c r="K179" s="199">
        <f t="shared" si="104"/>
        <v>2554.9681365005017</v>
      </c>
      <c r="L179" s="199">
        <f t="shared" si="104"/>
        <v>2554.9681365005017</v>
      </c>
      <c r="M179" s="199">
        <f t="shared" si="104"/>
        <v>2554.9681365005017</v>
      </c>
      <c r="N179" s="199">
        <f t="shared" si="104"/>
        <v>2554.9681365005017</v>
      </c>
      <c r="O179" s="199">
        <f t="shared" si="104"/>
        <v>2554.9681365005017</v>
      </c>
      <c r="P179" s="200">
        <f>$C180*P180+$C181*P181+$C182*P182+$C183*P183</f>
        <v>0</v>
      </c>
      <c r="Q179" s="200">
        <f t="shared" ref="Q179:R179" si="105">$C180*Q180+$C181*Q181+$C182*Q182+$C183*Q183</f>
        <v>0</v>
      </c>
      <c r="R179" s="200">
        <f t="shared" si="105"/>
        <v>0</v>
      </c>
      <c r="S179" s="200">
        <f t="shared" ref="S179:AJ179" si="106">$C180*S180+$C181*S181+$C182*S182+$C183*S183</f>
        <v>0</v>
      </c>
      <c r="T179" s="200">
        <f t="shared" si="106"/>
        <v>0</v>
      </c>
      <c r="U179" s="200">
        <f t="shared" si="106"/>
        <v>0</v>
      </c>
      <c r="V179" s="200">
        <f t="shared" si="106"/>
        <v>0</v>
      </c>
      <c r="W179" s="200">
        <f t="shared" si="106"/>
        <v>0</v>
      </c>
      <c r="X179" s="200">
        <f t="shared" ref="X179:Y179" si="107">$C180*X180+$C181*X181+$C182*X182+$C183*X183</f>
        <v>0</v>
      </c>
      <c r="Y179" s="200">
        <f t="shared" si="107"/>
        <v>0</v>
      </c>
      <c r="Z179" s="200">
        <f t="shared" si="106"/>
        <v>0</v>
      </c>
      <c r="AA179" s="200">
        <f t="shared" si="106"/>
        <v>0</v>
      </c>
      <c r="AB179" s="200">
        <f t="shared" si="106"/>
        <v>0</v>
      </c>
      <c r="AC179" s="200">
        <f t="shared" si="106"/>
        <v>0</v>
      </c>
      <c r="AD179" s="200">
        <f t="shared" si="106"/>
        <v>3065.9617638006021</v>
      </c>
      <c r="AE179" s="200">
        <f t="shared" ref="AE179:AF179" si="108">$C180*AE180+$C181*AE181+$C182*AE182+$C183*AE183</f>
        <v>3065.9617638006021</v>
      </c>
      <c r="AF179" s="200">
        <f t="shared" si="108"/>
        <v>3065.9617638006021</v>
      </c>
      <c r="AG179" s="200">
        <f t="shared" si="106"/>
        <v>3065.9617638006021</v>
      </c>
      <c r="AH179" s="200">
        <f t="shared" si="106"/>
        <v>3065.9617638006021</v>
      </c>
      <c r="AI179" s="200">
        <f t="shared" si="106"/>
        <v>3065.9617638006021</v>
      </c>
      <c r="AJ179" s="200">
        <f t="shared" si="106"/>
        <v>12263.847055202408</v>
      </c>
      <c r="AK179" s="189">
        <f>SUM(P179:AJ179)</f>
        <v>30659.617638006021</v>
      </c>
    </row>
    <row r="180" spans="2:38">
      <c r="B180" s="150" t="s">
        <v>302</v>
      </c>
      <c r="C180" s="213">
        <f t="shared" ref="C180:C197" si="109">SUM(D180:O180)</f>
        <v>14400</v>
      </c>
      <c r="D180" s="147">
        <v>1200</v>
      </c>
      <c r="E180" s="147">
        <v>1200</v>
      </c>
      <c r="F180" s="147">
        <v>1200</v>
      </c>
      <c r="G180" s="147">
        <v>1200</v>
      </c>
      <c r="H180" s="147">
        <v>1200</v>
      </c>
      <c r="I180" s="147">
        <v>1200</v>
      </c>
      <c r="J180" s="147">
        <v>1200</v>
      </c>
      <c r="K180" s="147">
        <v>1200</v>
      </c>
      <c r="L180" s="147">
        <v>1200</v>
      </c>
      <c r="M180" s="147">
        <v>1200</v>
      </c>
      <c r="N180" s="147">
        <v>1200</v>
      </c>
      <c r="O180" s="147">
        <v>1200</v>
      </c>
      <c r="P180" s="214">
        <v>0</v>
      </c>
      <c r="Q180" s="214">
        <v>0</v>
      </c>
      <c r="R180" s="214">
        <v>0</v>
      </c>
      <c r="S180" s="214">
        <v>0</v>
      </c>
      <c r="T180" s="214">
        <v>0</v>
      </c>
      <c r="U180" s="214">
        <v>0</v>
      </c>
      <c r="V180" s="214">
        <v>0</v>
      </c>
      <c r="W180" s="214">
        <v>0</v>
      </c>
      <c r="X180" s="214">
        <v>0</v>
      </c>
      <c r="Y180" s="214">
        <v>0</v>
      </c>
      <c r="Z180" s="214">
        <v>0</v>
      </c>
      <c r="AA180" s="214">
        <v>0</v>
      </c>
      <c r="AB180" s="214">
        <v>0</v>
      </c>
      <c r="AC180" s="214">
        <v>0</v>
      </c>
      <c r="AD180" s="214">
        <v>0.1</v>
      </c>
      <c r="AE180" s="214">
        <v>0.1</v>
      </c>
      <c r="AF180" s="214">
        <v>0.1</v>
      </c>
      <c r="AG180" s="214">
        <v>0.1</v>
      </c>
      <c r="AH180" s="214">
        <v>0.1</v>
      </c>
      <c r="AI180" s="214">
        <v>0.1</v>
      </c>
      <c r="AJ180" s="214">
        <v>0.4</v>
      </c>
      <c r="AK180" s="190">
        <f>SUM(P180:AJ180)</f>
        <v>1</v>
      </c>
    </row>
    <row r="181" spans="2:38">
      <c r="B181" s="149" t="s">
        <v>322</v>
      </c>
      <c r="C181" s="121">
        <f t="shared" ref="C181" si="110">SUM(D181:O181)</f>
        <v>7226.4971562395449</v>
      </c>
      <c r="D181" s="147">
        <v>602.20809635329545</v>
      </c>
      <c r="E181" s="147">
        <v>602.20809635329545</v>
      </c>
      <c r="F181" s="147">
        <v>602.20809635329545</v>
      </c>
      <c r="G181" s="147">
        <v>602.20809635329545</v>
      </c>
      <c r="H181" s="147">
        <v>602.20809635329545</v>
      </c>
      <c r="I181" s="147">
        <v>602.20809635329545</v>
      </c>
      <c r="J181" s="147">
        <v>602.20809635329545</v>
      </c>
      <c r="K181" s="147">
        <v>602.20809635329545</v>
      </c>
      <c r="L181" s="147">
        <v>602.20809635329545</v>
      </c>
      <c r="M181" s="147">
        <v>602.20809635329545</v>
      </c>
      <c r="N181" s="147">
        <v>602.20809635329545</v>
      </c>
      <c r="O181" s="147">
        <v>602.20809635329545</v>
      </c>
      <c r="P181" s="152">
        <v>0</v>
      </c>
      <c r="Q181" s="152">
        <v>0</v>
      </c>
      <c r="R181" s="152">
        <v>0</v>
      </c>
      <c r="S181" s="152">
        <v>0</v>
      </c>
      <c r="T181" s="152">
        <v>0</v>
      </c>
      <c r="U181" s="152">
        <v>0</v>
      </c>
      <c r="V181" s="152">
        <v>0</v>
      </c>
      <c r="W181" s="152">
        <v>0</v>
      </c>
      <c r="X181" s="152">
        <v>0</v>
      </c>
      <c r="Y181" s="152">
        <v>0</v>
      </c>
      <c r="Z181" s="152">
        <v>0</v>
      </c>
      <c r="AA181" s="152">
        <v>0</v>
      </c>
      <c r="AB181" s="152">
        <v>0</v>
      </c>
      <c r="AC181" s="152">
        <v>0</v>
      </c>
      <c r="AD181" s="214">
        <v>0.1</v>
      </c>
      <c r="AE181" s="214">
        <v>0.1</v>
      </c>
      <c r="AF181" s="214">
        <v>0.1</v>
      </c>
      <c r="AG181" s="214">
        <v>0.1</v>
      </c>
      <c r="AH181" s="214">
        <v>0.1</v>
      </c>
      <c r="AI181" s="214">
        <v>0.1</v>
      </c>
      <c r="AJ181" s="214">
        <v>0.4</v>
      </c>
      <c r="AK181" s="190">
        <f t="shared" ref="AK181:AK183" si="111">SUM(P181:AJ181)</f>
        <v>1</v>
      </c>
    </row>
    <row r="182" spans="2:38" s="143" customFormat="1">
      <c r="B182" s="150" t="s">
        <v>359</v>
      </c>
      <c r="C182" s="121">
        <f t="shared" si="109"/>
        <v>3011.040481766473</v>
      </c>
      <c r="D182" s="147">
        <f>250.920040147206</f>
        <v>250.92004014720601</v>
      </c>
      <c r="E182" s="147">
        <f t="shared" ref="E182:O182" si="112">250.920040147206</f>
        <v>250.92004014720601</v>
      </c>
      <c r="F182" s="147">
        <f t="shared" si="112"/>
        <v>250.92004014720601</v>
      </c>
      <c r="G182" s="147">
        <f t="shared" si="112"/>
        <v>250.92004014720601</v>
      </c>
      <c r="H182" s="147">
        <f t="shared" si="112"/>
        <v>250.92004014720601</v>
      </c>
      <c r="I182" s="147">
        <f t="shared" si="112"/>
        <v>250.92004014720601</v>
      </c>
      <c r="J182" s="147">
        <f t="shared" si="112"/>
        <v>250.92004014720601</v>
      </c>
      <c r="K182" s="147">
        <f t="shared" si="112"/>
        <v>250.92004014720601</v>
      </c>
      <c r="L182" s="147">
        <f t="shared" si="112"/>
        <v>250.92004014720601</v>
      </c>
      <c r="M182" s="147">
        <f t="shared" si="112"/>
        <v>250.92004014720601</v>
      </c>
      <c r="N182" s="147">
        <f t="shared" si="112"/>
        <v>250.92004014720601</v>
      </c>
      <c r="O182" s="147">
        <f t="shared" si="112"/>
        <v>250.92004014720601</v>
      </c>
      <c r="P182" s="152">
        <v>0</v>
      </c>
      <c r="Q182" s="152">
        <v>0</v>
      </c>
      <c r="R182" s="152">
        <v>0</v>
      </c>
      <c r="S182" s="152">
        <v>0</v>
      </c>
      <c r="T182" s="152">
        <v>0</v>
      </c>
      <c r="U182" s="152">
        <v>0</v>
      </c>
      <c r="V182" s="152">
        <v>0</v>
      </c>
      <c r="W182" s="152">
        <v>0</v>
      </c>
      <c r="X182" s="152">
        <v>0</v>
      </c>
      <c r="Y182" s="152">
        <v>0</v>
      </c>
      <c r="Z182" s="152">
        <v>0</v>
      </c>
      <c r="AA182" s="152">
        <v>0</v>
      </c>
      <c r="AB182" s="152">
        <v>0</v>
      </c>
      <c r="AC182" s="152">
        <v>0</v>
      </c>
      <c r="AD182" s="214">
        <v>0.1</v>
      </c>
      <c r="AE182" s="214">
        <v>0.1</v>
      </c>
      <c r="AF182" s="214">
        <v>0.1</v>
      </c>
      <c r="AG182" s="214">
        <v>0.1</v>
      </c>
      <c r="AH182" s="214">
        <v>0.1</v>
      </c>
      <c r="AI182" s="214">
        <v>0.1</v>
      </c>
      <c r="AJ182" s="214">
        <v>0.4</v>
      </c>
      <c r="AK182" s="190">
        <f t="shared" si="111"/>
        <v>1</v>
      </c>
    </row>
    <row r="183" spans="2:38">
      <c r="B183" s="146" t="s">
        <v>323</v>
      </c>
      <c r="C183" s="121">
        <f t="shared" si="109"/>
        <v>6022.0800000000008</v>
      </c>
      <c r="D183" s="124">
        <v>501.84</v>
      </c>
      <c r="E183" s="124">
        <v>501.84</v>
      </c>
      <c r="F183" s="124">
        <v>501.84</v>
      </c>
      <c r="G183" s="124">
        <v>501.84</v>
      </c>
      <c r="H183" s="124">
        <v>501.84</v>
      </c>
      <c r="I183" s="124">
        <v>501.84</v>
      </c>
      <c r="J183" s="124">
        <v>501.84</v>
      </c>
      <c r="K183" s="124">
        <v>501.84</v>
      </c>
      <c r="L183" s="124">
        <v>501.84</v>
      </c>
      <c r="M183" s="124">
        <v>501.84</v>
      </c>
      <c r="N183" s="124">
        <v>501.84</v>
      </c>
      <c r="O183" s="124">
        <v>501.84</v>
      </c>
      <c r="P183" s="152">
        <v>0</v>
      </c>
      <c r="Q183" s="152">
        <v>0</v>
      </c>
      <c r="R183" s="152">
        <v>0</v>
      </c>
      <c r="S183" s="152">
        <v>0</v>
      </c>
      <c r="T183" s="152">
        <v>0</v>
      </c>
      <c r="U183" s="152">
        <v>0</v>
      </c>
      <c r="V183" s="152">
        <v>0</v>
      </c>
      <c r="W183" s="152">
        <v>0</v>
      </c>
      <c r="X183" s="152">
        <v>0</v>
      </c>
      <c r="Y183" s="152">
        <v>0</v>
      </c>
      <c r="Z183" s="152">
        <v>0</v>
      </c>
      <c r="AA183" s="152">
        <v>0</v>
      </c>
      <c r="AB183" s="152">
        <v>0</v>
      </c>
      <c r="AC183" s="152">
        <v>0</v>
      </c>
      <c r="AD183" s="214">
        <v>0.1</v>
      </c>
      <c r="AE183" s="214">
        <v>0.1</v>
      </c>
      <c r="AF183" s="214">
        <v>0.1</v>
      </c>
      <c r="AG183" s="214">
        <v>0.1</v>
      </c>
      <c r="AH183" s="214">
        <v>0.1</v>
      </c>
      <c r="AI183" s="214">
        <v>0.1</v>
      </c>
      <c r="AJ183" s="214">
        <v>0.4</v>
      </c>
      <c r="AK183" s="190">
        <f t="shared" si="111"/>
        <v>1</v>
      </c>
    </row>
    <row r="184" spans="2:38" s="194" customFormat="1">
      <c r="B184" s="203" t="s">
        <v>355</v>
      </c>
      <c r="C184" s="193">
        <f>SUM(C185:C189)</f>
        <v>12313.018718099698</v>
      </c>
      <c r="D184" s="193">
        <f t="shared" ref="D184:O184" si="113">SUM(D185:D189)</f>
        <v>293.94713228504514</v>
      </c>
      <c r="E184" s="193">
        <f t="shared" si="113"/>
        <v>643.9471322850452</v>
      </c>
      <c r="F184" s="193">
        <f t="shared" si="113"/>
        <v>293.94713228504514</v>
      </c>
      <c r="G184" s="193">
        <f t="shared" si="113"/>
        <v>293.94713228504514</v>
      </c>
      <c r="H184" s="193">
        <f t="shared" si="113"/>
        <v>1784.3452119103379</v>
      </c>
      <c r="I184" s="193">
        <f t="shared" si="113"/>
        <v>293.94713228504514</v>
      </c>
      <c r="J184" s="193">
        <f t="shared" si="113"/>
        <v>3021.3756179993302</v>
      </c>
      <c r="K184" s="193">
        <f t="shared" si="113"/>
        <v>293.94713228504514</v>
      </c>
      <c r="L184" s="193">
        <f t="shared" si="113"/>
        <v>293.94713228504514</v>
      </c>
      <c r="M184" s="193">
        <f t="shared" si="113"/>
        <v>293.94713228504514</v>
      </c>
      <c r="N184" s="193">
        <f t="shared" si="113"/>
        <v>1784.3452119103379</v>
      </c>
      <c r="O184" s="193">
        <f t="shared" si="113"/>
        <v>3021.3756179993302</v>
      </c>
      <c r="P184" s="195">
        <f>$C184*P179/$C179</f>
        <v>0</v>
      </c>
      <c r="Q184" s="195">
        <f t="shared" ref="Q184:R184" si="114">$C184*Q179/$C179</f>
        <v>0</v>
      </c>
      <c r="R184" s="195">
        <f t="shared" si="114"/>
        <v>0</v>
      </c>
      <c r="S184" s="195">
        <f t="shared" ref="S184:AJ184" si="115">$C184*S179/$C179</f>
        <v>0</v>
      </c>
      <c r="T184" s="195">
        <f t="shared" si="115"/>
        <v>0</v>
      </c>
      <c r="U184" s="195">
        <f t="shared" si="115"/>
        <v>0</v>
      </c>
      <c r="V184" s="195">
        <f t="shared" si="115"/>
        <v>0</v>
      </c>
      <c r="W184" s="195">
        <f t="shared" si="115"/>
        <v>0</v>
      </c>
      <c r="X184" s="195">
        <f t="shared" ref="X184:Y184" si="116">$C184*X179/$C179</f>
        <v>0</v>
      </c>
      <c r="Y184" s="195">
        <f t="shared" si="116"/>
        <v>0</v>
      </c>
      <c r="Z184" s="195">
        <f t="shared" si="115"/>
        <v>0</v>
      </c>
      <c r="AA184" s="195">
        <f t="shared" si="115"/>
        <v>0</v>
      </c>
      <c r="AB184" s="195">
        <f t="shared" si="115"/>
        <v>0</v>
      </c>
      <c r="AC184" s="195">
        <f t="shared" si="115"/>
        <v>0</v>
      </c>
      <c r="AD184" s="195">
        <f t="shared" si="115"/>
        <v>1231.30187180997</v>
      </c>
      <c r="AE184" s="195">
        <f t="shared" ref="AE184:AF184" si="117">$C184*AE179/$C179</f>
        <v>1231.30187180997</v>
      </c>
      <c r="AF184" s="195">
        <f t="shared" si="117"/>
        <v>1231.30187180997</v>
      </c>
      <c r="AG184" s="195">
        <f t="shared" si="115"/>
        <v>1231.30187180997</v>
      </c>
      <c r="AH184" s="195">
        <f t="shared" si="115"/>
        <v>1231.30187180997</v>
      </c>
      <c r="AI184" s="195">
        <f t="shared" si="115"/>
        <v>1231.30187180997</v>
      </c>
      <c r="AJ184" s="195">
        <f t="shared" si="115"/>
        <v>4925.2074872398798</v>
      </c>
      <c r="AK184" s="250">
        <f>SUM(P184:AJ184)</f>
        <v>12313.0187180997</v>
      </c>
    </row>
    <row r="185" spans="2:38">
      <c r="B185" s="149" t="s">
        <v>318</v>
      </c>
      <c r="C185" s="121">
        <f t="shared" si="109"/>
        <v>5454.8569714285704</v>
      </c>
      <c r="D185" s="126"/>
      <c r="E185" s="126"/>
      <c r="F185" s="124"/>
      <c r="G185" s="126"/>
      <c r="H185" s="126"/>
      <c r="I185" s="124"/>
      <c r="J185" s="124">
        <f>SUM(J180:J183)*1.0675</f>
        <v>2727.4284857142852</v>
      </c>
      <c r="K185" s="126"/>
      <c r="L185" s="126"/>
      <c r="M185" s="126"/>
      <c r="N185" s="126"/>
      <c r="O185" s="124">
        <f>SUM(O180:O183)*1.0675</f>
        <v>2727.4284857142852</v>
      </c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85"/>
      <c r="AK185" s="252"/>
      <c r="AL185" s="186"/>
    </row>
    <row r="186" spans="2:38">
      <c r="B186" s="149" t="s">
        <v>257</v>
      </c>
      <c r="C186" s="121">
        <f t="shared" si="109"/>
        <v>2759.3655874205415</v>
      </c>
      <c r="D186" s="147">
        <f>SUM(D180:D183)*9%</f>
        <v>229.94713228504514</v>
      </c>
      <c r="E186" s="147">
        <f t="shared" ref="E186:O186" si="118">SUM(E180:E183)*9%</f>
        <v>229.94713228504514</v>
      </c>
      <c r="F186" s="147">
        <f t="shared" si="118"/>
        <v>229.94713228504514</v>
      </c>
      <c r="G186" s="147">
        <f t="shared" si="118"/>
        <v>229.94713228504514</v>
      </c>
      <c r="H186" s="147">
        <f t="shared" si="118"/>
        <v>229.94713228504514</v>
      </c>
      <c r="I186" s="147">
        <f t="shared" si="118"/>
        <v>229.94713228504514</v>
      </c>
      <c r="J186" s="147">
        <f t="shared" si="118"/>
        <v>229.94713228504514</v>
      </c>
      <c r="K186" s="147">
        <f t="shared" si="118"/>
        <v>229.94713228504514</v>
      </c>
      <c r="L186" s="147">
        <f t="shared" si="118"/>
        <v>229.94713228504514</v>
      </c>
      <c r="M186" s="147">
        <f t="shared" si="118"/>
        <v>229.94713228504514</v>
      </c>
      <c r="N186" s="147">
        <f t="shared" si="118"/>
        <v>229.94713228504514</v>
      </c>
      <c r="O186" s="147">
        <f t="shared" si="118"/>
        <v>229.94713228504514</v>
      </c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85"/>
      <c r="AK186" s="252"/>
      <c r="AL186" s="186"/>
    </row>
    <row r="187" spans="2:38">
      <c r="B187" s="149" t="s">
        <v>255</v>
      </c>
      <c r="C187" s="121">
        <f t="shared" si="109"/>
        <v>2980.7961592505853</v>
      </c>
      <c r="D187" s="126"/>
      <c r="E187" s="126"/>
      <c r="F187" s="124"/>
      <c r="G187" s="126"/>
      <c r="H187" s="124">
        <f>((SUM(H180:H183)+SUM(H180:H183)/6)/12)*6</f>
        <v>1490.3980796252927</v>
      </c>
      <c r="I187" s="124"/>
      <c r="J187" s="124"/>
      <c r="K187" s="126"/>
      <c r="L187" s="126"/>
      <c r="M187" s="126"/>
      <c r="N187" s="124">
        <f>((SUM(N180:N183)+SUM(N180:N183)/6)/12)*6</f>
        <v>1490.3980796252927</v>
      </c>
      <c r="O187" s="126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85"/>
      <c r="AK187" s="252"/>
      <c r="AL187" s="186"/>
    </row>
    <row r="188" spans="2:38">
      <c r="B188" s="133" t="s">
        <v>319</v>
      </c>
      <c r="C188" s="121">
        <f t="shared" si="109"/>
        <v>768</v>
      </c>
      <c r="D188" s="147">
        <v>64</v>
      </c>
      <c r="E188" s="147">
        <v>64</v>
      </c>
      <c r="F188" s="147">
        <v>64</v>
      </c>
      <c r="G188" s="147">
        <v>64</v>
      </c>
      <c r="H188" s="147">
        <v>64</v>
      </c>
      <c r="I188" s="147">
        <v>64</v>
      </c>
      <c r="J188" s="147">
        <v>64</v>
      </c>
      <c r="K188" s="147">
        <v>64</v>
      </c>
      <c r="L188" s="147">
        <v>64</v>
      </c>
      <c r="M188" s="147">
        <v>64</v>
      </c>
      <c r="N188" s="147">
        <v>64</v>
      </c>
      <c r="O188" s="147">
        <v>64</v>
      </c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85"/>
      <c r="AK188" s="252"/>
      <c r="AL188" s="186"/>
    </row>
    <row r="189" spans="2:38">
      <c r="B189" s="146" t="s">
        <v>313</v>
      </c>
      <c r="C189" s="121">
        <f t="shared" si="109"/>
        <v>350</v>
      </c>
      <c r="D189" s="147"/>
      <c r="E189" s="147">
        <v>350</v>
      </c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85"/>
      <c r="AK189" s="252"/>
      <c r="AL189" s="186"/>
    </row>
    <row r="190" spans="2:38" s="194" customFormat="1">
      <c r="B190" s="203" t="s">
        <v>358</v>
      </c>
      <c r="C190" s="193">
        <f>SUM(C191:C197)</f>
        <v>11345</v>
      </c>
      <c r="D190" s="193">
        <f t="shared" ref="D190:O190" si="119">SUM(D191:D197)</f>
        <v>865</v>
      </c>
      <c r="E190" s="193">
        <f t="shared" si="119"/>
        <v>865</v>
      </c>
      <c r="F190" s="193">
        <f t="shared" si="119"/>
        <v>1630</v>
      </c>
      <c r="G190" s="193">
        <f t="shared" si="119"/>
        <v>865</v>
      </c>
      <c r="H190" s="193">
        <f t="shared" si="119"/>
        <v>865</v>
      </c>
      <c r="I190" s="193">
        <f t="shared" si="119"/>
        <v>865</v>
      </c>
      <c r="J190" s="193">
        <f t="shared" si="119"/>
        <v>865</v>
      </c>
      <c r="K190" s="193">
        <f t="shared" si="119"/>
        <v>865</v>
      </c>
      <c r="L190" s="193">
        <f t="shared" si="119"/>
        <v>865</v>
      </c>
      <c r="M190" s="193">
        <f t="shared" si="119"/>
        <v>1065</v>
      </c>
      <c r="N190" s="193">
        <f t="shared" si="119"/>
        <v>865</v>
      </c>
      <c r="O190" s="193">
        <f t="shared" si="119"/>
        <v>865</v>
      </c>
      <c r="AJ190" s="205"/>
      <c r="AK190" s="205"/>
      <c r="AL190" s="205"/>
    </row>
    <row r="191" spans="2:38">
      <c r="B191" s="146" t="s">
        <v>357</v>
      </c>
      <c r="C191" s="121">
        <f t="shared" ref="C191" si="120">SUM(D191:O191)</f>
        <v>965</v>
      </c>
      <c r="D191" s="131"/>
      <c r="E191" s="131"/>
      <c r="F191" s="124">
        <v>765</v>
      </c>
      <c r="G191" s="131"/>
      <c r="H191" s="131"/>
      <c r="I191" s="131"/>
      <c r="J191" s="131"/>
      <c r="K191" s="131"/>
      <c r="L191" s="131"/>
      <c r="M191" s="131">
        <v>200</v>
      </c>
      <c r="N191" s="131"/>
      <c r="O191" s="131"/>
      <c r="AJ191" s="186"/>
      <c r="AK191" s="186"/>
      <c r="AL191" s="186"/>
    </row>
    <row r="192" spans="2:38">
      <c r="B192" s="151" t="s">
        <v>334</v>
      </c>
      <c r="C192" s="121">
        <f t="shared" si="109"/>
        <v>3300</v>
      </c>
      <c r="D192" s="147">
        <v>275</v>
      </c>
      <c r="E192" s="147">
        <v>275</v>
      </c>
      <c r="F192" s="147">
        <v>275</v>
      </c>
      <c r="G192" s="147">
        <v>275</v>
      </c>
      <c r="H192" s="147">
        <v>275</v>
      </c>
      <c r="I192" s="147">
        <v>275</v>
      </c>
      <c r="J192" s="147">
        <v>275</v>
      </c>
      <c r="K192" s="147">
        <v>275</v>
      </c>
      <c r="L192" s="147">
        <v>275</v>
      </c>
      <c r="M192" s="147">
        <v>275</v>
      </c>
      <c r="N192" s="147">
        <v>275</v>
      </c>
      <c r="O192" s="147">
        <v>275</v>
      </c>
    </row>
    <row r="193" spans="2:37">
      <c r="B193" s="149" t="s">
        <v>335</v>
      </c>
      <c r="C193" s="121">
        <f t="shared" si="109"/>
        <v>2160</v>
      </c>
      <c r="D193" s="147">
        <v>180</v>
      </c>
      <c r="E193" s="147">
        <v>180</v>
      </c>
      <c r="F193" s="147">
        <v>180</v>
      </c>
      <c r="G193" s="147">
        <v>180</v>
      </c>
      <c r="H193" s="147">
        <v>180</v>
      </c>
      <c r="I193" s="147">
        <v>180</v>
      </c>
      <c r="J193" s="147">
        <v>180</v>
      </c>
      <c r="K193" s="147">
        <v>180</v>
      </c>
      <c r="L193" s="147">
        <v>180</v>
      </c>
      <c r="M193" s="147">
        <v>180</v>
      </c>
      <c r="N193" s="147">
        <v>180</v>
      </c>
      <c r="O193" s="147">
        <v>180</v>
      </c>
    </row>
    <row r="194" spans="2:37">
      <c r="B194" s="149" t="s">
        <v>336</v>
      </c>
      <c r="C194" s="121">
        <f t="shared" si="109"/>
        <v>960</v>
      </c>
      <c r="D194" s="147">
        <v>80</v>
      </c>
      <c r="E194" s="147">
        <v>80</v>
      </c>
      <c r="F194" s="147">
        <v>80</v>
      </c>
      <c r="G194" s="147">
        <v>80</v>
      </c>
      <c r="H194" s="147">
        <v>80</v>
      </c>
      <c r="I194" s="147">
        <v>80</v>
      </c>
      <c r="J194" s="147">
        <v>80</v>
      </c>
      <c r="K194" s="147">
        <v>80</v>
      </c>
      <c r="L194" s="147">
        <v>80</v>
      </c>
      <c r="M194" s="147">
        <v>80</v>
      </c>
      <c r="N194" s="147">
        <v>80</v>
      </c>
      <c r="O194" s="147">
        <v>80</v>
      </c>
    </row>
    <row r="195" spans="2:37">
      <c r="B195" s="149" t="s">
        <v>337</v>
      </c>
      <c r="C195" s="121">
        <f t="shared" si="109"/>
        <v>2160</v>
      </c>
      <c r="D195" s="147">
        <v>180</v>
      </c>
      <c r="E195" s="147">
        <v>180</v>
      </c>
      <c r="F195" s="147">
        <v>180</v>
      </c>
      <c r="G195" s="147">
        <v>180</v>
      </c>
      <c r="H195" s="147">
        <v>180</v>
      </c>
      <c r="I195" s="147">
        <v>180</v>
      </c>
      <c r="J195" s="147">
        <v>180</v>
      </c>
      <c r="K195" s="147">
        <v>180</v>
      </c>
      <c r="L195" s="147">
        <v>180</v>
      </c>
      <c r="M195" s="147">
        <v>180</v>
      </c>
      <c r="N195" s="147">
        <v>180</v>
      </c>
      <c r="O195" s="147">
        <v>180</v>
      </c>
    </row>
    <row r="196" spans="2:37">
      <c r="B196" s="149" t="s">
        <v>289</v>
      </c>
      <c r="C196" s="121">
        <f t="shared" si="109"/>
        <v>1200</v>
      </c>
      <c r="D196" s="147">
        <v>100</v>
      </c>
      <c r="E196" s="147">
        <v>100</v>
      </c>
      <c r="F196" s="147">
        <v>100</v>
      </c>
      <c r="G196" s="147">
        <v>100</v>
      </c>
      <c r="H196" s="147">
        <v>100</v>
      </c>
      <c r="I196" s="147">
        <v>100</v>
      </c>
      <c r="J196" s="147">
        <v>100</v>
      </c>
      <c r="K196" s="147">
        <v>100</v>
      </c>
      <c r="L196" s="147">
        <v>100</v>
      </c>
      <c r="M196" s="147">
        <v>100</v>
      </c>
      <c r="N196" s="147">
        <v>100</v>
      </c>
      <c r="O196" s="147">
        <v>100</v>
      </c>
    </row>
    <row r="197" spans="2:37">
      <c r="B197" s="149" t="s">
        <v>338</v>
      </c>
      <c r="C197" s="121">
        <f t="shared" si="109"/>
        <v>600</v>
      </c>
      <c r="D197" s="147">
        <v>50</v>
      </c>
      <c r="E197" s="147">
        <v>50</v>
      </c>
      <c r="F197" s="147">
        <v>50</v>
      </c>
      <c r="G197" s="147">
        <v>50</v>
      </c>
      <c r="H197" s="147">
        <v>50</v>
      </c>
      <c r="I197" s="147">
        <v>50</v>
      </c>
      <c r="J197" s="147">
        <v>50</v>
      </c>
      <c r="K197" s="147">
        <v>50</v>
      </c>
      <c r="L197" s="147">
        <v>50</v>
      </c>
      <c r="M197" s="147">
        <v>50</v>
      </c>
      <c r="N197" s="147">
        <v>50</v>
      </c>
      <c r="O197" s="147">
        <v>50</v>
      </c>
    </row>
    <row r="198" spans="2:37">
      <c r="B198" s="144" t="s">
        <v>326</v>
      </c>
      <c r="C198" s="120">
        <f>+C179+C184+C190</f>
        <v>54317.636356105722</v>
      </c>
      <c r="D198" s="120">
        <f t="shared" ref="D198:O198" si="121">+D179+D184+D190</f>
        <v>3713.9152687855467</v>
      </c>
      <c r="E198" s="120">
        <f t="shared" si="121"/>
        <v>4063.9152687855467</v>
      </c>
      <c r="F198" s="120">
        <f t="shared" si="121"/>
        <v>4478.9152687855467</v>
      </c>
      <c r="G198" s="120">
        <f t="shared" si="121"/>
        <v>3713.9152687855467</v>
      </c>
      <c r="H198" s="120">
        <f t="shared" si="121"/>
        <v>5204.3133484108394</v>
      </c>
      <c r="I198" s="120">
        <f t="shared" si="121"/>
        <v>3713.9152687855467</v>
      </c>
      <c r="J198" s="120">
        <f t="shared" si="121"/>
        <v>6441.3437544998324</v>
      </c>
      <c r="K198" s="120">
        <f t="shared" si="121"/>
        <v>3713.9152687855467</v>
      </c>
      <c r="L198" s="120">
        <f t="shared" si="121"/>
        <v>3713.9152687855467</v>
      </c>
      <c r="M198" s="120">
        <f t="shared" si="121"/>
        <v>3913.9152687855467</v>
      </c>
      <c r="N198" s="120">
        <f t="shared" si="121"/>
        <v>5204.3133484108394</v>
      </c>
      <c r="O198" s="120">
        <f t="shared" si="121"/>
        <v>6441.3437544998324</v>
      </c>
    </row>
    <row r="199" spans="2:37">
      <c r="B199" s="165" t="s">
        <v>331</v>
      </c>
      <c r="C199" s="166">
        <f t="shared" ref="C199:O199" si="122">C132+C160+C177+C198</f>
        <v>359238.53780414857</v>
      </c>
      <c r="D199" s="166">
        <f t="shared" si="122"/>
        <v>20452.014710572097</v>
      </c>
      <c r="E199" s="166">
        <f t="shared" si="122"/>
        <v>26967.014710572097</v>
      </c>
      <c r="F199" s="166">
        <f t="shared" si="122"/>
        <v>19807.014710572097</v>
      </c>
      <c r="G199" s="166">
        <f t="shared" si="122"/>
        <v>17942.014710572097</v>
      </c>
      <c r="H199" s="166">
        <f t="shared" si="122"/>
        <v>22658.459892070929</v>
      </c>
      <c r="I199" s="166">
        <f t="shared" si="122"/>
        <v>107942.01471057211</v>
      </c>
      <c r="J199" s="166">
        <f t="shared" si="122"/>
        <v>26242.750167714956</v>
      </c>
      <c r="K199" s="166">
        <f t="shared" si="122"/>
        <v>17942.014710572097</v>
      </c>
      <c r="L199" s="166">
        <f t="shared" si="122"/>
        <v>38492.014710572097</v>
      </c>
      <c r="M199" s="166">
        <f t="shared" si="122"/>
        <v>15692.014710572097</v>
      </c>
      <c r="N199" s="166">
        <f t="shared" si="122"/>
        <v>21308.459892070929</v>
      </c>
      <c r="O199" s="166">
        <f t="shared" si="122"/>
        <v>23792.750167714956</v>
      </c>
    </row>
    <row r="200" spans="2:37" ht="10.5" customHeight="1"/>
    <row r="201" spans="2:37" ht="10.5" customHeight="1">
      <c r="B201" s="204" t="s">
        <v>512</v>
      </c>
      <c r="C201" s="244">
        <f>+C199+C125+C47</f>
        <v>1008343.0589512156</v>
      </c>
    </row>
    <row r="202" spans="2:37" ht="10.5" customHeight="1">
      <c r="B202" s="204" t="s">
        <v>369</v>
      </c>
      <c r="C202" s="244">
        <f>+C5+C58+C88+C105+C134+C162+C179</f>
        <v>338101.42707259953</v>
      </c>
    </row>
    <row r="203" spans="2:37">
      <c r="B203" s="204" t="s">
        <v>370</v>
      </c>
      <c r="C203" s="244">
        <f>C11+C67+C91+C110+C142+C165+C184</f>
        <v>149601.631878616</v>
      </c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07"/>
    </row>
    <row r="204" spans="2:37">
      <c r="B204" s="204" t="s">
        <v>513</v>
      </c>
      <c r="C204" s="244">
        <f>+C202+C203</f>
        <v>487703.05895121553</v>
      </c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07"/>
    </row>
    <row r="205" spans="2:37">
      <c r="B205" s="204" t="s">
        <v>387</v>
      </c>
      <c r="C205" s="245">
        <v>32</v>
      </c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23">
        <f t="shared" ref="P205:AJ205" si="123">P4+P57+P87+P104+P133+P161+P178</f>
        <v>1</v>
      </c>
      <c r="Q205" s="223">
        <f t="shared" si="123"/>
        <v>1</v>
      </c>
      <c r="R205" s="223">
        <f t="shared" si="123"/>
        <v>1</v>
      </c>
      <c r="S205" s="223">
        <f t="shared" si="123"/>
        <v>3</v>
      </c>
      <c r="T205" s="223">
        <f t="shared" si="123"/>
        <v>1.5</v>
      </c>
      <c r="U205" s="223">
        <f t="shared" si="123"/>
        <v>4</v>
      </c>
      <c r="V205" s="223">
        <f t="shared" si="123"/>
        <v>14</v>
      </c>
      <c r="W205" s="223">
        <f t="shared" si="123"/>
        <v>5</v>
      </c>
      <c r="X205" s="223">
        <f t="shared" si="123"/>
        <v>5</v>
      </c>
      <c r="Y205" s="223">
        <f t="shared" si="123"/>
        <v>5</v>
      </c>
      <c r="Z205" s="223">
        <f t="shared" si="123"/>
        <v>5</v>
      </c>
      <c r="AA205" s="223">
        <f t="shared" si="123"/>
        <v>4.5</v>
      </c>
      <c r="AB205" s="223">
        <f t="shared" si="123"/>
        <v>5</v>
      </c>
      <c r="AC205" s="223">
        <f t="shared" si="123"/>
        <v>5</v>
      </c>
      <c r="AD205" s="223">
        <f t="shared" si="123"/>
        <v>13</v>
      </c>
      <c r="AE205" s="223">
        <f t="shared" si="123"/>
        <v>13</v>
      </c>
      <c r="AF205" s="223">
        <f t="shared" si="123"/>
        <v>13</v>
      </c>
      <c r="AG205" s="223">
        <f t="shared" si="123"/>
        <v>13</v>
      </c>
      <c r="AH205" s="223">
        <f t="shared" si="123"/>
        <v>9</v>
      </c>
      <c r="AI205" s="223">
        <f t="shared" si="123"/>
        <v>13</v>
      </c>
      <c r="AJ205" s="223">
        <f t="shared" si="123"/>
        <v>13</v>
      </c>
      <c r="AK205" s="207"/>
    </row>
    <row r="206" spans="2:37">
      <c r="B206" s="118" t="s">
        <v>388</v>
      </c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10">
        <f t="shared" ref="P206:AJ206" si="124">(SUM(P6:P10)+SUM(P59:P66)+SUM(P89:P90)+SUM(P106:P109)+SUM(P135:P141)+SUM(P163:P164)+SUM(P180:P183))/P205</f>
        <v>0.1</v>
      </c>
      <c r="Q206" s="210">
        <f t="shared" si="124"/>
        <v>0.1</v>
      </c>
      <c r="R206" s="210">
        <f t="shared" si="124"/>
        <v>0.1</v>
      </c>
      <c r="S206" s="210">
        <f t="shared" si="124"/>
        <v>0.31666666666666665</v>
      </c>
      <c r="T206" s="210">
        <f t="shared" si="124"/>
        <v>0.16666666666666666</v>
      </c>
      <c r="U206" s="210">
        <f t="shared" si="124"/>
        <v>0.125</v>
      </c>
      <c r="V206" s="210">
        <f t="shared" si="124"/>
        <v>0.86071428571428577</v>
      </c>
      <c r="W206" s="210">
        <f t="shared" si="124"/>
        <v>0.1</v>
      </c>
      <c r="X206" s="210">
        <f t="shared" si="124"/>
        <v>0.1</v>
      </c>
      <c r="Y206" s="210">
        <f t="shared" si="124"/>
        <v>0.1</v>
      </c>
      <c r="Z206" s="210">
        <f t="shared" si="124"/>
        <v>0.1</v>
      </c>
      <c r="AA206" s="210">
        <f t="shared" si="124"/>
        <v>5.5555555555555552E-2</v>
      </c>
      <c r="AB206" s="210">
        <f t="shared" si="124"/>
        <v>0.1</v>
      </c>
      <c r="AC206" s="210">
        <f t="shared" si="124"/>
        <v>0.44000000000000006</v>
      </c>
      <c r="AD206" s="210">
        <f t="shared" si="124"/>
        <v>8.8461538461538453E-2</v>
      </c>
      <c r="AE206" s="210">
        <f t="shared" si="124"/>
        <v>8.8461538461538453E-2</v>
      </c>
      <c r="AF206" s="210">
        <f t="shared" si="124"/>
        <v>8.8461538461538453E-2</v>
      </c>
      <c r="AG206" s="210">
        <f t="shared" si="124"/>
        <v>8.8461538461538453E-2</v>
      </c>
      <c r="AH206" s="210">
        <f t="shared" si="124"/>
        <v>8.3333333333333329E-2</v>
      </c>
      <c r="AI206" s="210">
        <f t="shared" si="124"/>
        <v>8.8461538461538453E-2</v>
      </c>
      <c r="AJ206" s="210">
        <f t="shared" si="124"/>
        <v>0.5</v>
      </c>
      <c r="AK206" s="224"/>
    </row>
    <row r="207" spans="2:37" s="194" customFormat="1">
      <c r="B207" s="118" t="s">
        <v>389</v>
      </c>
      <c r="C207" s="208"/>
      <c r="P207" s="207">
        <f t="shared" ref="P207:AJ207" si="125">(P5+P58+P88+P105+P134+P162+P179)/P205</f>
        <v>371.36400000000015</v>
      </c>
      <c r="Q207" s="207">
        <f t="shared" si="125"/>
        <v>371.36400000000015</v>
      </c>
      <c r="R207" s="207">
        <f t="shared" si="125"/>
        <v>371.36400000000015</v>
      </c>
      <c r="S207" s="207">
        <f t="shared" si="125"/>
        <v>3340.5833047842098</v>
      </c>
      <c r="T207" s="207">
        <f t="shared" si="125"/>
        <v>1836.7354740715962</v>
      </c>
      <c r="U207" s="207">
        <f t="shared" si="125"/>
        <v>914.31306423553031</v>
      </c>
      <c r="V207" s="207">
        <f t="shared" si="125"/>
        <v>6278.0457592601451</v>
      </c>
      <c r="W207" s="207">
        <f t="shared" si="125"/>
        <v>717.47280000000001</v>
      </c>
      <c r="X207" s="207">
        <f t="shared" si="125"/>
        <v>717.47280000000001</v>
      </c>
      <c r="Y207" s="207">
        <f t="shared" si="125"/>
        <v>717.47280000000001</v>
      </c>
      <c r="Z207" s="207">
        <f t="shared" si="125"/>
        <v>717.47280000000001</v>
      </c>
      <c r="AA207" s="207">
        <f t="shared" si="125"/>
        <v>398.596</v>
      </c>
      <c r="AB207" s="207">
        <f t="shared" si="125"/>
        <v>717.47280000000001</v>
      </c>
      <c r="AC207" s="207">
        <f t="shared" si="125"/>
        <v>3191.4912000000004</v>
      </c>
      <c r="AD207" s="207">
        <f t="shared" si="125"/>
        <v>1072.7827527601205</v>
      </c>
      <c r="AE207" s="207">
        <f t="shared" si="125"/>
        <v>1072.7827527601205</v>
      </c>
      <c r="AF207" s="207">
        <f t="shared" si="125"/>
        <v>1072.7827527601205</v>
      </c>
      <c r="AG207" s="207">
        <f t="shared" si="125"/>
        <v>1072.7827527601205</v>
      </c>
      <c r="AH207" s="207">
        <f t="shared" si="125"/>
        <v>1244.5009372142299</v>
      </c>
      <c r="AI207" s="207">
        <f t="shared" si="125"/>
        <v>1072.7827527601205</v>
      </c>
      <c r="AJ207" s="207">
        <f t="shared" si="125"/>
        <v>8926.2495150938048</v>
      </c>
    </row>
    <row r="208" spans="2:37">
      <c r="B208" s="118" t="s">
        <v>390</v>
      </c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>
        <f t="shared" ref="P208:AJ208" si="126">(P11+P67+P91+P110+P142+P165+P184)/P205</f>
        <v>182.01029115367845</v>
      </c>
      <c r="Q208" s="207">
        <f t="shared" si="126"/>
        <v>182.01029115367845</v>
      </c>
      <c r="R208" s="207">
        <f t="shared" si="126"/>
        <v>182.01029115367845</v>
      </c>
      <c r="S208" s="207">
        <f t="shared" si="126"/>
        <v>1639.376451406052</v>
      </c>
      <c r="T208" s="207">
        <f t="shared" si="126"/>
        <v>882.4935943232714</v>
      </c>
      <c r="U208" s="207">
        <f t="shared" si="126"/>
        <v>448.29532812195129</v>
      </c>
      <c r="V208" s="207">
        <f t="shared" si="126"/>
        <v>3084.259838547458</v>
      </c>
      <c r="W208" s="207">
        <f t="shared" si="126"/>
        <v>350.75939156406901</v>
      </c>
      <c r="X208" s="207">
        <f t="shared" si="126"/>
        <v>350.75939156406901</v>
      </c>
      <c r="Y208" s="207">
        <f t="shared" si="126"/>
        <v>350.75939156406901</v>
      </c>
      <c r="Z208" s="207">
        <f t="shared" si="126"/>
        <v>350.75939156406901</v>
      </c>
      <c r="AA208" s="207">
        <f t="shared" si="126"/>
        <v>196.74615356260381</v>
      </c>
      <c r="AB208" s="207">
        <f t="shared" si="126"/>
        <v>350.75939156406901</v>
      </c>
      <c r="AC208" s="207">
        <f t="shared" si="126"/>
        <v>1558.1662329229428</v>
      </c>
      <c r="AD208" s="207">
        <f t="shared" si="126"/>
        <v>436.94278889240115</v>
      </c>
      <c r="AE208" s="207">
        <f t="shared" si="126"/>
        <v>436.94278889240115</v>
      </c>
      <c r="AF208" s="207">
        <f t="shared" si="126"/>
        <v>436.94278889240115</v>
      </c>
      <c r="AG208" s="207">
        <f t="shared" si="126"/>
        <v>436.94278889240115</v>
      </c>
      <c r="AH208" s="207">
        <f t="shared" si="126"/>
        <v>507.60070331283964</v>
      </c>
      <c r="AI208" s="207">
        <f t="shared" si="126"/>
        <v>436.94278889240115</v>
      </c>
      <c r="AJ208" s="207">
        <f t="shared" si="126"/>
        <v>3648.1577657484563</v>
      </c>
      <c r="AK208" s="207"/>
    </row>
    <row r="209" spans="1:37"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AK209" s="207"/>
    </row>
    <row r="210" spans="1:37"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AK210" s="207"/>
    </row>
    <row r="211" spans="1:37"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395" t="s">
        <v>368</v>
      </c>
      <c r="Q211" s="395"/>
      <c r="R211" s="395"/>
      <c r="S211" s="395"/>
      <c r="T211" s="395"/>
      <c r="U211" s="395"/>
      <c r="V211" s="395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7"/>
      <c r="AK211" s="207"/>
    </row>
    <row r="212" spans="1:37">
      <c r="B212" s="206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59" t="s">
        <v>347</v>
      </c>
      <c r="Q212" s="259" t="s">
        <v>351</v>
      </c>
      <c r="R212" s="259" t="s">
        <v>352</v>
      </c>
      <c r="S212" s="259" t="s">
        <v>353</v>
      </c>
      <c r="T212" s="259" t="s">
        <v>354</v>
      </c>
      <c r="U212" s="259" t="s">
        <v>441</v>
      </c>
      <c r="V212" s="259" t="s">
        <v>442</v>
      </c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J212" s="207"/>
      <c r="AK212" s="207"/>
    </row>
    <row r="213" spans="1:37" ht="15">
      <c r="A213" s="201"/>
      <c r="B213" s="256" t="s">
        <v>258</v>
      </c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>
        <f t="shared" ref="P213:V213" si="127">+P205+W205+AD205</f>
        <v>19</v>
      </c>
      <c r="Q213" s="260">
        <f t="shared" si="127"/>
        <v>19</v>
      </c>
      <c r="R213" s="260">
        <f t="shared" si="127"/>
        <v>19</v>
      </c>
      <c r="S213" s="260">
        <f t="shared" si="127"/>
        <v>21</v>
      </c>
      <c r="T213" s="260">
        <f t="shared" si="127"/>
        <v>15</v>
      </c>
      <c r="U213" s="260">
        <f t="shared" si="127"/>
        <v>22</v>
      </c>
      <c r="V213" s="260">
        <f t="shared" si="127"/>
        <v>32</v>
      </c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J213" s="207"/>
      <c r="AK213" s="207"/>
    </row>
    <row r="214" spans="1:37" ht="15">
      <c r="A214" s="181"/>
      <c r="B214" s="257" t="s">
        <v>259</v>
      </c>
      <c r="C214" s="260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1">
        <f>(P205*P206)/P213</f>
        <v>5.263157894736842E-3</v>
      </c>
      <c r="Q214" s="261">
        <f t="shared" ref="Q214:V214" si="128">(Q205*Q206)/Q213</f>
        <v>5.263157894736842E-3</v>
      </c>
      <c r="R214" s="261">
        <f t="shared" si="128"/>
        <v>5.263157894736842E-3</v>
      </c>
      <c r="S214" s="261">
        <f t="shared" si="128"/>
        <v>4.5238095238095237E-2</v>
      </c>
      <c r="T214" s="261">
        <f t="shared" si="128"/>
        <v>1.6666666666666666E-2</v>
      </c>
      <c r="U214" s="261">
        <f t="shared" si="128"/>
        <v>2.2727272727272728E-2</v>
      </c>
      <c r="V214" s="261">
        <f t="shared" si="128"/>
        <v>0.37656250000000002</v>
      </c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7"/>
      <c r="AK214" s="207"/>
    </row>
    <row r="215" spans="1:37" ht="15">
      <c r="A215" s="181"/>
      <c r="B215" s="257" t="s">
        <v>260</v>
      </c>
      <c r="C215" s="262"/>
      <c r="D215" s="263"/>
      <c r="E215" s="263"/>
      <c r="F215" s="263"/>
      <c r="G215" s="263"/>
      <c r="H215" s="263"/>
      <c r="I215" s="263"/>
      <c r="J215" s="263"/>
      <c r="K215" s="263"/>
      <c r="L215" s="263"/>
      <c r="M215" s="263"/>
      <c r="N215" s="263"/>
      <c r="O215" s="263"/>
      <c r="P215" s="264">
        <f t="shared" ref="P215:V215" si="129">W206*W205/P213</f>
        <v>2.6315789473684209E-2</v>
      </c>
      <c r="Q215" s="264">
        <f t="shared" si="129"/>
        <v>2.6315789473684209E-2</v>
      </c>
      <c r="R215" s="264">
        <f t="shared" si="129"/>
        <v>2.6315789473684209E-2</v>
      </c>
      <c r="S215" s="264">
        <f t="shared" si="129"/>
        <v>2.3809523809523808E-2</v>
      </c>
      <c r="T215" s="264">
        <f t="shared" si="129"/>
        <v>1.6666666666666666E-2</v>
      </c>
      <c r="U215" s="264">
        <f t="shared" si="129"/>
        <v>2.2727272727272728E-2</v>
      </c>
      <c r="V215" s="264">
        <f t="shared" si="129"/>
        <v>6.8750000000000006E-2</v>
      </c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</row>
    <row r="216" spans="1:37" ht="15">
      <c r="A216" s="181"/>
      <c r="B216" s="257" t="s">
        <v>261</v>
      </c>
      <c r="C216" s="265"/>
      <c r="D216" s="263"/>
      <c r="E216" s="263"/>
      <c r="F216" s="263"/>
      <c r="G216" s="263"/>
      <c r="H216" s="263"/>
      <c r="I216" s="263"/>
      <c r="J216" s="263"/>
      <c r="K216" s="263"/>
      <c r="L216" s="263"/>
      <c r="M216" s="263"/>
      <c r="N216" s="263"/>
      <c r="O216" s="263"/>
      <c r="P216" s="266">
        <f>AD206*AD205/P213</f>
        <v>6.0526315789473678E-2</v>
      </c>
      <c r="Q216" s="266">
        <f t="shared" ref="Q216:R216" si="130">AE206*AE205/Q213</f>
        <v>6.0526315789473678E-2</v>
      </c>
      <c r="R216" s="266">
        <f t="shared" si="130"/>
        <v>6.0526315789473678E-2</v>
      </c>
      <c r="S216" s="266">
        <f>AG206*AG205/S213</f>
        <v>5.4761904761904755E-2</v>
      </c>
      <c r="T216" s="266">
        <f>AH206*AH205/T213</f>
        <v>0.05</v>
      </c>
      <c r="U216" s="266">
        <f>AI206*AI205/U213</f>
        <v>5.2272727272727269E-2</v>
      </c>
      <c r="V216" s="266">
        <f>AJ206*AJ205/V213</f>
        <v>0.203125</v>
      </c>
      <c r="W216" s="209"/>
      <c r="X216" s="209"/>
      <c r="Y216" s="209"/>
      <c r="Z216" s="209"/>
      <c r="AA216" s="209"/>
      <c r="AB216" s="209"/>
      <c r="AC216" s="209"/>
      <c r="AD216" s="209"/>
      <c r="AE216" s="209"/>
      <c r="AF216" s="209"/>
      <c r="AG216" s="209"/>
      <c r="AH216" s="209"/>
      <c r="AI216" s="209"/>
      <c r="AJ216" s="209"/>
    </row>
    <row r="217" spans="1:37" ht="15">
      <c r="A217" s="181"/>
      <c r="B217" s="258" t="s">
        <v>262</v>
      </c>
      <c r="C217" s="267"/>
      <c r="D217" s="263"/>
      <c r="E217" s="263"/>
      <c r="F217" s="263"/>
      <c r="G217" s="263"/>
      <c r="H217" s="263"/>
      <c r="I217" s="263"/>
      <c r="J217" s="263"/>
      <c r="K217" s="263"/>
      <c r="L217" s="263"/>
      <c r="M217" s="263"/>
      <c r="N217" s="263"/>
      <c r="O217" s="263"/>
      <c r="P217" s="268">
        <f>(P207*P$205+Q207*Q$205+R207*R$205+S207*S$205+T207*T$205+U207*U$205+V207*V$205+W207*W$205+X207*X$205+Y207*Y$205+Z207*Z$205+AA207*AA$205+AB207*AB$205+AC207*AC$205+AD207*AD$205+AE207*AE$205+AF207*AF$205+AG207*AG$205+AH207*AH$205+AI207*AI$205+AJ207*AJ$205)/$C$205</f>
        <v>10565.669596018735</v>
      </c>
      <c r="Q217" s="268">
        <f>+P217</f>
        <v>10565.669596018735</v>
      </c>
      <c r="R217" s="268">
        <f>+Q217</f>
        <v>10565.669596018735</v>
      </c>
      <c r="S217" s="268">
        <f t="shared" ref="S217:V217" si="131">+R217</f>
        <v>10565.669596018735</v>
      </c>
      <c r="T217" s="268">
        <f t="shared" si="131"/>
        <v>10565.669596018735</v>
      </c>
      <c r="U217" s="268">
        <f t="shared" si="131"/>
        <v>10565.669596018735</v>
      </c>
      <c r="V217" s="268">
        <f t="shared" si="131"/>
        <v>10565.669596018735</v>
      </c>
    </row>
    <row r="218" spans="1:37" ht="15">
      <c r="A218" s="181"/>
      <c r="B218" s="258" t="s">
        <v>263</v>
      </c>
      <c r="C218" s="262"/>
      <c r="D218" s="263"/>
      <c r="E218" s="263"/>
      <c r="F218" s="263"/>
      <c r="G218" s="263"/>
      <c r="H218" s="263"/>
      <c r="I218" s="263"/>
      <c r="J218" s="263"/>
      <c r="K218" s="263"/>
      <c r="L218" s="263"/>
      <c r="M218" s="263"/>
      <c r="N218" s="263"/>
      <c r="O218" s="263"/>
      <c r="P218" s="268">
        <f>(P208*P$205+Q208*Q$205+R208*R$205+S208*S$205+T208*T$205+U208*U$205+V208*V$205+W208*W$205+X208*X$205+Y208*Y$205+Z208*Z$205+AA208*AA$205+AB208*AB$205+AC208*AC$205+AD208*AD$205+AE208*AE$205+AF208*AF$205+AG208*AG$205+AH208*AH$205+AI208*AI$205+AJ208*AJ$205)/$C$205</f>
        <v>4675.0509962067517</v>
      </c>
      <c r="Q218" s="268">
        <f>+P218</f>
        <v>4675.0509962067517</v>
      </c>
      <c r="R218" s="268">
        <f t="shared" ref="R218:V218" si="132">+Q218</f>
        <v>4675.0509962067517</v>
      </c>
      <c r="S218" s="268">
        <f t="shared" si="132"/>
        <v>4675.0509962067517</v>
      </c>
      <c r="T218" s="268">
        <f t="shared" si="132"/>
        <v>4675.0509962067517</v>
      </c>
      <c r="U218" s="268">
        <f t="shared" si="132"/>
        <v>4675.0509962067517</v>
      </c>
      <c r="V218" s="268">
        <f t="shared" si="132"/>
        <v>4675.0509962067517</v>
      </c>
    </row>
    <row r="219" spans="1:37" ht="15">
      <c r="A219" s="182"/>
      <c r="B219" s="270" t="s">
        <v>369</v>
      </c>
      <c r="C219" s="271">
        <f>SUM(P219:V219)</f>
        <v>338101.42707259953</v>
      </c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269">
        <f>+P$217*(P214+P215+P216)*P213</f>
        <v>18489.921793032787</v>
      </c>
      <c r="Q219" s="269">
        <f t="shared" ref="Q219:V219" si="133">+Q$213*(Q214+Q215+Q216)*Q217</f>
        <v>18489.921793032787</v>
      </c>
      <c r="R219" s="269">
        <f t="shared" si="133"/>
        <v>18489.921793032787</v>
      </c>
      <c r="S219" s="269">
        <f t="shared" si="133"/>
        <v>27470.740949648713</v>
      </c>
      <c r="T219" s="269">
        <f t="shared" si="133"/>
        <v>13207.086995023421</v>
      </c>
      <c r="U219" s="269">
        <f t="shared" si="133"/>
        <v>22716.18963144028</v>
      </c>
      <c r="V219" s="269">
        <f t="shared" si="133"/>
        <v>219237.64411738876</v>
      </c>
    </row>
    <row r="220" spans="1:37">
      <c r="B220" s="270" t="s">
        <v>370</v>
      </c>
      <c r="C220" s="271">
        <f>SUM(P220:V220)</f>
        <v>149601.63187861606</v>
      </c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269">
        <f>+P218*(P214+P215+P216)*P213</f>
        <v>8181.3392433618146</v>
      </c>
      <c r="Q220" s="269">
        <f t="shared" ref="Q220:V220" si="134">+Q218*(Q214+Q215+Q216)*Q213</f>
        <v>8181.3392433618146</v>
      </c>
      <c r="R220" s="269">
        <f t="shared" si="134"/>
        <v>8181.3392433618146</v>
      </c>
      <c r="S220" s="269">
        <f t="shared" si="134"/>
        <v>12155.132590137555</v>
      </c>
      <c r="T220" s="269">
        <f t="shared" si="134"/>
        <v>5843.8137452584406</v>
      </c>
      <c r="U220" s="269">
        <f t="shared" si="134"/>
        <v>10051.359641844516</v>
      </c>
      <c r="V220" s="269">
        <f t="shared" si="134"/>
        <v>97007.308171290104</v>
      </c>
    </row>
    <row r="221" spans="1:37">
      <c r="B221" s="204" t="s">
        <v>270</v>
      </c>
      <c r="C221" s="271">
        <f>SUM(C219:C220)</f>
        <v>487703.05895121559</v>
      </c>
    </row>
    <row r="223" spans="1:37">
      <c r="Q223" s="143"/>
      <c r="R223" s="143"/>
      <c r="S223" s="143"/>
    </row>
    <row r="224" spans="1:37">
      <c r="Q224" s="143"/>
      <c r="R224" s="143"/>
      <c r="S224" s="143"/>
      <c r="T224" s="152"/>
    </row>
    <row r="225" spans="17:19">
      <c r="Q225" s="143"/>
      <c r="R225" s="143"/>
      <c r="S225" s="143"/>
    </row>
    <row r="226" spans="17:19">
      <c r="Q226" s="143"/>
      <c r="R226" s="143"/>
      <c r="S226" s="143"/>
    </row>
    <row r="227" spans="17:19">
      <c r="Q227" s="143"/>
      <c r="R227" s="143"/>
      <c r="S227" s="143"/>
    </row>
    <row r="228" spans="17:19">
      <c r="Q228" s="143"/>
      <c r="R228" s="143"/>
      <c r="S228" s="143"/>
    </row>
  </sheetData>
  <mergeCells count="37">
    <mergeCell ref="P176:V176"/>
    <mergeCell ref="W176:AC176"/>
    <mergeCell ref="AD176:AJ176"/>
    <mergeCell ref="P154:V154"/>
    <mergeCell ref="W154:AC154"/>
    <mergeCell ref="AD154:AJ154"/>
    <mergeCell ref="P173:V173"/>
    <mergeCell ref="W173:AC173"/>
    <mergeCell ref="AD173:AJ173"/>
    <mergeCell ref="B51:B52"/>
    <mergeCell ref="C51:C52"/>
    <mergeCell ref="B127:B128"/>
    <mergeCell ref="C127:C128"/>
    <mergeCell ref="P2:V2"/>
    <mergeCell ref="D2:O2"/>
    <mergeCell ref="D51:O51"/>
    <mergeCell ref="D127:O127"/>
    <mergeCell ref="C2:C3"/>
    <mergeCell ref="B2:B3"/>
    <mergeCell ref="P55:V55"/>
    <mergeCell ref="P78:V78"/>
    <mergeCell ref="P211:V211"/>
    <mergeCell ref="W2:AC2"/>
    <mergeCell ref="AD2:AJ2"/>
    <mergeCell ref="P102:V102"/>
    <mergeCell ref="W102:AC102"/>
    <mergeCell ref="AD102:AJ102"/>
    <mergeCell ref="P99:V99"/>
    <mergeCell ref="W99:AC99"/>
    <mergeCell ref="AD99:AJ99"/>
    <mergeCell ref="W55:AC55"/>
    <mergeCell ref="AD55:AJ55"/>
    <mergeCell ref="W78:AC78"/>
    <mergeCell ref="AD78:AJ78"/>
    <mergeCell ref="P131:V131"/>
    <mergeCell ref="W131:AC131"/>
    <mergeCell ref="AD131:AJ131"/>
  </mergeCells>
  <pageMargins left="0.70866141732283472" right="0.70866141732283472" top="0.74803149606299213" bottom="0.74803149606299213" header="0.31496062992125984" footer="0.31496062992125984"/>
  <pageSetup scale="48" fitToHeight="4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4"/>
  <sheetViews>
    <sheetView topLeftCell="A14" zoomScale="110" zoomScaleNormal="110" workbookViewId="0">
      <selection activeCell="E35" sqref="E35"/>
    </sheetView>
  </sheetViews>
  <sheetFormatPr baseColWidth="10" defaultColWidth="9.140625" defaultRowHeight="15"/>
  <cols>
    <col min="1" max="1" width="28.85546875" style="305" customWidth="1"/>
    <col min="2" max="2" width="15.7109375" style="305" customWidth="1"/>
    <col min="3" max="3" width="16.28515625" style="305" customWidth="1"/>
    <col min="4" max="4" width="17.140625" style="305" customWidth="1"/>
    <col min="5" max="6" width="15" style="305" customWidth="1"/>
    <col min="7" max="7" width="16.7109375" style="305" customWidth="1"/>
    <col min="8" max="16384" width="9.140625" style="305"/>
  </cols>
  <sheetData>
    <row r="1" spans="1:10" ht="30" customHeight="1">
      <c r="A1" s="419" t="s">
        <v>488</v>
      </c>
      <c r="B1" s="420"/>
      <c r="C1" s="420"/>
      <c r="D1" s="420"/>
      <c r="E1" s="420"/>
      <c r="F1" s="420"/>
      <c r="G1" s="420"/>
    </row>
    <row r="3" spans="1:10">
      <c r="J3" s="313"/>
    </row>
    <row r="4" spans="1:10" ht="15" customHeight="1">
      <c r="A4" s="421" t="s">
        <v>478</v>
      </c>
      <c r="B4" s="422"/>
      <c r="C4" s="423"/>
      <c r="D4" s="424" t="s">
        <v>489</v>
      </c>
      <c r="F4" s="424" t="s">
        <v>490</v>
      </c>
      <c r="G4" s="424"/>
      <c r="J4" s="313"/>
    </row>
    <row r="5" spans="1:10" ht="15" customHeight="1">
      <c r="A5" s="425" t="s">
        <v>479</v>
      </c>
      <c r="B5" s="421" t="s">
        <v>480</v>
      </c>
      <c r="C5" s="423"/>
      <c r="D5" s="424"/>
      <c r="F5" s="424"/>
      <c r="G5" s="424"/>
    </row>
    <row r="6" spans="1:10">
      <c r="A6" s="426"/>
      <c r="B6" s="307" t="s">
        <v>481</v>
      </c>
      <c r="C6" s="308" t="s">
        <v>482</v>
      </c>
      <c r="D6" s="424"/>
      <c r="F6" s="424"/>
      <c r="G6" s="424"/>
      <c r="J6" s="314"/>
    </row>
    <row r="7" spans="1:10">
      <c r="A7" s="427">
        <f>B34/G34</f>
        <v>0.23801423322100876</v>
      </c>
      <c r="B7" s="429">
        <f>(C34+E34)/G34</f>
        <v>0.76198576677899121</v>
      </c>
      <c r="C7" s="429">
        <f>(D34+F34)/G34</f>
        <v>0</v>
      </c>
      <c r="D7" s="430" t="str">
        <f>IF(A7&gt;50%,"No Cumple","Cumple")</f>
        <v>Cumple</v>
      </c>
      <c r="F7" s="431">
        <f>C7/A7</f>
        <v>0</v>
      </c>
      <c r="G7" s="417" t="str">
        <f>IF(F7&gt;40%,"No cumple","Cumple")</f>
        <v>Cumple</v>
      </c>
      <c r="I7" s="315"/>
    </row>
    <row r="8" spans="1:10">
      <c r="A8" s="428"/>
      <c r="B8" s="429"/>
      <c r="C8" s="429"/>
      <c r="D8" s="430"/>
      <c r="F8" s="432"/>
      <c r="G8" s="418"/>
    </row>
    <row r="9" spans="1:10">
      <c r="A9" s="306"/>
      <c r="B9" s="306"/>
      <c r="C9" s="306"/>
      <c r="D9" s="306"/>
    </row>
    <row r="10" spans="1:10">
      <c r="A10" s="306"/>
      <c r="B10" s="306"/>
      <c r="C10" s="306"/>
      <c r="D10" s="306"/>
      <c r="E10" s="306"/>
      <c r="F10" s="306"/>
      <c r="G10" s="306"/>
    </row>
    <row r="11" spans="1:10" ht="15" customHeight="1">
      <c r="A11" s="433" t="s">
        <v>477</v>
      </c>
      <c r="B11" s="424" t="s">
        <v>483</v>
      </c>
      <c r="C11" s="433" t="s">
        <v>484</v>
      </c>
      <c r="D11" s="433"/>
      <c r="E11" s="433"/>
      <c r="F11" s="433"/>
      <c r="G11" s="433" t="s">
        <v>485</v>
      </c>
    </row>
    <row r="12" spans="1:10">
      <c r="A12" s="433"/>
      <c r="B12" s="424"/>
      <c r="C12" s="433" t="s">
        <v>486</v>
      </c>
      <c r="D12" s="433"/>
      <c r="E12" s="433" t="s">
        <v>487</v>
      </c>
      <c r="F12" s="433"/>
      <c r="G12" s="433"/>
    </row>
    <row r="13" spans="1:10">
      <c r="A13" s="433"/>
      <c r="B13" s="424"/>
      <c r="C13" s="308" t="s">
        <v>481</v>
      </c>
      <c r="D13" s="308" t="s">
        <v>482</v>
      </c>
      <c r="E13" s="308" t="s">
        <v>481</v>
      </c>
      <c r="F13" s="308" t="s">
        <v>482</v>
      </c>
      <c r="G13" s="433"/>
    </row>
    <row r="14" spans="1:10">
      <c r="A14" s="309" t="str">
        <f>+'PRESUPUESTO ANUAL BASE'!B9</f>
        <v xml:space="preserve">Gerente de la Red </v>
      </c>
      <c r="B14" s="310">
        <f>+'PRESUPUESTO ANUAL BASE'!C9</f>
        <v>14400</v>
      </c>
      <c r="C14" s="310"/>
      <c r="D14" s="310"/>
      <c r="E14" s="310"/>
      <c r="F14" s="310"/>
      <c r="G14" s="311">
        <f>SUM(B14:F14)</f>
        <v>14400</v>
      </c>
    </row>
    <row r="15" spans="1:10">
      <c r="A15" s="309" t="str">
        <f>+'PRESUPUESTO ANUAL BASE'!B23</f>
        <v>Transporte gestion red</v>
      </c>
      <c r="B15" s="310">
        <f>+'PRESUPUESTO ANUAL BASE'!C23</f>
        <v>7200</v>
      </c>
      <c r="C15" s="310"/>
      <c r="D15" s="310"/>
      <c r="E15" s="310"/>
      <c r="F15" s="310"/>
      <c r="G15" s="311">
        <f t="shared" ref="G15:G21" si="0">SUM(B15:F15)</f>
        <v>7200</v>
      </c>
    </row>
    <row r="16" spans="1:10">
      <c r="A16" s="309" t="str">
        <f>+'PRESUPUESTO ANUAL BASE'!B24</f>
        <v>Viaticos gestión red</v>
      </c>
      <c r="B16" s="310">
        <f>+'PRESUPUESTO ANUAL BASE'!C24</f>
        <v>2400</v>
      </c>
      <c r="C16" s="310"/>
      <c r="D16" s="310"/>
      <c r="E16" s="310"/>
      <c r="F16" s="310"/>
      <c r="G16" s="311">
        <f t="shared" si="0"/>
        <v>2400</v>
      </c>
    </row>
    <row r="17" spans="1:7">
      <c r="A17" s="309" t="str">
        <f>+'PRESUPUESTO ANUAL BASE'!B55</f>
        <v xml:space="preserve">Stock inicial tecnologias renovables red rural </v>
      </c>
      <c r="B17" s="310">
        <f>+'PRESUPUESTO ANUAL BASE'!C55+'PRESUPUESTO ANUAL BASE'!C131</f>
        <v>180000</v>
      </c>
      <c r="C17" s="310"/>
      <c r="D17" s="310"/>
      <c r="E17" s="310"/>
      <c r="F17" s="310"/>
      <c r="G17" s="311">
        <f t="shared" si="0"/>
        <v>180000</v>
      </c>
    </row>
    <row r="18" spans="1:7">
      <c r="A18" s="309" t="str">
        <f>+'PRESUPUESTO ANUAL BASE'!B99</f>
        <v>Soporte publicitario red de ventas</v>
      </c>
      <c r="B18" s="310">
        <f>('PRESUPUESTO ANUAL BASE'!C99+'PRESUPUESTO ANUAL BASE'!C173)*70%</f>
        <v>8400</v>
      </c>
      <c r="C18" s="310">
        <f>('PRESUPUESTO ANUAL BASE'!C99+'PRESUPUESTO ANUAL BASE'!C173)*30%</f>
        <v>3600</v>
      </c>
      <c r="D18" s="310"/>
      <c r="E18" s="310"/>
      <c r="F18" s="310"/>
      <c r="G18" s="311">
        <f t="shared" si="0"/>
        <v>12000</v>
      </c>
    </row>
    <row r="19" spans="1:7">
      <c r="A19" s="309" t="str">
        <f>+'PRESUPUESTO ANUAL BASE'!B100</f>
        <v>Capacitación red de ventas</v>
      </c>
      <c r="B19" s="310">
        <f>('PRESUPUESTO ANUAL BASE'!C100+'PRESUPUESTO ANUAL BASE'!C174)</f>
        <v>12000</v>
      </c>
      <c r="C19" s="310"/>
      <c r="D19" s="310"/>
      <c r="E19" s="310"/>
      <c r="F19" s="310"/>
      <c r="G19" s="311">
        <f t="shared" si="0"/>
        <v>12000</v>
      </c>
    </row>
    <row r="20" spans="1:7">
      <c r="A20" s="309" t="str">
        <f>+'PRESUPUESTO ANUAL BASE'!B101</f>
        <v>Transporte promocion ventas red</v>
      </c>
      <c r="B20" s="310">
        <f>('PRESUPUESTO ANUAL BASE'!C101+'PRESUPUESTO ANUAL BASE'!C175)*65%</f>
        <v>10140</v>
      </c>
      <c r="C20" s="310">
        <f>('PRESUPUESTO ANUAL BASE'!C101+'PRESUPUESTO ANUAL BASE'!C175)*35%</f>
        <v>5460</v>
      </c>
      <c r="D20" s="310"/>
      <c r="E20" s="310"/>
      <c r="F20" s="310"/>
      <c r="G20" s="311">
        <f t="shared" si="0"/>
        <v>15600</v>
      </c>
    </row>
    <row r="21" spans="1:7">
      <c r="A21" s="309" t="str">
        <f>+'PRESUPUESTO ANUAL BASE'!B102</f>
        <v>Viaticos promocion ventas red</v>
      </c>
      <c r="B21" s="310">
        <f>('PRESUPUESTO ANUAL BASE'!C102+'PRESUPUESTO ANUAL BASE'!C176)*65%</f>
        <v>5460</v>
      </c>
      <c r="C21" s="310">
        <f>('PRESUPUESTO ANUAL BASE'!C102+'PRESUPUESTO ANUAL BASE'!C176)*35%</f>
        <v>2940</v>
      </c>
      <c r="D21" s="310"/>
      <c r="E21" s="310"/>
      <c r="F21" s="310"/>
      <c r="G21" s="311">
        <f t="shared" si="0"/>
        <v>8400</v>
      </c>
    </row>
    <row r="22" spans="1:7">
      <c r="A22" s="309" t="s">
        <v>501</v>
      </c>
      <c r="B22" s="310"/>
      <c r="C22" s="310">
        <f>+'PRESUPUESTO ANUAL BASE'!C5-'PRESUPUESTO ANUAL BASE'!C9</f>
        <v>124456.33991301438</v>
      </c>
      <c r="D22" s="310"/>
      <c r="E22" s="310"/>
      <c r="F22" s="310"/>
      <c r="G22" s="311">
        <f t="shared" ref="G22:G33" si="1">SUM(C22:F22)</f>
        <v>124456.33991301438</v>
      </c>
    </row>
    <row r="23" spans="1:7">
      <c r="A23" s="309" t="s">
        <v>502</v>
      </c>
      <c r="B23" s="310"/>
      <c r="C23" s="310">
        <f>+'PRESUPUESTO ANUAL BASE'!C11</f>
        <v>56964.220586595286</v>
      </c>
      <c r="D23" s="310"/>
      <c r="E23" s="310"/>
      <c r="F23" s="310"/>
      <c r="G23" s="311">
        <f t="shared" si="1"/>
        <v>56964.220586595286</v>
      </c>
    </row>
    <row r="24" spans="1:7">
      <c r="A24" s="309" t="s">
        <v>503</v>
      </c>
      <c r="B24" s="310"/>
      <c r="C24" s="310">
        <f>+'PRESUPUESTO ANUAL BASE'!C40+'PRESUPUESTO ANUAL BASE'!C21</f>
        <v>52220</v>
      </c>
      <c r="D24" s="310"/>
      <c r="E24" s="310"/>
      <c r="F24" s="310"/>
      <c r="G24" s="311">
        <f t="shared" si="1"/>
        <v>52220</v>
      </c>
    </row>
    <row r="25" spans="1:7">
      <c r="A25" s="309" t="s">
        <v>504</v>
      </c>
      <c r="B25" s="310"/>
      <c r="C25" s="310">
        <f>+'PRESUPUESTO ANUAL BASE'!C58+'PRESUPUESTO ANUAL BASE'!C134</f>
        <v>108968.79601204416</v>
      </c>
      <c r="D25" s="310"/>
      <c r="E25" s="310"/>
      <c r="F25" s="310"/>
      <c r="G25" s="311">
        <f t="shared" si="1"/>
        <v>108968.79601204416</v>
      </c>
    </row>
    <row r="26" spans="1:7">
      <c r="A26" s="309" t="s">
        <v>507</v>
      </c>
      <c r="B26" s="310"/>
      <c r="C26" s="310">
        <f>+'PRESUPUESTO ANUAL BASE'!C88+'PRESUPUESTO ANUAL BASE'!C162</f>
        <v>32160</v>
      </c>
      <c r="D26" s="310"/>
      <c r="E26" s="310"/>
      <c r="F26" s="310"/>
      <c r="G26" s="311">
        <f t="shared" si="1"/>
        <v>32160</v>
      </c>
    </row>
    <row r="27" spans="1:7">
      <c r="A27" s="309" t="s">
        <v>505</v>
      </c>
      <c r="B27" s="310"/>
      <c r="C27" s="310">
        <f>+'PRESUPUESTO ANUAL BASE'!C105+'PRESUPUESTO ANUAL BASE'!C179</f>
        <v>58116.291147540978</v>
      </c>
      <c r="D27" s="310"/>
      <c r="E27" s="310"/>
      <c r="F27" s="310"/>
      <c r="G27" s="311">
        <f t="shared" si="1"/>
        <v>58116.291147540978</v>
      </c>
    </row>
    <row r="28" spans="1:7">
      <c r="A28" s="309" t="s">
        <v>506</v>
      </c>
      <c r="B28" s="310"/>
      <c r="C28" s="310">
        <f>+'PRESUPUESTO ANUAL BASE'!C67+'PRESUPUESTO ANUAL BASE'!C91+'PRESUPUESTO ANUAL BASE'!C110+'PRESUPUESTO ANUAL BASE'!C142+'PRESUPUESTO ANUAL BASE'!C165+'PRESUPUESTO ANUAL BASE'!C184</f>
        <v>92637.411292020755</v>
      </c>
      <c r="D28" s="310"/>
      <c r="E28" s="310"/>
      <c r="F28" s="310"/>
      <c r="G28" s="311">
        <f t="shared" si="1"/>
        <v>92637.411292020755</v>
      </c>
    </row>
    <row r="29" spans="1:7">
      <c r="A29" s="309" t="s">
        <v>508</v>
      </c>
      <c r="B29" s="310"/>
      <c r="C29" s="310">
        <f>+'PRESUPUESTO ANUAL BASE'!C73+'PRESUPUESTO ANUAL BASE'!C82+'PRESUPUESTO ANUAL BASE'!C148+'PRESUPUESTO ANUAL BASE'!C156</f>
        <v>156960</v>
      </c>
      <c r="D29" s="310"/>
      <c r="E29" s="310"/>
      <c r="F29" s="310"/>
      <c r="G29" s="311">
        <f t="shared" si="1"/>
        <v>156960</v>
      </c>
    </row>
    <row r="30" spans="1:7">
      <c r="A30" s="309" t="s">
        <v>509</v>
      </c>
      <c r="B30" s="310"/>
      <c r="C30" s="310">
        <f>+'PRESUPUESTO ANUAL BASE'!C98+'PRESUPUESTO ANUAL BASE'!C172</f>
        <v>2850</v>
      </c>
      <c r="D30" s="310"/>
      <c r="E30" s="310"/>
      <c r="F30" s="310"/>
      <c r="G30" s="311">
        <f t="shared" si="1"/>
        <v>2850</v>
      </c>
    </row>
    <row r="31" spans="1:7">
      <c r="A31" s="309" t="s">
        <v>510</v>
      </c>
      <c r="B31" s="310"/>
      <c r="C31" s="310">
        <f>+'PRESUPUESTO ANUAL BASE'!C116+'PRESUPUESTO ANUAL BASE'!C190</f>
        <v>23110</v>
      </c>
      <c r="D31" s="310"/>
      <c r="E31" s="310"/>
      <c r="F31" s="310"/>
      <c r="G31" s="311">
        <f t="shared" si="1"/>
        <v>23110</v>
      </c>
    </row>
    <row r="32" spans="1:7">
      <c r="A32" s="309" t="s">
        <v>515</v>
      </c>
      <c r="B32" s="310"/>
      <c r="C32" s="310">
        <f>+'PRESUPUESTO ANUAL BASE'!C46</f>
        <v>1900</v>
      </c>
      <c r="D32" s="310"/>
      <c r="E32" s="310"/>
      <c r="F32" s="310"/>
      <c r="G32" s="311">
        <f t="shared" si="1"/>
        <v>1900</v>
      </c>
    </row>
    <row r="33" spans="1:7">
      <c r="A33" s="309" t="s">
        <v>514</v>
      </c>
      <c r="B33" s="310"/>
      <c r="C33" s="310">
        <f>+'PRESUPUESTO ANUAL BASE'!C130+'PRESUPUESTO ANUAL BASE'!C54</f>
        <v>46000</v>
      </c>
      <c r="D33" s="310">
        <v>0</v>
      </c>
      <c r="E33" s="310"/>
      <c r="F33" s="310"/>
      <c r="G33" s="311">
        <f t="shared" si="1"/>
        <v>46000</v>
      </c>
    </row>
    <row r="34" spans="1:7">
      <c r="A34" s="316" t="s">
        <v>491</v>
      </c>
      <c r="B34" s="312">
        <f t="shared" ref="B34:F34" si="2">SUM(B14:B33)</f>
        <v>240000</v>
      </c>
      <c r="C34" s="312">
        <f>SUM(C14:C33)</f>
        <v>768343.05895121559</v>
      </c>
      <c r="D34" s="312">
        <f t="shared" si="2"/>
        <v>0</v>
      </c>
      <c r="E34" s="312">
        <f t="shared" si="2"/>
        <v>0</v>
      </c>
      <c r="F34" s="312">
        <f t="shared" si="2"/>
        <v>0</v>
      </c>
      <c r="G34" s="312">
        <f>SUM(G14:G33)</f>
        <v>1008343.0589512156</v>
      </c>
    </row>
  </sheetData>
  <sheetProtection password="CC79" sheet="1" objects="1" scenarios="1"/>
  <mergeCells count="18">
    <mergeCell ref="A11:A13"/>
    <mergeCell ref="B11:B13"/>
    <mergeCell ref="C11:F11"/>
    <mergeCell ref="G11:G13"/>
    <mergeCell ref="C12:D12"/>
    <mergeCell ref="E12:F12"/>
    <mergeCell ref="G7:G8"/>
    <mergeCell ref="A1:G1"/>
    <mergeCell ref="A4:C4"/>
    <mergeCell ref="D4:D6"/>
    <mergeCell ref="F4:G6"/>
    <mergeCell ref="A5:A6"/>
    <mergeCell ref="B5:C5"/>
    <mergeCell ref="A7:A8"/>
    <mergeCell ref="B7:B8"/>
    <mergeCell ref="C7:C8"/>
    <mergeCell ref="D7:D8"/>
    <mergeCell ref="F7:F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5" sqref="G25"/>
    </sheetView>
  </sheetViews>
  <sheetFormatPr baseColWidth="10" defaultRowHeight="12.75"/>
  <cols>
    <col min="1" max="1" width="40.85546875" bestFit="1" customWidth="1"/>
    <col min="2" max="2" width="11.42578125" bestFit="1" customWidth="1"/>
    <col min="3" max="3" width="12.28515625" bestFit="1" customWidth="1"/>
    <col min="4" max="4" width="11.28515625" bestFit="1" customWidth="1"/>
    <col min="5" max="5" width="13" bestFit="1" customWidth="1"/>
    <col min="6" max="6" width="8.42578125" customWidth="1"/>
    <col min="7" max="7" width="12.140625" bestFit="1" customWidth="1"/>
  </cols>
  <sheetData>
    <row r="1" spans="1:7">
      <c r="A1" s="303" t="s">
        <v>546</v>
      </c>
    </row>
    <row r="3" spans="1:7" ht="25.5">
      <c r="A3" s="363" t="s">
        <v>541</v>
      </c>
      <c r="B3" s="363" t="s">
        <v>76</v>
      </c>
      <c r="C3" s="363" t="s">
        <v>51</v>
      </c>
      <c r="D3" s="363" t="s">
        <v>547</v>
      </c>
      <c r="E3" s="363" t="s">
        <v>545</v>
      </c>
      <c r="F3" s="363" t="s">
        <v>544</v>
      </c>
      <c r="G3" s="363" t="s">
        <v>549</v>
      </c>
    </row>
    <row r="4" spans="1:7">
      <c r="A4" s="364" t="s">
        <v>463</v>
      </c>
      <c r="B4" s="365"/>
      <c r="C4" s="365"/>
      <c r="D4" s="365"/>
      <c r="E4" s="366"/>
      <c r="F4" s="366"/>
      <c r="G4" s="366"/>
    </row>
    <row r="5" spans="1:7">
      <c r="A5" s="366" t="s">
        <v>462</v>
      </c>
      <c r="B5" s="369">
        <v>173000</v>
      </c>
      <c r="C5" s="369">
        <v>162500</v>
      </c>
      <c r="D5" s="369">
        <f>+B5+C5</f>
        <v>335500</v>
      </c>
      <c r="E5" s="367">
        <v>20</v>
      </c>
      <c r="F5" s="367">
        <v>2</v>
      </c>
      <c r="G5" s="369">
        <f>+D5/E5*(E5-F5)</f>
        <v>301950</v>
      </c>
    </row>
    <row r="6" spans="1:7">
      <c r="A6" s="368" t="s">
        <v>464</v>
      </c>
      <c r="B6" s="369"/>
      <c r="C6" s="369"/>
      <c r="D6" s="369">
        <f t="shared" ref="D6:D14" si="0">+B6+C6</f>
        <v>0</v>
      </c>
      <c r="E6" s="367"/>
      <c r="F6" s="367"/>
      <c r="G6" s="369"/>
    </row>
    <row r="7" spans="1:7">
      <c r="A7" s="366" t="s">
        <v>465</v>
      </c>
      <c r="B7" s="369">
        <v>8200</v>
      </c>
      <c r="C7" s="369">
        <v>7500</v>
      </c>
      <c r="D7" s="369">
        <f t="shared" si="0"/>
        <v>15700</v>
      </c>
      <c r="E7" s="367">
        <v>5</v>
      </c>
      <c r="F7" s="367">
        <v>2</v>
      </c>
      <c r="G7" s="369">
        <f t="shared" ref="G7:G13" si="1">+D7/E7*(E7-F7)</f>
        <v>9420</v>
      </c>
    </row>
    <row r="8" spans="1:7">
      <c r="A8" s="366" t="s">
        <v>466</v>
      </c>
      <c r="B8" s="369">
        <v>8500</v>
      </c>
      <c r="C8" s="369">
        <v>12500</v>
      </c>
      <c r="D8" s="369">
        <f t="shared" si="0"/>
        <v>21000</v>
      </c>
      <c r="E8" s="367">
        <v>5</v>
      </c>
      <c r="F8" s="367">
        <v>2</v>
      </c>
      <c r="G8" s="369">
        <f t="shared" si="1"/>
        <v>12600</v>
      </c>
    </row>
    <row r="9" spans="1:7">
      <c r="A9" s="366" t="s">
        <v>467</v>
      </c>
      <c r="B9" s="369">
        <v>10400</v>
      </c>
      <c r="C9" s="369">
        <v>10400</v>
      </c>
      <c r="D9" s="369">
        <f t="shared" si="0"/>
        <v>20800</v>
      </c>
      <c r="E9" s="367">
        <v>5</v>
      </c>
      <c r="F9" s="367">
        <v>2</v>
      </c>
      <c r="G9" s="369">
        <f t="shared" si="1"/>
        <v>12480</v>
      </c>
    </row>
    <row r="10" spans="1:7">
      <c r="A10" s="366" t="s">
        <v>468</v>
      </c>
      <c r="B10" s="369">
        <v>8300</v>
      </c>
      <c r="C10" s="369">
        <v>12300</v>
      </c>
      <c r="D10" s="369">
        <f t="shared" si="0"/>
        <v>20600</v>
      </c>
      <c r="E10" s="367">
        <v>5</v>
      </c>
      <c r="F10" s="367">
        <v>2</v>
      </c>
      <c r="G10" s="369">
        <f t="shared" si="1"/>
        <v>12360</v>
      </c>
    </row>
    <row r="11" spans="1:7">
      <c r="A11" s="366" t="s">
        <v>471</v>
      </c>
      <c r="B11" s="369">
        <v>8500</v>
      </c>
      <c r="C11" s="369">
        <v>8500</v>
      </c>
      <c r="D11" s="369">
        <f t="shared" si="0"/>
        <v>17000</v>
      </c>
      <c r="E11" s="367">
        <v>5</v>
      </c>
      <c r="F11" s="367">
        <v>2</v>
      </c>
      <c r="G11" s="369">
        <f t="shared" si="1"/>
        <v>10200</v>
      </c>
    </row>
    <row r="12" spans="1:7">
      <c r="A12" s="366" t="s">
        <v>469</v>
      </c>
      <c r="B12" s="369">
        <v>8700</v>
      </c>
      <c r="C12" s="369">
        <v>8700</v>
      </c>
      <c r="D12" s="369">
        <f t="shared" si="0"/>
        <v>17400</v>
      </c>
      <c r="E12" s="367">
        <v>8</v>
      </c>
      <c r="F12" s="367">
        <v>2</v>
      </c>
      <c r="G12" s="369">
        <f t="shared" si="1"/>
        <v>13050</v>
      </c>
    </row>
    <row r="13" spans="1:7">
      <c r="A13" s="366" t="s">
        <v>329</v>
      </c>
      <c r="B13" s="369">
        <v>99500</v>
      </c>
      <c r="C13" s="369">
        <v>99500</v>
      </c>
      <c r="D13" s="369">
        <f t="shared" si="0"/>
        <v>199000</v>
      </c>
      <c r="E13" s="367">
        <v>8</v>
      </c>
      <c r="F13" s="367">
        <v>2</v>
      </c>
      <c r="G13" s="369">
        <f t="shared" si="1"/>
        <v>149250</v>
      </c>
    </row>
    <row r="14" spans="1:7">
      <c r="A14" s="366" t="s">
        <v>550</v>
      </c>
      <c r="B14" s="369">
        <v>23000</v>
      </c>
      <c r="C14" s="369">
        <v>23000</v>
      </c>
      <c r="D14" s="369">
        <f t="shared" si="0"/>
        <v>46000</v>
      </c>
      <c r="E14" s="367">
        <v>8</v>
      </c>
      <c r="F14" s="367">
        <v>0</v>
      </c>
      <c r="G14" s="369">
        <f t="shared" ref="G14" si="2">+D14/E14*(E14-F14)</f>
        <v>46000</v>
      </c>
    </row>
    <row r="15" spans="1:7">
      <c r="A15" s="368" t="s">
        <v>548</v>
      </c>
      <c r="B15" s="370">
        <f t="shared" ref="B15:C15" si="3">SUM(B5:B14)</f>
        <v>348100</v>
      </c>
      <c r="C15" s="370">
        <f t="shared" si="3"/>
        <v>344900</v>
      </c>
      <c r="D15" s="370">
        <f>SUM(D5:D14)</f>
        <v>693000</v>
      </c>
      <c r="E15" s="367"/>
      <c r="F15" s="367"/>
      <c r="G15" s="370">
        <f>SUM(G5:G14)</f>
        <v>567310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O19"/>
  <sheetViews>
    <sheetView workbookViewId="0">
      <selection activeCell="G21" sqref="G21"/>
    </sheetView>
  </sheetViews>
  <sheetFormatPr baseColWidth="10" defaultRowHeight="12.75"/>
  <cols>
    <col min="1" max="1" width="41.42578125" customWidth="1"/>
    <col min="2" max="2" width="9.140625" customWidth="1"/>
    <col min="3" max="3" width="6.85546875" customWidth="1"/>
    <col min="4" max="4" width="5.42578125" bestFit="1" customWidth="1"/>
    <col min="5" max="6" width="6.5703125" bestFit="1" customWidth="1"/>
    <col min="7" max="7" width="6.140625" bestFit="1" customWidth="1"/>
    <col min="8" max="8" width="6.28515625" bestFit="1" customWidth="1"/>
    <col min="9" max="9" width="6" bestFit="1" customWidth="1"/>
    <col min="10" max="10" width="6.5703125" bestFit="1" customWidth="1"/>
    <col min="11" max="11" width="6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6" bestFit="1" customWidth="1"/>
  </cols>
  <sheetData>
    <row r="3" spans="1:15">
      <c r="A3" s="435" t="s">
        <v>552</v>
      </c>
      <c r="B3" s="434" t="s">
        <v>553</v>
      </c>
      <c r="C3" s="434"/>
      <c r="D3" s="434" t="s">
        <v>556</v>
      </c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</row>
    <row r="4" spans="1:15">
      <c r="A4" s="435"/>
      <c r="B4" s="365" t="s">
        <v>554</v>
      </c>
      <c r="C4" s="365" t="s">
        <v>555</v>
      </c>
      <c r="D4" s="376">
        <v>42186</v>
      </c>
      <c r="E4" s="376">
        <v>42217</v>
      </c>
      <c r="F4" s="376">
        <v>42248</v>
      </c>
      <c r="G4" s="376">
        <v>42278</v>
      </c>
      <c r="H4" s="376">
        <v>42309</v>
      </c>
      <c r="I4" s="376">
        <v>42339</v>
      </c>
      <c r="J4" s="376">
        <v>42370</v>
      </c>
      <c r="K4" s="376">
        <v>42401</v>
      </c>
      <c r="L4" s="376">
        <v>42430</v>
      </c>
      <c r="M4" s="376">
        <v>42461</v>
      </c>
      <c r="N4" s="376">
        <v>42491</v>
      </c>
      <c r="O4" s="376">
        <v>42522</v>
      </c>
    </row>
    <row r="5" spans="1:15">
      <c r="A5" s="366" t="s">
        <v>557</v>
      </c>
      <c r="B5" s="365" t="s">
        <v>558</v>
      </c>
      <c r="C5" s="377">
        <v>30</v>
      </c>
      <c r="D5" s="365" t="s">
        <v>559</v>
      </c>
      <c r="E5" s="365"/>
      <c r="F5" s="377"/>
      <c r="G5" s="377"/>
      <c r="H5" s="377"/>
      <c r="I5" s="377"/>
      <c r="J5" s="377"/>
      <c r="K5" s="377"/>
      <c r="L5" s="377"/>
      <c r="M5" s="377"/>
      <c r="N5" s="377"/>
      <c r="O5" s="377"/>
    </row>
    <row r="6" spans="1:15">
      <c r="A6" s="366" t="s">
        <v>560</v>
      </c>
      <c r="B6" s="365" t="s">
        <v>561</v>
      </c>
      <c r="C6" s="377">
        <v>30</v>
      </c>
      <c r="D6" s="365" t="s">
        <v>559</v>
      </c>
      <c r="E6" s="365" t="s">
        <v>559</v>
      </c>
      <c r="F6" s="377"/>
      <c r="G6" s="377"/>
      <c r="H6" s="377"/>
      <c r="I6" s="377"/>
      <c r="J6" s="377"/>
      <c r="K6" s="377"/>
      <c r="L6" s="377"/>
      <c r="M6" s="377"/>
      <c r="N6" s="377"/>
      <c r="O6" s="377"/>
    </row>
    <row r="7" spans="1:15">
      <c r="A7" s="366" t="s">
        <v>567</v>
      </c>
      <c r="B7" s="365" t="s">
        <v>580</v>
      </c>
      <c r="C7" s="377">
        <v>30</v>
      </c>
      <c r="D7" s="365" t="s">
        <v>559</v>
      </c>
      <c r="E7" s="365" t="s">
        <v>559</v>
      </c>
      <c r="F7" s="377"/>
      <c r="G7" s="377"/>
      <c r="H7" s="377"/>
      <c r="I7" s="377"/>
      <c r="J7" s="377"/>
      <c r="K7" s="377"/>
      <c r="L7" s="377"/>
      <c r="M7" s="377"/>
      <c r="N7" s="377"/>
      <c r="O7" s="377"/>
    </row>
    <row r="8" spans="1:15">
      <c r="A8" s="366" t="s">
        <v>569</v>
      </c>
      <c r="B8" s="365" t="s">
        <v>568</v>
      </c>
      <c r="C8" s="377">
        <v>60</v>
      </c>
      <c r="D8" s="377"/>
      <c r="E8" s="365" t="s">
        <v>559</v>
      </c>
      <c r="F8" s="365"/>
      <c r="G8" s="377"/>
      <c r="H8" s="377"/>
      <c r="I8" s="377"/>
      <c r="J8" s="377"/>
      <c r="K8" s="377"/>
      <c r="L8" s="377"/>
      <c r="M8" s="377"/>
      <c r="N8" s="377"/>
      <c r="O8" s="377"/>
    </row>
    <row r="9" spans="1:15">
      <c r="A9" s="366" t="s">
        <v>562</v>
      </c>
      <c r="B9" s="365" t="s">
        <v>570</v>
      </c>
      <c r="C9" s="377">
        <v>30</v>
      </c>
      <c r="D9" s="377"/>
      <c r="E9" s="365" t="s">
        <v>559</v>
      </c>
      <c r="F9" s="377"/>
      <c r="G9" s="377"/>
      <c r="H9" s="377"/>
      <c r="I9" s="377"/>
      <c r="J9" s="377"/>
      <c r="K9" s="377"/>
      <c r="L9" s="377"/>
      <c r="M9" s="377"/>
      <c r="N9" s="377"/>
      <c r="O9" s="377"/>
    </row>
    <row r="10" spans="1:15">
      <c r="A10" s="366" t="s">
        <v>579</v>
      </c>
      <c r="B10" s="365" t="s">
        <v>578</v>
      </c>
      <c r="C10" s="377">
        <v>30</v>
      </c>
      <c r="D10" s="377"/>
      <c r="E10" s="365" t="s">
        <v>559</v>
      </c>
      <c r="F10" s="377"/>
      <c r="G10" s="377"/>
      <c r="H10" s="377"/>
      <c r="I10" s="377"/>
      <c r="J10" s="377"/>
      <c r="K10" s="377"/>
      <c r="L10" s="377"/>
      <c r="M10" s="377"/>
      <c r="N10" s="377"/>
      <c r="O10" s="377"/>
    </row>
    <row r="11" spans="1:15">
      <c r="A11" s="366" t="s">
        <v>563</v>
      </c>
      <c r="B11" s="365" t="s">
        <v>571</v>
      </c>
      <c r="C11" s="378">
        <v>10000</v>
      </c>
      <c r="D11" s="365" t="s">
        <v>559</v>
      </c>
      <c r="E11" s="365" t="s">
        <v>559</v>
      </c>
      <c r="F11" s="377"/>
      <c r="G11" s="377"/>
      <c r="H11" s="377"/>
      <c r="I11" s="377"/>
      <c r="J11" s="377"/>
      <c r="K11" s="377"/>
      <c r="L11" s="377"/>
      <c r="M11" s="377"/>
      <c r="N11" s="377"/>
      <c r="O11" s="377"/>
    </row>
    <row r="12" spans="1:15">
      <c r="A12" s="366" t="s">
        <v>566</v>
      </c>
      <c r="B12" s="365" t="s">
        <v>572</v>
      </c>
      <c r="C12" s="377">
        <v>2</v>
      </c>
      <c r="D12" s="377"/>
      <c r="E12" s="365" t="s">
        <v>559</v>
      </c>
      <c r="F12" s="377"/>
      <c r="G12" s="377"/>
      <c r="H12" s="377"/>
      <c r="I12" s="377"/>
      <c r="J12" s="377"/>
      <c r="K12" s="377"/>
      <c r="L12" s="377"/>
      <c r="M12" s="377"/>
      <c r="N12" s="377"/>
      <c r="O12" s="377"/>
    </row>
    <row r="13" spans="1:15">
      <c r="A13" s="366" t="s">
        <v>573</v>
      </c>
      <c r="B13" s="365" t="s">
        <v>574</v>
      </c>
      <c r="C13" s="377">
        <v>100</v>
      </c>
      <c r="D13" s="377"/>
      <c r="E13" s="377"/>
      <c r="F13" s="365" t="s">
        <v>559</v>
      </c>
      <c r="G13" s="377"/>
      <c r="H13" s="365" t="s">
        <v>559</v>
      </c>
      <c r="I13" s="377"/>
      <c r="J13" s="365" t="s">
        <v>559</v>
      </c>
      <c r="K13" s="377"/>
      <c r="L13" s="365" t="s">
        <v>559</v>
      </c>
      <c r="M13" s="377"/>
      <c r="N13" s="365" t="s">
        <v>559</v>
      </c>
      <c r="O13" s="377"/>
    </row>
    <row r="14" spans="1:15">
      <c r="A14" s="366" t="s">
        <v>564</v>
      </c>
      <c r="B14" s="365" t="s">
        <v>575</v>
      </c>
      <c r="C14" s="377">
        <v>30</v>
      </c>
      <c r="D14" s="377"/>
      <c r="E14" s="365" t="s">
        <v>559</v>
      </c>
      <c r="F14" s="377"/>
      <c r="G14" s="377"/>
      <c r="H14" s="377"/>
      <c r="I14" s="377"/>
      <c r="J14" s="377"/>
      <c r="K14" s="377"/>
      <c r="L14" s="377"/>
      <c r="M14" s="377"/>
      <c r="N14" s="377"/>
      <c r="O14" s="377"/>
    </row>
    <row r="15" spans="1:15">
      <c r="A15" s="366" t="s">
        <v>576</v>
      </c>
      <c r="B15" s="365"/>
      <c r="C15" s="377"/>
      <c r="D15" s="365" t="s">
        <v>559</v>
      </c>
      <c r="E15" s="365" t="s">
        <v>559</v>
      </c>
      <c r="F15" s="377"/>
      <c r="G15" s="377"/>
      <c r="H15" s="377"/>
      <c r="I15" s="377"/>
      <c r="J15" s="377"/>
      <c r="K15" s="377"/>
      <c r="L15" s="377"/>
      <c r="M15" s="377"/>
      <c r="N15" s="377"/>
      <c r="O15" s="377"/>
    </row>
    <row r="16" spans="1:15">
      <c r="A16" s="366" t="s">
        <v>565</v>
      </c>
      <c r="B16" s="365" t="s">
        <v>575</v>
      </c>
      <c r="C16" s="377">
        <v>30</v>
      </c>
      <c r="D16" s="377"/>
      <c r="E16" s="377"/>
      <c r="F16" s="365" t="s">
        <v>559</v>
      </c>
      <c r="G16" s="365"/>
      <c r="H16" s="365"/>
      <c r="I16" s="365"/>
      <c r="J16" s="377"/>
      <c r="K16" s="377"/>
      <c r="L16" s="377"/>
      <c r="M16" s="377"/>
      <c r="N16" s="377"/>
      <c r="O16" s="377"/>
    </row>
    <row r="17" spans="1:15">
      <c r="A17" s="366" t="s">
        <v>577</v>
      </c>
      <c r="B17" s="365" t="s">
        <v>558</v>
      </c>
      <c r="C17" s="377">
        <v>300</v>
      </c>
      <c r="D17" s="377"/>
      <c r="E17" s="365" t="s">
        <v>559</v>
      </c>
      <c r="F17" s="365" t="s">
        <v>559</v>
      </c>
      <c r="G17" s="365" t="s">
        <v>559</v>
      </c>
      <c r="H17" s="365" t="s">
        <v>559</v>
      </c>
      <c r="I17" s="365" t="s">
        <v>559</v>
      </c>
      <c r="J17" s="365" t="s">
        <v>559</v>
      </c>
      <c r="K17" s="365" t="s">
        <v>559</v>
      </c>
      <c r="L17" s="365" t="s">
        <v>559</v>
      </c>
      <c r="M17" s="365" t="s">
        <v>559</v>
      </c>
      <c r="N17" s="365" t="s">
        <v>559</v>
      </c>
      <c r="O17" s="365" t="s">
        <v>559</v>
      </c>
    </row>
    <row r="18" spans="1:15">
      <c r="A18" s="366" t="s">
        <v>582</v>
      </c>
      <c r="B18" s="365" t="s">
        <v>581</v>
      </c>
      <c r="C18" s="377">
        <v>4</v>
      </c>
      <c r="D18" s="377"/>
      <c r="E18" s="365" t="s">
        <v>559</v>
      </c>
      <c r="F18" s="377"/>
      <c r="G18" s="377"/>
      <c r="H18" s="365" t="s">
        <v>559</v>
      </c>
      <c r="I18" s="377"/>
      <c r="J18" s="377"/>
      <c r="K18" s="365" t="s">
        <v>559</v>
      </c>
      <c r="L18" s="377"/>
      <c r="M18" s="377"/>
      <c r="N18" s="365" t="s">
        <v>559</v>
      </c>
      <c r="O18" s="365"/>
    </row>
    <row r="19" spans="1:15">
      <c r="A19" s="366" t="s">
        <v>583</v>
      </c>
      <c r="B19" s="365" t="s">
        <v>584</v>
      </c>
      <c r="C19" s="377">
        <v>4</v>
      </c>
      <c r="D19" s="377"/>
      <c r="E19" s="377"/>
      <c r="F19" s="365" t="s">
        <v>559</v>
      </c>
      <c r="G19" s="377"/>
      <c r="H19" s="377"/>
      <c r="I19" s="365" t="s">
        <v>559</v>
      </c>
      <c r="J19" s="377"/>
      <c r="K19" s="377"/>
      <c r="L19" s="365" t="s">
        <v>559</v>
      </c>
      <c r="M19" s="377"/>
      <c r="N19" s="377"/>
      <c r="O19" s="365" t="s">
        <v>559</v>
      </c>
    </row>
  </sheetData>
  <mergeCells count="3">
    <mergeCell ref="B3:C3"/>
    <mergeCell ref="D3:O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POBLACION 2015</vt:lpstr>
      <vt:lpstr>VENTAS 2014</vt:lpstr>
      <vt:lpstr>HOGARES ESTIMADOS</vt:lpstr>
      <vt:lpstr>SEGMENTACION</vt:lpstr>
      <vt:lpstr>SUPUESTOS Y CORRIDOS</vt:lpstr>
      <vt:lpstr>PRESUPUESTO ANUAL BASE</vt:lpstr>
      <vt:lpstr>PRESUPUESTO AEA</vt:lpstr>
      <vt:lpstr>INVERSION YACHAYWASIS</vt:lpstr>
      <vt:lpstr>CRONOGRAMA ACTIVIDADES</vt:lpstr>
      <vt:lpstr>'POBLACION 2015'!Títulos_a_imprimir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Vallenas</dc:creator>
  <cp:lastModifiedBy>Carlos</cp:lastModifiedBy>
  <cp:lastPrinted>2012-07-31T14:41:33Z</cp:lastPrinted>
  <dcterms:created xsi:type="dcterms:W3CDTF">2012-07-24T15:36:41Z</dcterms:created>
  <dcterms:modified xsi:type="dcterms:W3CDTF">2015-05-15T20:26:06Z</dcterms:modified>
</cp:coreProperties>
</file>