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10035"/>
  </bookViews>
  <sheets>
    <sheet name="Cronograma" sheetId="1" r:id="rId1"/>
    <sheet name="Presupuesto_1" sheetId="2" r:id="rId2"/>
    <sheet name="Presupuesto_2" sheetId="3" r:id="rId3"/>
    <sheet name="Rubros" sheetId="4" r:id="rId4"/>
  </sheets>
  <externalReferences>
    <externalReference r:id="rId5"/>
  </externalReferences>
  <definedNames>
    <definedName name="PARTIDA_PROYECTO">[1]Rubros!$A$4:$I$4</definedName>
  </definedNames>
  <calcPr calcId="145621"/>
</workbook>
</file>

<file path=xl/calcChain.xml><?xml version="1.0" encoding="utf-8"?>
<calcChain xmlns="http://schemas.openxmlformats.org/spreadsheetml/2006/main">
  <c r="J179" i="2" l="1"/>
  <c r="I179" i="2"/>
  <c r="K179" i="2" s="1"/>
  <c r="J178" i="2"/>
  <c r="I178" i="2"/>
  <c r="K178" i="2" s="1"/>
  <c r="K177" i="2"/>
  <c r="O177" i="2" s="1"/>
  <c r="J177" i="2"/>
  <c r="I177" i="2"/>
  <c r="K176" i="2"/>
  <c r="J176" i="2"/>
  <c r="I176" i="2"/>
  <c r="J175" i="2"/>
  <c r="I175" i="2"/>
  <c r="K175" i="2" s="1"/>
  <c r="J174" i="2"/>
  <c r="I174" i="2"/>
  <c r="K174" i="2" s="1"/>
  <c r="K173" i="2"/>
  <c r="O173" i="2" s="1"/>
  <c r="J173" i="2"/>
  <c r="I173" i="2"/>
  <c r="K172" i="2"/>
  <c r="J172" i="2"/>
  <c r="I172" i="2"/>
  <c r="J171" i="2"/>
  <c r="I171" i="2"/>
  <c r="K171" i="2" s="1"/>
  <c r="J170" i="2"/>
  <c r="I170" i="2"/>
  <c r="K170" i="2" s="1"/>
  <c r="K169" i="2"/>
  <c r="O169" i="2" s="1"/>
  <c r="J169" i="2"/>
  <c r="I169" i="2"/>
  <c r="J167" i="2"/>
  <c r="K164" i="2"/>
  <c r="M164" i="2" s="1"/>
  <c r="L164" i="2" s="1"/>
  <c r="J164" i="2"/>
  <c r="I164" i="2"/>
  <c r="K163" i="2"/>
  <c r="M163" i="2" s="1"/>
  <c r="L163" i="2" s="1"/>
  <c r="J163" i="2"/>
  <c r="I163" i="2"/>
  <c r="J162" i="2"/>
  <c r="I162" i="2"/>
  <c r="K162" i="2" s="1"/>
  <c r="M162" i="2" s="1"/>
  <c r="L162" i="2" s="1"/>
  <c r="J161" i="2"/>
  <c r="I161" i="2"/>
  <c r="K161" i="2" s="1"/>
  <c r="M161" i="2" s="1"/>
  <c r="L161" i="2" s="1"/>
  <c r="J160" i="2"/>
  <c r="I160" i="2"/>
  <c r="K160" i="2" s="1"/>
  <c r="M160" i="2" s="1"/>
  <c r="L160" i="2" s="1"/>
  <c r="J159" i="2"/>
  <c r="I159" i="2"/>
  <c r="K159" i="2" s="1"/>
  <c r="M159" i="2" s="1"/>
  <c r="L159" i="2" s="1"/>
  <c r="X158" i="2"/>
  <c r="T158" i="2"/>
  <c r="Y158" i="2" s="1"/>
  <c r="K158" i="2"/>
  <c r="N158" i="2" s="1"/>
  <c r="J158" i="2"/>
  <c r="I158" i="2"/>
  <c r="Z157" i="2"/>
  <c r="X157" i="2"/>
  <c r="U157" i="2"/>
  <c r="AA157" i="2" s="1"/>
  <c r="K157" i="2"/>
  <c r="W157" i="2" s="1"/>
  <c r="J157" i="2"/>
  <c r="I157" i="2"/>
  <c r="Z156" i="2"/>
  <c r="X156" i="2"/>
  <c r="U156" i="2"/>
  <c r="AA156" i="2" s="1"/>
  <c r="K156" i="2"/>
  <c r="W156" i="2" s="1"/>
  <c r="J156" i="2"/>
  <c r="I156" i="2"/>
  <c r="Z155" i="2"/>
  <c r="X155" i="2"/>
  <c r="U155" i="2"/>
  <c r="AA155" i="2" s="1"/>
  <c r="K155" i="2"/>
  <c r="W155" i="2" s="1"/>
  <c r="J155" i="2"/>
  <c r="I155" i="2"/>
  <c r="Z154" i="2"/>
  <c r="X154" i="2"/>
  <c r="U154" i="2"/>
  <c r="AA154" i="2" s="1"/>
  <c r="K154" i="2"/>
  <c r="W154" i="2" s="1"/>
  <c r="J154" i="2"/>
  <c r="I154" i="2"/>
  <c r="AB153" i="2"/>
  <c r="Z153" i="2"/>
  <c r="X153" i="2"/>
  <c r="U153" i="2"/>
  <c r="K153" i="2"/>
  <c r="AA153" i="2" s="1"/>
  <c r="J153" i="2"/>
  <c r="I153" i="2"/>
  <c r="AB152" i="2"/>
  <c r="Z152" i="2"/>
  <c r="X152" i="2"/>
  <c r="U152" i="2"/>
  <c r="J152" i="2"/>
  <c r="I152" i="2"/>
  <c r="K152" i="2" s="1"/>
  <c r="AB151" i="2"/>
  <c r="Z151" i="2"/>
  <c r="X151" i="2"/>
  <c r="U151" i="2"/>
  <c r="AA151" i="2" s="1"/>
  <c r="J151" i="2"/>
  <c r="I151" i="2"/>
  <c r="K151" i="2" s="1"/>
  <c r="Z150" i="2"/>
  <c r="Y150" i="2"/>
  <c r="X150" i="2"/>
  <c r="U150" i="2"/>
  <c r="AB150" i="2" s="1"/>
  <c r="N150" i="2"/>
  <c r="K150" i="2"/>
  <c r="M150" i="2" s="1"/>
  <c r="L150" i="2" s="1"/>
  <c r="J150" i="2"/>
  <c r="I150" i="2"/>
  <c r="Z149" i="2"/>
  <c r="X149" i="2"/>
  <c r="X160" i="2" s="1"/>
  <c r="U149" i="2"/>
  <c r="AA149" i="2" s="1"/>
  <c r="K149" i="2"/>
  <c r="W149" i="2" s="1"/>
  <c r="J149" i="2"/>
  <c r="I149" i="2"/>
  <c r="J148" i="2"/>
  <c r="J145" i="2"/>
  <c r="I145" i="2"/>
  <c r="G145" i="2"/>
  <c r="K145" i="2" s="1"/>
  <c r="M145" i="2" s="1"/>
  <c r="L145" i="2" s="1"/>
  <c r="I144" i="2"/>
  <c r="G144" i="2"/>
  <c r="K144" i="2" s="1"/>
  <c r="M144" i="2" s="1"/>
  <c r="L144" i="2" s="1"/>
  <c r="K143" i="2"/>
  <c r="M143" i="2" s="1"/>
  <c r="L143" i="2" s="1"/>
  <c r="J143" i="2"/>
  <c r="I143" i="2"/>
  <c r="G143" i="2"/>
  <c r="J142" i="2"/>
  <c r="I142" i="2"/>
  <c r="K142" i="2" s="1"/>
  <c r="P142" i="2" s="1"/>
  <c r="G142" i="2"/>
  <c r="K141" i="2"/>
  <c r="M141" i="2" s="1"/>
  <c r="L141" i="2" s="1"/>
  <c r="J141" i="2"/>
  <c r="I141" i="2"/>
  <c r="J140" i="2"/>
  <c r="I140" i="2"/>
  <c r="K140" i="2" s="1"/>
  <c r="Q140" i="2" s="1"/>
  <c r="G140" i="2"/>
  <c r="I139" i="2"/>
  <c r="G139" i="2"/>
  <c r="K138" i="2"/>
  <c r="I138" i="2"/>
  <c r="G138" i="2"/>
  <c r="J138" i="2" s="1"/>
  <c r="O137" i="2"/>
  <c r="K137" i="2"/>
  <c r="J137" i="2"/>
  <c r="I137" i="2"/>
  <c r="G137" i="2"/>
  <c r="J136" i="2"/>
  <c r="I136" i="2"/>
  <c r="K136" i="2" s="1"/>
  <c r="O136" i="2" s="1"/>
  <c r="G136" i="2"/>
  <c r="K135" i="2"/>
  <c r="M135" i="2" s="1"/>
  <c r="L135" i="2" s="1"/>
  <c r="J135" i="2"/>
  <c r="I135" i="2"/>
  <c r="K134" i="2"/>
  <c r="P134" i="2" s="1"/>
  <c r="M134" i="2" s="1"/>
  <c r="L134" i="2" s="1"/>
  <c r="J134" i="2"/>
  <c r="I134" i="2"/>
  <c r="G134" i="2"/>
  <c r="J133" i="2"/>
  <c r="I133" i="2"/>
  <c r="G133" i="2"/>
  <c r="K133" i="2" s="1"/>
  <c r="P133" i="2" s="1"/>
  <c r="K132" i="2"/>
  <c r="M132" i="2" s="1"/>
  <c r="L132" i="2" s="1"/>
  <c r="J132" i="2"/>
  <c r="I132" i="2"/>
  <c r="G132" i="2"/>
  <c r="K129" i="2"/>
  <c r="M129" i="2" s="1"/>
  <c r="L129" i="2" s="1"/>
  <c r="I129" i="2"/>
  <c r="G129" i="2"/>
  <c r="J129" i="2" s="1"/>
  <c r="K128" i="2"/>
  <c r="M128" i="2" s="1"/>
  <c r="L128" i="2" s="1"/>
  <c r="J128" i="2"/>
  <c r="I128" i="2"/>
  <c r="G128" i="2"/>
  <c r="I127" i="2"/>
  <c r="G127" i="2"/>
  <c r="J127" i="2" s="1"/>
  <c r="J126" i="2"/>
  <c r="I126" i="2"/>
  <c r="K126" i="2" s="1"/>
  <c r="M126" i="2" s="1"/>
  <c r="L126" i="2" s="1"/>
  <c r="G126" i="2"/>
  <c r="K125" i="2"/>
  <c r="M125" i="2" s="1"/>
  <c r="L125" i="2" s="1"/>
  <c r="I125" i="2"/>
  <c r="G125" i="2"/>
  <c r="J125" i="2" s="1"/>
  <c r="I124" i="2"/>
  <c r="G124" i="2"/>
  <c r="K124" i="2" s="1"/>
  <c r="J123" i="2"/>
  <c r="I123" i="2"/>
  <c r="K123" i="2" s="1"/>
  <c r="G123" i="2"/>
  <c r="I122" i="2"/>
  <c r="G122" i="2"/>
  <c r="K122" i="2" s="1"/>
  <c r="Q122" i="2" s="1"/>
  <c r="K121" i="2"/>
  <c r="M121" i="2" s="1"/>
  <c r="L121" i="2" s="1"/>
  <c r="I121" i="2"/>
  <c r="G121" i="2"/>
  <c r="J121" i="2" s="1"/>
  <c r="J120" i="2"/>
  <c r="I120" i="2"/>
  <c r="G120" i="2"/>
  <c r="K120" i="2" s="1"/>
  <c r="M120" i="2" s="1"/>
  <c r="L120" i="2" s="1"/>
  <c r="I119" i="2"/>
  <c r="K119" i="2" s="1"/>
  <c r="G119" i="2"/>
  <c r="J119" i="2" s="1"/>
  <c r="O118" i="2"/>
  <c r="K118" i="2"/>
  <c r="I118" i="2"/>
  <c r="G118" i="2"/>
  <c r="J118" i="2" s="1"/>
  <c r="K117" i="2"/>
  <c r="Q117" i="2" s="1"/>
  <c r="J117" i="2"/>
  <c r="I117" i="2"/>
  <c r="G117" i="2"/>
  <c r="I116" i="2"/>
  <c r="G116" i="2"/>
  <c r="J116" i="2" s="1"/>
  <c r="K115" i="2"/>
  <c r="Q115" i="2" s="1"/>
  <c r="I115" i="2"/>
  <c r="G115" i="2"/>
  <c r="J115" i="2" s="1"/>
  <c r="K114" i="2"/>
  <c r="M114" i="2" s="1"/>
  <c r="L114" i="2" s="1"/>
  <c r="J114" i="2"/>
  <c r="I114" i="2"/>
  <c r="G114" i="2"/>
  <c r="I113" i="2"/>
  <c r="G113" i="2"/>
  <c r="J113" i="2" s="1"/>
  <c r="K112" i="2"/>
  <c r="I112" i="2"/>
  <c r="G112" i="2"/>
  <c r="J112" i="2" s="1"/>
  <c r="J108" i="2"/>
  <c r="I108" i="2"/>
  <c r="K108" i="2" s="1"/>
  <c r="G108" i="2"/>
  <c r="I107" i="2"/>
  <c r="G107" i="2"/>
  <c r="K107" i="2" s="1"/>
  <c r="N107" i="2" s="1"/>
  <c r="I106" i="2"/>
  <c r="G106" i="2"/>
  <c r="J106" i="2" s="1"/>
  <c r="K105" i="2"/>
  <c r="J105" i="2"/>
  <c r="I105" i="2"/>
  <c r="G105" i="2"/>
  <c r="J104" i="2"/>
  <c r="I104" i="2"/>
  <c r="K104" i="2" s="1"/>
  <c r="G104" i="2"/>
  <c r="J103" i="2"/>
  <c r="I103" i="2"/>
  <c r="K103" i="2" s="1"/>
  <c r="N103" i="2" s="1"/>
  <c r="I102" i="2"/>
  <c r="G102" i="2"/>
  <c r="J102" i="2" s="1"/>
  <c r="N101" i="2"/>
  <c r="K101" i="2"/>
  <c r="J101" i="2"/>
  <c r="I101" i="2"/>
  <c r="Q100" i="2"/>
  <c r="K100" i="2"/>
  <c r="N100" i="2" s="1"/>
  <c r="M100" i="2" s="1"/>
  <c r="L100" i="2" s="1"/>
  <c r="J100" i="2"/>
  <c r="I100" i="2"/>
  <c r="G100" i="2"/>
  <c r="K99" i="2"/>
  <c r="Q99" i="2" s="1"/>
  <c r="J99" i="2"/>
  <c r="I99" i="2"/>
  <c r="G99" i="2"/>
  <c r="I98" i="2"/>
  <c r="G98" i="2"/>
  <c r="J98" i="2" s="1"/>
  <c r="K97" i="2"/>
  <c r="N97" i="2" s="1"/>
  <c r="I97" i="2"/>
  <c r="G97" i="2"/>
  <c r="J97" i="2" s="1"/>
  <c r="J96" i="2"/>
  <c r="I96" i="2"/>
  <c r="G96" i="2"/>
  <c r="K96" i="2" s="1"/>
  <c r="J95" i="2"/>
  <c r="I95" i="2"/>
  <c r="G95" i="2"/>
  <c r="K95" i="2" s="1"/>
  <c r="J94" i="2"/>
  <c r="I94" i="2"/>
  <c r="G94" i="2"/>
  <c r="K94" i="2" s="1"/>
  <c r="J93" i="2"/>
  <c r="I93" i="2"/>
  <c r="G93" i="2"/>
  <c r="K93" i="2" s="1"/>
  <c r="J92" i="2"/>
  <c r="I92" i="2"/>
  <c r="G92" i="2"/>
  <c r="K92" i="2" s="1"/>
  <c r="J91" i="2"/>
  <c r="I91" i="2"/>
  <c r="K91" i="2" s="1"/>
  <c r="I90" i="2"/>
  <c r="G90" i="2"/>
  <c r="K90" i="2" s="1"/>
  <c r="I89" i="2"/>
  <c r="G89" i="2"/>
  <c r="K89" i="2" s="1"/>
  <c r="I86" i="2"/>
  <c r="K86" i="2" s="1"/>
  <c r="M86" i="2" s="1"/>
  <c r="L86" i="2" s="1"/>
  <c r="G86" i="2"/>
  <c r="J86" i="2" s="1"/>
  <c r="K85" i="2"/>
  <c r="M85" i="2" s="1"/>
  <c r="L85" i="2" s="1"/>
  <c r="J85" i="2"/>
  <c r="I85" i="2"/>
  <c r="I84" i="2"/>
  <c r="G84" i="2"/>
  <c r="K84" i="2" s="1"/>
  <c r="M84" i="2" s="1"/>
  <c r="L84" i="2" s="1"/>
  <c r="J83" i="2"/>
  <c r="I83" i="2"/>
  <c r="G83" i="2"/>
  <c r="K83" i="2" s="1"/>
  <c r="M83" i="2" s="1"/>
  <c r="L83" i="2" s="1"/>
  <c r="I82" i="2"/>
  <c r="G82" i="2"/>
  <c r="K82" i="2" s="1"/>
  <c r="M82" i="2" s="1"/>
  <c r="L82" i="2" s="1"/>
  <c r="K81" i="2"/>
  <c r="Q81" i="2" s="1"/>
  <c r="J81" i="2"/>
  <c r="I81" i="2"/>
  <c r="G81" i="2"/>
  <c r="J80" i="2"/>
  <c r="I80" i="2"/>
  <c r="G80" i="2"/>
  <c r="K80" i="2" s="1"/>
  <c r="I79" i="2"/>
  <c r="G79" i="2"/>
  <c r="K79" i="2" s="1"/>
  <c r="M79" i="2" s="1"/>
  <c r="L79" i="2" s="1"/>
  <c r="K78" i="2"/>
  <c r="O78" i="2" s="1"/>
  <c r="J78" i="2"/>
  <c r="I78" i="2"/>
  <c r="G78" i="2"/>
  <c r="J77" i="2"/>
  <c r="I77" i="2"/>
  <c r="G77" i="2"/>
  <c r="K77" i="2" s="1"/>
  <c r="I76" i="2"/>
  <c r="G76" i="2"/>
  <c r="K76" i="2" s="1"/>
  <c r="M76" i="2" s="1"/>
  <c r="L76" i="2" s="1"/>
  <c r="K75" i="2"/>
  <c r="O75" i="2" s="1"/>
  <c r="J75" i="2"/>
  <c r="I75" i="2"/>
  <c r="G75" i="2"/>
  <c r="J74" i="2"/>
  <c r="I74" i="2"/>
  <c r="G74" i="2"/>
  <c r="K74" i="2" s="1"/>
  <c r="K73" i="2"/>
  <c r="M73" i="2" s="1"/>
  <c r="L73" i="2" s="1"/>
  <c r="J73" i="2"/>
  <c r="I73" i="2"/>
  <c r="I72" i="2"/>
  <c r="K72" i="2" s="1"/>
  <c r="G72" i="2"/>
  <c r="J72" i="2" s="1"/>
  <c r="J67" i="2"/>
  <c r="I67" i="2"/>
  <c r="K67" i="2" s="1"/>
  <c r="M67" i="2" s="1"/>
  <c r="L67" i="2" s="1"/>
  <c r="K66" i="2"/>
  <c r="M66" i="2" s="1"/>
  <c r="L66" i="2" s="1"/>
  <c r="J66" i="2"/>
  <c r="I66" i="2"/>
  <c r="J65" i="2"/>
  <c r="I65" i="2"/>
  <c r="K65" i="2" s="1"/>
  <c r="K64" i="2"/>
  <c r="O64" i="2" s="1"/>
  <c r="J64" i="2"/>
  <c r="I64" i="2"/>
  <c r="K63" i="2"/>
  <c r="M63" i="2" s="1"/>
  <c r="L63" i="2" s="1"/>
  <c r="J63" i="2"/>
  <c r="I63" i="2"/>
  <c r="J62" i="2"/>
  <c r="I62" i="2"/>
  <c r="K62" i="2" s="1"/>
  <c r="M62" i="2" s="1"/>
  <c r="L62" i="2" s="1"/>
  <c r="J61" i="2"/>
  <c r="I61" i="2"/>
  <c r="K61" i="2" s="1"/>
  <c r="P60" i="2"/>
  <c r="K60" i="2"/>
  <c r="M60" i="2" s="1"/>
  <c r="L60" i="2" s="1"/>
  <c r="J60" i="2"/>
  <c r="J58" i="2" s="1"/>
  <c r="I60" i="2"/>
  <c r="K55" i="2"/>
  <c r="M55" i="2" s="1"/>
  <c r="L55" i="2" s="1"/>
  <c r="J55" i="2"/>
  <c r="I55" i="2"/>
  <c r="G55" i="2"/>
  <c r="J54" i="2"/>
  <c r="I54" i="2"/>
  <c r="K54" i="2" s="1"/>
  <c r="I53" i="2"/>
  <c r="G53" i="2"/>
  <c r="K53" i="2" s="1"/>
  <c r="K52" i="2"/>
  <c r="Q52" i="2" s="1"/>
  <c r="J52" i="2"/>
  <c r="I52" i="2"/>
  <c r="G52" i="2"/>
  <c r="J51" i="2"/>
  <c r="I51" i="2"/>
  <c r="K51" i="2" s="1"/>
  <c r="I50" i="2"/>
  <c r="K50" i="2" s="1"/>
  <c r="G50" i="2"/>
  <c r="J50" i="2" s="1"/>
  <c r="I49" i="2"/>
  <c r="G49" i="2"/>
  <c r="K49" i="2" s="1"/>
  <c r="K48" i="2"/>
  <c r="O48" i="2" s="1"/>
  <c r="J48" i="2"/>
  <c r="I48" i="2"/>
  <c r="G48" i="2"/>
  <c r="J47" i="2"/>
  <c r="I47" i="2"/>
  <c r="G47" i="2"/>
  <c r="K47" i="2" s="1"/>
  <c r="I46" i="2"/>
  <c r="K46" i="2" s="1"/>
  <c r="Q46" i="2" s="1"/>
  <c r="G46" i="2"/>
  <c r="J46" i="2" s="1"/>
  <c r="Q45" i="2"/>
  <c r="K45" i="2"/>
  <c r="M45" i="2" s="1"/>
  <c r="L45" i="2" s="1"/>
  <c r="J45" i="2"/>
  <c r="I45" i="2"/>
  <c r="J44" i="2"/>
  <c r="I44" i="2"/>
  <c r="K44" i="2" s="1"/>
  <c r="Q44" i="2" s="1"/>
  <c r="H43" i="2"/>
  <c r="G43" i="2"/>
  <c r="K42" i="2"/>
  <c r="M42" i="2" s="1"/>
  <c r="L42" i="2" s="1"/>
  <c r="J42" i="2"/>
  <c r="I42" i="2"/>
  <c r="K41" i="2"/>
  <c r="M41" i="2" s="1"/>
  <c r="L41" i="2" s="1"/>
  <c r="J41" i="2"/>
  <c r="I41" i="2"/>
  <c r="M40" i="2"/>
  <c r="L40" i="2" s="1"/>
  <c r="J40" i="2"/>
  <c r="I40" i="2"/>
  <c r="K40" i="2" s="1"/>
  <c r="J39" i="2"/>
  <c r="I39" i="2"/>
  <c r="K39" i="2" s="1"/>
  <c r="M39" i="2" s="1"/>
  <c r="L39" i="2" s="1"/>
  <c r="J38" i="2"/>
  <c r="I38" i="2"/>
  <c r="K38" i="2" s="1"/>
  <c r="M38" i="2" s="1"/>
  <c r="L38" i="2" s="1"/>
  <c r="L37" i="2"/>
  <c r="K37" i="2"/>
  <c r="M37" i="2" s="1"/>
  <c r="J37" i="2"/>
  <c r="I37" i="2"/>
  <c r="J36" i="2"/>
  <c r="I36" i="2"/>
  <c r="K36" i="2" s="1"/>
  <c r="J32" i="2"/>
  <c r="I32" i="2"/>
  <c r="G32" i="2"/>
  <c r="K32" i="2" s="1"/>
  <c r="N32" i="2" s="1"/>
  <c r="K31" i="2"/>
  <c r="N31" i="2" s="1"/>
  <c r="J31" i="2"/>
  <c r="I31" i="2"/>
  <c r="G31" i="2"/>
  <c r="I30" i="2"/>
  <c r="K30" i="2" s="1"/>
  <c r="M30" i="2" s="1"/>
  <c r="L30" i="2" s="1"/>
  <c r="G30" i="2"/>
  <c r="J30" i="2" s="1"/>
  <c r="J29" i="2"/>
  <c r="I29" i="2"/>
  <c r="K29" i="2" s="1"/>
  <c r="M29" i="2" s="1"/>
  <c r="L29" i="2" s="1"/>
  <c r="G29" i="2"/>
  <c r="I28" i="2"/>
  <c r="K28" i="2" s="1"/>
  <c r="M28" i="2" s="1"/>
  <c r="L28" i="2" s="1"/>
  <c r="G28" i="2"/>
  <c r="J28" i="2" s="1"/>
  <c r="J27" i="2"/>
  <c r="I27" i="2"/>
  <c r="K27" i="2" s="1"/>
  <c r="M27" i="2" s="1"/>
  <c r="L27" i="2" s="1"/>
  <c r="G27" i="2"/>
  <c r="J26" i="2"/>
  <c r="I26" i="2"/>
  <c r="G26" i="2"/>
  <c r="K26" i="2" s="1"/>
  <c r="K25" i="2"/>
  <c r="O25" i="2" s="1"/>
  <c r="I25" i="2"/>
  <c r="G25" i="2"/>
  <c r="J25" i="2" s="1"/>
  <c r="I24" i="2"/>
  <c r="G24" i="2"/>
  <c r="K24" i="2" s="1"/>
  <c r="O24" i="2" s="1"/>
  <c r="L23" i="2"/>
  <c r="I23" i="2"/>
  <c r="G23" i="2"/>
  <c r="K23" i="2" s="1"/>
  <c r="M23" i="2" s="1"/>
  <c r="I22" i="2"/>
  <c r="K22" i="2" s="1"/>
  <c r="G22" i="2"/>
  <c r="J22" i="2" s="1"/>
  <c r="I21" i="2"/>
  <c r="G21" i="2"/>
  <c r="K21" i="2" s="1"/>
  <c r="O21" i="2" s="1"/>
  <c r="J20" i="2"/>
  <c r="I20" i="2"/>
  <c r="K20" i="2" s="1"/>
  <c r="G20" i="2"/>
  <c r="K19" i="2"/>
  <c r="M19" i="2" s="1"/>
  <c r="L19" i="2" s="1"/>
  <c r="I19" i="2"/>
  <c r="G19" i="2"/>
  <c r="J19" i="2" s="1"/>
  <c r="I18" i="2"/>
  <c r="G18" i="2"/>
  <c r="J18" i="2" s="1"/>
  <c r="K17" i="2"/>
  <c r="N17" i="2" s="1"/>
  <c r="I17" i="2"/>
  <c r="G17" i="2"/>
  <c r="J17" i="2" s="1"/>
  <c r="K16" i="2"/>
  <c r="M16" i="2" s="1"/>
  <c r="L16" i="2" s="1"/>
  <c r="J16" i="2"/>
  <c r="I16" i="2"/>
  <c r="J15" i="2"/>
  <c r="I15" i="2"/>
  <c r="K15" i="2" s="1"/>
  <c r="Q13" i="2"/>
  <c r="N13" i="2"/>
  <c r="M13" i="2"/>
  <c r="R12" i="2"/>
  <c r="N20" i="2" l="1"/>
  <c r="M20" i="2"/>
  <c r="L20" i="2" s="1"/>
  <c r="O22" i="2"/>
  <c r="M22" i="2"/>
  <c r="L22" i="2" s="1"/>
  <c r="N15" i="2"/>
  <c r="M15" i="2"/>
  <c r="Q36" i="2"/>
  <c r="P36" i="2" s="1"/>
  <c r="K18" i="2"/>
  <c r="K13" i="2" s="1"/>
  <c r="O49" i="2"/>
  <c r="M49" i="2"/>
  <c r="L49" i="2" s="1"/>
  <c r="M74" i="2"/>
  <c r="L74" i="2" s="1"/>
  <c r="O74" i="2"/>
  <c r="M24" i="2"/>
  <c r="L24" i="2" s="1"/>
  <c r="J21" i="2"/>
  <c r="J13" i="2" s="1"/>
  <c r="Q26" i="2"/>
  <c r="M26" i="2" s="1"/>
  <c r="L26" i="2" s="1"/>
  <c r="M32" i="2"/>
  <c r="L32" i="2" s="1"/>
  <c r="J43" i="2"/>
  <c r="J34" i="2" s="1"/>
  <c r="I43" i="2"/>
  <c r="M46" i="2"/>
  <c r="L46" i="2" s="1"/>
  <c r="Q51" i="2"/>
  <c r="M51" i="2" s="1"/>
  <c r="L51" i="2" s="1"/>
  <c r="M54" i="2"/>
  <c r="L54" i="2" s="1"/>
  <c r="Q54" i="2"/>
  <c r="O65" i="2"/>
  <c r="M65" i="2"/>
  <c r="L65" i="2" s="1"/>
  <c r="K70" i="2"/>
  <c r="M72" i="2"/>
  <c r="L72" i="2" s="1"/>
  <c r="O95" i="2"/>
  <c r="N95" i="2"/>
  <c r="M95" i="2" s="1"/>
  <c r="L95" i="2" s="1"/>
  <c r="N108" i="2"/>
  <c r="M108" i="2" s="1"/>
  <c r="L108" i="2" s="1"/>
  <c r="N70" i="2"/>
  <c r="Q70" i="2"/>
  <c r="M70" i="2"/>
  <c r="P70" i="2"/>
  <c r="O13" i="2"/>
  <c r="O70" i="2"/>
  <c r="P13" i="2"/>
  <c r="O17" i="2"/>
  <c r="J23" i="2"/>
  <c r="J24" i="2"/>
  <c r="Q47" i="2"/>
  <c r="M47" i="2" s="1"/>
  <c r="L47" i="2" s="1"/>
  <c r="M77" i="2"/>
  <c r="L77" i="2" s="1"/>
  <c r="O77" i="2"/>
  <c r="O89" i="2"/>
  <c r="N89" i="2"/>
  <c r="M89" i="2"/>
  <c r="L89" i="2" s="1"/>
  <c r="N91" i="2"/>
  <c r="M91" i="2"/>
  <c r="L91" i="2" s="1"/>
  <c r="M94" i="2"/>
  <c r="L94" i="2" s="1"/>
  <c r="Q94" i="2"/>
  <c r="N94" i="2"/>
  <c r="N104" i="2"/>
  <c r="M104" i="2" s="1"/>
  <c r="L104" i="2" s="1"/>
  <c r="O119" i="2"/>
  <c r="M119" i="2"/>
  <c r="L119" i="2" s="1"/>
  <c r="M124" i="2"/>
  <c r="L124" i="2" s="1"/>
  <c r="P124" i="2"/>
  <c r="M21" i="2"/>
  <c r="L21" i="2" s="1"/>
  <c r="M44" i="2"/>
  <c r="L44" i="2" s="1"/>
  <c r="Q53" i="2"/>
  <c r="M53" i="2" s="1"/>
  <c r="L53" i="2" s="1"/>
  <c r="M61" i="2"/>
  <c r="L61" i="2" s="1"/>
  <c r="K58" i="2"/>
  <c r="M80" i="2"/>
  <c r="L80" i="2" s="1"/>
  <c r="O80" i="2"/>
  <c r="Q93" i="2"/>
  <c r="N93" i="2"/>
  <c r="M93" i="2" s="1"/>
  <c r="L93" i="2" s="1"/>
  <c r="M25" i="2"/>
  <c r="L25" i="2" s="1"/>
  <c r="M31" i="2"/>
  <c r="L31" i="2" s="1"/>
  <c r="K43" i="2"/>
  <c r="K34" i="2" s="1"/>
  <c r="Q50" i="2"/>
  <c r="M50" i="2" s="1"/>
  <c r="L50" i="2" s="1"/>
  <c r="P50" i="2"/>
  <c r="O90" i="2"/>
  <c r="M90" i="2" s="1"/>
  <c r="L90" i="2" s="1"/>
  <c r="N90" i="2"/>
  <c r="M92" i="2"/>
  <c r="L92" i="2" s="1"/>
  <c r="Q92" i="2"/>
  <c r="S88" i="2" s="1"/>
  <c r="N92" i="2"/>
  <c r="O96" i="2"/>
  <c r="N96" i="2"/>
  <c r="M96" i="2" s="1"/>
  <c r="L96" i="2" s="1"/>
  <c r="Q123" i="2"/>
  <c r="M123" i="2"/>
  <c r="L123" i="2" s="1"/>
  <c r="M107" i="2"/>
  <c r="L107" i="2" s="1"/>
  <c r="O112" i="2"/>
  <c r="M122" i="2"/>
  <c r="L122" i="2" s="1"/>
  <c r="K139" i="2"/>
  <c r="K131" i="2" s="1"/>
  <c r="J139" i="2"/>
  <c r="AA152" i="2"/>
  <c r="W152" i="2"/>
  <c r="Y152" i="2"/>
  <c r="N152" i="2"/>
  <c r="M152" i="2" s="1"/>
  <c r="L152" i="2" s="1"/>
  <c r="O170" i="2"/>
  <c r="M170" i="2"/>
  <c r="K167" i="2"/>
  <c r="O175" i="2"/>
  <c r="M175" i="2"/>
  <c r="O178" i="2"/>
  <c r="M178" i="2"/>
  <c r="M99" i="2"/>
  <c r="L99" i="2" s="1"/>
  <c r="M101" i="2"/>
  <c r="L101" i="2" s="1"/>
  <c r="M103" i="2"/>
  <c r="L103" i="2" s="1"/>
  <c r="K106" i="2"/>
  <c r="M117" i="2"/>
  <c r="L117" i="2" s="1"/>
  <c r="M142" i="2"/>
  <c r="L142" i="2" s="1"/>
  <c r="M48" i="2"/>
  <c r="L48" i="2" s="1"/>
  <c r="J49" i="2"/>
  <c r="M52" i="2"/>
  <c r="L52" i="2" s="1"/>
  <c r="J53" i="2"/>
  <c r="M64" i="2"/>
  <c r="L64" i="2" s="1"/>
  <c r="M75" i="2"/>
  <c r="L75" i="2" s="1"/>
  <c r="J76" i="2"/>
  <c r="J70" i="2" s="1"/>
  <c r="M78" i="2"/>
  <c r="L78" i="2" s="1"/>
  <c r="J79" i="2"/>
  <c r="M81" i="2"/>
  <c r="L81" i="2" s="1"/>
  <c r="J82" i="2"/>
  <c r="J84" i="2"/>
  <c r="J89" i="2"/>
  <c r="J90" i="2"/>
  <c r="M97" i="2"/>
  <c r="L97" i="2" s="1"/>
  <c r="N99" i="2"/>
  <c r="K102" i="2"/>
  <c r="N105" i="2"/>
  <c r="M105" i="2" s="1"/>
  <c r="L105" i="2" s="1"/>
  <c r="J107" i="2"/>
  <c r="M112" i="2"/>
  <c r="L112" i="2" s="1"/>
  <c r="M115" i="2"/>
  <c r="L115" i="2" s="1"/>
  <c r="M118" i="2"/>
  <c r="L118" i="2" s="1"/>
  <c r="J122" i="2"/>
  <c r="J111" i="2" s="1"/>
  <c r="J124" i="2"/>
  <c r="K127" i="2"/>
  <c r="M127" i="2" s="1"/>
  <c r="L127" i="2" s="1"/>
  <c r="M133" i="2"/>
  <c r="L133" i="2" s="1"/>
  <c r="M136" i="2"/>
  <c r="L136" i="2" s="1"/>
  <c r="M140" i="2"/>
  <c r="L140" i="2" s="1"/>
  <c r="Y151" i="2"/>
  <c r="N151" i="2"/>
  <c r="M151" i="2" s="1"/>
  <c r="L151" i="2" s="1"/>
  <c r="W151" i="2"/>
  <c r="O171" i="2"/>
  <c r="M171" i="2"/>
  <c r="O174" i="2"/>
  <c r="M174" i="2"/>
  <c r="O179" i="2"/>
  <c r="M179" i="2" s="1"/>
  <c r="K98" i="2"/>
  <c r="K113" i="2"/>
  <c r="K111" i="2" s="1"/>
  <c r="K116" i="2"/>
  <c r="M137" i="2"/>
  <c r="L137" i="2" s="1"/>
  <c r="Q138" i="2"/>
  <c r="S131" i="2" s="1"/>
  <c r="J144" i="2"/>
  <c r="J131" i="2" s="1"/>
  <c r="M149" i="2"/>
  <c r="L149" i="2" s="1"/>
  <c r="AB149" i="2"/>
  <c r="W150" i="2"/>
  <c r="W160" i="2" s="1"/>
  <c r="AA150" i="2"/>
  <c r="M153" i="2"/>
  <c r="L153" i="2" s="1"/>
  <c r="Y153" i="2"/>
  <c r="AB154" i="2"/>
  <c r="AB155" i="2"/>
  <c r="AB156" i="2"/>
  <c r="AB157" i="2"/>
  <c r="U158" i="2"/>
  <c r="Z158" i="2"/>
  <c r="Z160" i="2" s="1"/>
  <c r="M169" i="2"/>
  <c r="Q172" i="2"/>
  <c r="M172" i="2" s="1"/>
  <c r="M173" i="2"/>
  <c r="O176" i="2"/>
  <c r="M176" i="2" s="1"/>
  <c r="M177" i="2"/>
  <c r="N149" i="2"/>
  <c r="Y149" i="2"/>
  <c r="Y160" i="2" s="1"/>
  <c r="N154" i="2"/>
  <c r="M154" i="2" s="1"/>
  <c r="L154" i="2" s="1"/>
  <c r="Y154" i="2"/>
  <c r="M155" i="2"/>
  <c r="L155" i="2" s="1"/>
  <c r="Y155" i="2"/>
  <c r="M156" i="2"/>
  <c r="L156" i="2" s="1"/>
  <c r="Y156" i="2"/>
  <c r="M157" i="2"/>
  <c r="L157" i="2" s="1"/>
  <c r="Y157" i="2"/>
  <c r="M158" i="2"/>
  <c r="L158" i="2" s="1"/>
  <c r="W158" i="2"/>
  <c r="W153" i="2"/>
  <c r="K148" i="2"/>
  <c r="AA160" i="2" l="1"/>
  <c r="J11" i="2"/>
  <c r="M36" i="2"/>
  <c r="L36" i="2" s="1"/>
  <c r="AB158" i="2"/>
  <c r="AB160" i="2" s="1"/>
  <c r="AA158" i="2"/>
  <c r="N102" i="2"/>
  <c r="P102" i="2"/>
  <c r="P10" i="2" s="1"/>
  <c r="M102" i="2"/>
  <c r="L102" i="2" s="1"/>
  <c r="O113" i="2"/>
  <c r="M113" i="2" s="1"/>
  <c r="L113" i="2" s="1"/>
  <c r="N98" i="2"/>
  <c r="N10" i="2" s="1"/>
  <c r="N11" i="2" s="1"/>
  <c r="J88" i="2"/>
  <c r="N106" i="2"/>
  <c r="M106" i="2"/>
  <c r="L106" i="2" s="1"/>
  <c r="O10" i="2"/>
  <c r="M17" i="2"/>
  <c r="L17" i="2" s="1"/>
  <c r="M138" i="2"/>
  <c r="L138" i="2" s="1"/>
  <c r="M116" i="2"/>
  <c r="L116" i="2" s="1"/>
  <c r="Q116" i="2"/>
  <c r="S111" i="2" s="1"/>
  <c r="Q139" i="2"/>
  <c r="M139" i="2" s="1"/>
  <c r="L139" i="2" s="1"/>
  <c r="L15" i="2"/>
  <c r="Q43" i="2"/>
  <c r="Q10" i="2" s="1"/>
  <c r="Q11" i="2" s="1"/>
  <c r="M43" i="2"/>
  <c r="L43" i="2" s="1"/>
  <c r="K88" i="2"/>
  <c r="K11" i="2" s="1"/>
  <c r="N18" i="2"/>
  <c r="O18" i="2"/>
  <c r="M18" i="2"/>
  <c r="L18" i="2" s="1"/>
  <c r="P11" i="2" l="1"/>
  <c r="M98" i="2"/>
  <c r="L98" i="2" s="1"/>
  <c r="S34" i="2"/>
  <c r="O11" i="2"/>
  <c r="M10" i="2" l="1"/>
  <c r="M11" i="2" s="1"/>
  <c r="C4" i="1" l="1"/>
  <c r="E51" i="1"/>
  <c r="F46" i="1"/>
  <c r="D46" i="1"/>
  <c r="C46" i="1"/>
  <c r="E48" i="1"/>
  <c r="E49" i="1"/>
  <c r="E47" i="1"/>
  <c r="F38" i="1"/>
  <c r="D38" i="1"/>
  <c r="C38" i="1"/>
  <c r="E40" i="1"/>
  <c r="E41" i="1"/>
  <c r="E42" i="1"/>
  <c r="E43" i="1"/>
  <c r="E44" i="1"/>
  <c r="F29" i="1"/>
  <c r="D29" i="1"/>
  <c r="C29" i="1"/>
  <c r="E39" i="1"/>
  <c r="E30" i="1"/>
  <c r="E32" i="1"/>
  <c r="E33" i="1"/>
  <c r="E34" i="1"/>
  <c r="E35" i="1"/>
  <c r="E36" i="1"/>
  <c r="E31" i="1"/>
  <c r="F23" i="1"/>
  <c r="D23" i="1"/>
  <c r="C23" i="1"/>
  <c r="E25" i="1"/>
  <c r="E26" i="1"/>
  <c r="E27" i="1"/>
  <c r="E24" i="1"/>
  <c r="F17" i="1"/>
  <c r="D17" i="1"/>
  <c r="C17" i="1"/>
  <c r="E20" i="1"/>
  <c r="E21" i="1"/>
  <c r="E18" i="1"/>
  <c r="E19" i="1"/>
  <c r="D11" i="1"/>
  <c r="C11" i="1"/>
  <c r="E14" i="1"/>
  <c r="E12" i="1"/>
  <c r="E6" i="1"/>
  <c r="E7" i="1"/>
  <c r="E9" i="1"/>
  <c r="E5" i="1"/>
  <c r="F13" i="1"/>
  <c r="F15" i="1"/>
  <c r="E15" i="1" s="1"/>
  <c r="D4" i="1"/>
  <c r="F8" i="1"/>
  <c r="F4" i="1" s="1"/>
  <c r="E46" i="1" l="1"/>
  <c r="E38" i="1"/>
  <c r="E29" i="1"/>
  <c r="E23" i="1"/>
  <c r="E17" i="1"/>
  <c r="F11" i="1"/>
  <c r="E13" i="1"/>
  <c r="E11" i="1" s="1"/>
  <c r="E8" i="1"/>
  <c r="E4" i="1" s="1"/>
</calcChain>
</file>

<file path=xl/sharedStrings.xml><?xml version="1.0" encoding="utf-8"?>
<sst xmlns="http://schemas.openxmlformats.org/spreadsheetml/2006/main" count="906" uniqueCount="258">
  <si>
    <t>Actividad</t>
  </si>
  <si>
    <t>Costos</t>
  </si>
  <si>
    <t xml:space="preserve">Diseño de modulos de capacitacion </t>
  </si>
  <si>
    <t xml:space="preserve">Convocatoria y difusión en coordinación con directivas y municipalidades. </t>
  </si>
  <si>
    <t xml:space="preserve">Monitoreo </t>
  </si>
  <si>
    <t>Ejecución Sistema de Capacitación en quechua (5 sesiones / 4 horas en 15 comunidades) - Actividades de venta</t>
  </si>
  <si>
    <t>Pasantía  (3 pasantías cada uno con 5 comunidades) - Actividades de Venta</t>
  </si>
  <si>
    <t>Financ. AEA</t>
  </si>
  <si>
    <t>Financ. Proprio</t>
  </si>
  <si>
    <t>Formación de Personal - Sistema modular de Capacitación para Jovenes en el aprovechamiento de la energía solar - 5 modulos a 2 días - 3 Sistemas a 15 personas</t>
  </si>
  <si>
    <t xml:space="preserve">Ejecución de plan de formación  (30 sesiones / 5 horas) </t>
  </si>
  <si>
    <t>Monitoreo al diseño e ejecución de  sistema de capacitación</t>
  </si>
  <si>
    <t>Convocatoria y difusión, promoción para el evento</t>
  </si>
  <si>
    <t>Financ. Benefic</t>
  </si>
  <si>
    <t>Ayuda incial para el negocio de los jovenes</t>
  </si>
  <si>
    <t>Herramientas para las instalaicones</t>
  </si>
  <si>
    <t>Monitoreo del estado de los 5 negocios</t>
  </si>
  <si>
    <t>Ejecución asesoría para 5 grupos que comiencan su negocio</t>
  </si>
  <si>
    <t xml:space="preserve">Publicación / Promoción </t>
  </si>
  <si>
    <t>Eventos de promoción para la promoción y la venta del calentador solar en zonas periurbanos</t>
  </si>
  <si>
    <t>Diseño de eventos de promoción</t>
  </si>
  <si>
    <t>Ejecución de eventos de promoción</t>
  </si>
  <si>
    <t>Fabricación y instalación de calentadores Solares en comunidades campesinas (100 unidades)</t>
  </si>
  <si>
    <t xml:space="preserve">Selección de 100 familias sujeto. </t>
  </si>
  <si>
    <t>Fabriación de 100 calentadores solares</t>
  </si>
  <si>
    <t>Instalación de 100 calentadores solares</t>
  </si>
  <si>
    <t>Mejoramiento Duchas (Tubería / Accesorios)</t>
  </si>
  <si>
    <t xml:space="preserve">Monitoreo, determinar impactos 100 familias sujeto. </t>
  </si>
  <si>
    <t>Herramientas</t>
  </si>
  <si>
    <t>Supervision obras / instrucciónes uso y manteminiento</t>
  </si>
  <si>
    <t>Fabricación y instalación de calentadores Solares zona periurbana (50 Unidades)</t>
  </si>
  <si>
    <t>Selección de 50 clientes</t>
  </si>
  <si>
    <t>Fabriación de 50 calentadores solares</t>
  </si>
  <si>
    <t>Instalación de 50 calentadores solares</t>
  </si>
  <si>
    <t xml:space="preserve">Monitoreo, determinar impactos 50 familias sujeto. </t>
  </si>
  <si>
    <t>Instalación Sistemas fotovoltacios  y calentadores solares comerciales para la formación de los jóvenes Empresarios (10 Unidades)</t>
  </si>
  <si>
    <t xml:space="preserve">Selección de 10 Lugares sujeto. </t>
  </si>
  <si>
    <t>Instalación de 10 sistemas solares</t>
  </si>
  <si>
    <t>Monitoreo, determinar impactos de los 10 sistemas solares</t>
  </si>
  <si>
    <t>Funccionamiento del Proyecto</t>
  </si>
  <si>
    <t>Campañas de conscientización y promoción - Sistema modular de Capacitación en Comunidades / pasantías</t>
  </si>
  <si>
    <t>CRONOCRAMA - Fomento de energía solar en comunidades y periferie de Cusco</t>
  </si>
  <si>
    <t>Convocatorio 3 AEA - Fomento de energía solar en comunidades y periferie de Cusco</t>
  </si>
  <si>
    <t>Conv. Euro/USD</t>
  </si>
  <si>
    <t>Communidades</t>
  </si>
  <si>
    <t>Periurbano</t>
  </si>
  <si>
    <t>Presupuesto</t>
  </si>
  <si>
    <t>Conv. NS/USD</t>
  </si>
  <si>
    <t>Nr. Pers. P. Taller</t>
  </si>
  <si>
    <t>Nr. Sistemas solares</t>
  </si>
  <si>
    <t>Nr. Talleres Com.</t>
  </si>
  <si>
    <t>Nr. Talleres M empresas</t>
  </si>
  <si>
    <t>CEC. Guaman Poma de Ayala</t>
  </si>
  <si>
    <t>Costos alquiler Carro p. km</t>
  </si>
  <si>
    <t>Nr. de Meses</t>
  </si>
  <si>
    <t>Costos combustible p. km</t>
  </si>
  <si>
    <t>Nr. de Comunidades</t>
  </si>
  <si>
    <t>Nr. Talleres</t>
  </si>
  <si>
    <t>Refrigerio</t>
  </si>
  <si>
    <t>Nr. Calentadore  Solares</t>
  </si>
  <si>
    <t>Nr. Jóvenes Capacitación</t>
  </si>
  <si>
    <t>Familias indígenas rurales</t>
  </si>
  <si>
    <t>Almuerzo</t>
  </si>
  <si>
    <t>Evento de Promocion</t>
  </si>
  <si>
    <t>Nr. Modulos a 2 dias</t>
  </si>
  <si>
    <t>Micro empresas periurbanos</t>
  </si>
  <si>
    <t>Distancia promedio Comunidad (ida y v)</t>
  </si>
  <si>
    <t>km</t>
  </si>
  <si>
    <t>Nr. Calentadores Solares Zona Periurbana</t>
  </si>
  <si>
    <t>Días por Modulo</t>
  </si>
  <si>
    <t>Jóvenes con educación básica técnica</t>
  </si>
  <si>
    <t>Distancia promedio Periurbano</t>
  </si>
  <si>
    <t>AEA</t>
  </si>
  <si>
    <t>FSU</t>
  </si>
  <si>
    <t>GPA</t>
  </si>
  <si>
    <t>MB</t>
  </si>
  <si>
    <t>Beneficiario</t>
  </si>
  <si>
    <t>ITEM</t>
  </si>
  <si>
    <t>Descripc. Gasto</t>
  </si>
  <si>
    <t>RUBRO</t>
  </si>
  <si>
    <t>TIPO DE GASTO</t>
  </si>
  <si>
    <t>Medida</t>
  </si>
  <si>
    <t>Cantidad</t>
  </si>
  <si>
    <t>C/U S/.</t>
  </si>
  <si>
    <t>C/U $</t>
  </si>
  <si>
    <t>TOTAL NS</t>
  </si>
  <si>
    <t>TOTAL $</t>
  </si>
  <si>
    <t>TOTAL</t>
  </si>
  <si>
    <t>Sistema modular de Capacitación en Comunidades / pasantías / capacitaciones en uso y mantenimiento de las instalaciones</t>
  </si>
  <si>
    <t>Contenido, Presentaciones, coordinación</t>
  </si>
  <si>
    <t>Personal</t>
  </si>
  <si>
    <t>Personal técnico de planta de la ED</t>
  </si>
  <si>
    <t>mes</t>
  </si>
  <si>
    <t xml:space="preserve">Fotocopias </t>
  </si>
  <si>
    <t>Servicios_de_Publicidad_y_difusión</t>
  </si>
  <si>
    <t>Impresión, edición, traducción y distribución de documentos y materiales impresos</t>
  </si>
  <si>
    <t>pagina</t>
  </si>
  <si>
    <t>Movilidad para asesorías técnicas en comunidades</t>
  </si>
  <si>
    <t>Viajes</t>
  </si>
  <si>
    <t>Alquiler de vehículo</t>
  </si>
  <si>
    <t>Combustible, peajes y parqueos</t>
  </si>
  <si>
    <t xml:space="preserve">Ejecución de plan de formación en quechua (5 sesiones / 4 horas) </t>
  </si>
  <si>
    <t>Mini - Feria, presentación calentador Solar</t>
  </si>
  <si>
    <t xml:space="preserve">Refrigerio para talleres </t>
  </si>
  <si>
    <t>Alimentos_y_Bebidas</t>
  </si>
  <si>
    <t>Refrigerios (bocaditos y bebidas).</t>
  </si>
  <si>
    <t>ración</t>
  </si>
  <si>
    <t>Movilidad para talleres en comunidades</t>
  </si>
  <si>
    <t>viaje</t>
  </si>
  <si>
    <t>Material pedagógico (papelografo, plumones, lapiceros, folder, cuaderno)</t>
  </si>
  <si>
    <t>Materiales_Insumos</t>
  </si>
  <si>
    <t>Materiales para uso exclusivo de eventos (papelería, útiles, carpetas, otros)</t>
  </si>
  <si>
    <t>taller</t>
  </si>
  <si>
    <t>Alquiler de equipos Multimedia (laptop, cañón)</t>
  </si>
  <si>
    <t>Alquileres</t>
  </si>
  <si>
    <t xml:space="preserve">Alquiler de equipos multimedia </t>
  </si>
  <si>
    <t xml:space="preserve">Alquiler de equipo de sonido </t>
  </si>
  <si>
    <t>Alquiler de local para cursos en Municipalidad</t>
  </si>
  <si>
    <t>Alquiler de local o sala de eventos</t>
  </si>
  <si>
    <t>día</t>
  </si>
  <si>
    <t>Pasantía</t>
  </si>
  <si>
    <t>Mobilidad</t>
  </si>
  <si>
    <t>Ejecución y preparación pasantía</t>
  </si>
  <si>
    <t>Ejecución y preparación taller</t>
  </si>
  <si>
    <t>Personal de apoyo para trabajo de campo (Translador)</t>
  </si>
  <si>
    <t>Otros_Gastos</t>
  </si>
  <si>
    <t>Servicios de interpretación simultánea en eventos y talleres</t>
  </si>
  <si>
    <t>Monitoreo al diseño e ejecución de  5 sesiones.</t>
  </si>
  <si>
    <t>Monitoreo</t>
  </si>
  <si>
    <t>Sistema modular de Capacitación para Jovenes en el aprovechamiento de la energía solar - 5 modulos a 2 días - 3 Sistemas a 15 personas</t>
  </si>
  <si>
    <t>p. por alumno</t>
  </si>
  <si>
    <t>Consultorías_asesorías_y_similares</t>
  </si>
  <si>
    <t>Honorarios del equipo técnico especializado</t>
  </si>
  <si>
    <t xml:space="preserve">Convocatoria y difusión en coordinación con instituciones y grupo meta </t>
  </si>
  <si>
    <t>diseño tripticos</t>
  </si>
  <si>
    <t>Servicio por diseño y edición de las publicaciones</t>
  </si>
  <si>
    <t>und</t>
  </si>
  <si>
    <t>Tripticos</t>
  </si>
  <si>
    <t>unidad</t>
  </si>
  <si>
    <t>spot Radio</t>
  </si>
  <si>
    <t xml:space="preserve">Difusión por radio y televisión, </t>
  </si>
  <si>
    <t>Movilidad distribucion y coordinacón</t>
  </si>
  <si>
    <t>Movilidad para talleres a la granja</t>
  </si>
  <si>
    <t xml:space="preserve">Movilidades internas y traslados (aeropuerto-hotel-aeropuerto) </t>
  </si>
  <si>
    <t xml:space="preserve">Alquiler de local para cursos </t>
  </si>
  <si>
    <t>Costos por mano de obra no calificada y jornaleros</t>
  </si>
  <si>
    <t>Materiales de documentación para entregar a los alumnos</t>
  </si>
  <si>
    <t>Fotocopias de material para eventos</t>
  </si>
  <si>
    <t>Materiales de demonstración, materiales de consumo</t>
  </si>
  <si>
    <t>Insumos de equipos especializados adquiridos para la ejecución del proyecto</t>
  </si>
  <si>
    <t>Ejecución asesoría 5 grupos o personas de jovenes que comiencan su negocio</t>
  </si>
  <si>
    <t>Acompañamento, asesoría</t>
  </si>
  <si>
    <t>Publicación</t>
  </si>
  <si>
    <t>diseño folletos</t>
  </si>
  <si>
    <t>Folletos</t>
  </si>
  <si>
    <t>Asesoría</t>
  </si>
  <si>
    <t>Movilidad para asesorías en o zona periurbana comunidades</t>
  </si>
  <si>
    <t>Movilidad para asesorías en  comunidades o zona periurbana</t>
  </si>
  <si>
    <t>Equipos (herramientas) para la instalación</t>
  </si>
  <si>
    <t>Eventos de promoción para la promoción del calentador solar en zonas periurbanos</t>
  </si>
  <si>
    <t>Alquiler de local / lugar</t>
  </si>
  <si>
    <t>Fotocopía y impresiones</t>
  </si>
  <si>
    <t>Fotocopias de información especializada para uso del proyecto</t>
  </si>
  <si>
    <t>Promoción del producto en zona periurbana</t>
  </si>
  <si>
    <t>Monitoreo al diseño e ejecución de  5 eventos.</t>
  </si>
  <si>
    <t>p. Beneficiario</t>
  </si>
  <si>
    <t>Coordinación, seleccón, firmar contratos</t>
  </si>
  <si>
    <t>Mano de obra de Fabricación</t>
  </si>
  <si>
    <t>Materiales de Construcción</t>
  </si>
  <si>
    <t>Materiales de construcción</t>
  </si>
  <si>
    <t>Gastos administrativos Construcción</t>
  </si>
  <si>
    <t>Instalación Mano de Obra</t>
  </si>
  <si>
    <t>Instalación Materiales</t>
  </si>
  <si>
    <t>Supervisión de obra ( Ingenierol)</t>
  </si>
  <si>
    <t>Diseño Folleto de uso y manteminiento</t>
  </si>
  <si>
    <t>Diesño</t>
  </si>
  <si>
    <t>Folleto de uso y manteminiento</t>
  </si>
  <si>
    <t>Ejecución</t>
  </si>
  <si>
    <t>Instalación Sistemas fotovoltacios  y calentadores solares comerciales en un total de 10 lugares</t>
  </si>
  <si>
    <t>Movilidad para asesorías técnicas en z. Periurbano</t>
  </si>
  <si>
    <t>Pasajes aéreos, terrestres y fluviales</t>
  </si>
  <si>
    <t>Coordinación, selección, firmar contratos</t>
  </si>
  <si>
    <t>Calculos sistemas y materiales, Coordnación Instalación</t>
  </si>
  <si>
    <t>Consultoría experto</t>
  </si>
  <si>
    <t>Honorarios de consultorías que sean pertinentes</t>
  </si>
  <si>
    <t>Movilidad instalación</t>
  </si>
  <si>
    <t>Instalación Materiales Calentadores Sol</t>
  </si>
  <si>
    <t>Instalación Materiales Sistemas Fotov</t>
  </si>
  <si>
    <t>Equipos (herramientas)  para la instalación</t>
  </si>
  <si>
    <t>CS</t>
  </si>
  <si>
    <t>Form Jov</t>
  </si>
  <si>
    <t>Adm / Monitoreo / Informes</t>
  </si>
  <si>
    <t>Admin /Monitoreso / Informes</t>
  </si>
  <si>
    <t>Promotor - facilitador</t>
  </si>
  <si>
    <t>Facilitador - capacitador</t>
  </si>
  <si>
    <t>Coordinador del proyecto</t>
  </si>
  <si>
    <t>Coordinador del proyecto (Arquitecto)</t>
  </si>
  <si>
    <t>Un (01) personal administrativo dedicado al 100% a la gestión del proyecto</t>
  </si>
  <si>
    <t>traslado de personal</t>
  </si>
  <si>
    <t>Chofer</t>
  </si>
  <si>
    <t>Responsable de ejecucion y monitoreo de obras</t>
  </si>
  <si>
    <t>Coordinador de la ejecucion fisica de obras (Ingeniero Civil)</t>
  </si>
  <si>
    <t xml:space="preserve">Ingeniero </t>
  </si>
  <si>
    <t xml:space="preserve">responsibilidad tecnica, desarrollo propuesta, </t>
  </si>
  <si>
    <t>Promotora de habitos de higiene en viviendas</t>
  </si>
  <si>
    <t>Especialista Desarrollo Economico</t>
  </si>
  <si>
    <t>DEL</t>
  </si>
  <si>
    <t>Especialista Escuela</t>
  </si>
  <si>
    <t>Escuela (Capacitacónes Periurbano)</t>
  </si>
  <si>
    <t>Obrero</t>
  </si>
  <si>
    <t>Traductor / Personal de apoyo en campo</t>
  </si>
  <si>
    <t>Traductor / Personal de apoyo</t>
  </si>
  <si>
    <t>Pasajes para expertos</t>
  </si>
  <si>
    <t>Pasajes</t>
  </si>
  <si>
    <t>Mobilidad en general</t>
  </si>
  <si>
    <t>Equipos especiales</t>
  </si>
  <si>
    <t>Equipos_especiales</t>
  </si>
  <si>
    <t>Adquisición y/o alquiler de equipos especializados</t>
  </si>
  <si>
    <t>meses</t>
  </si>
  <si>
    <t>Documentos para AEA</t>
  </si>
  <si>
    <t>Copias</t>
  </si>
  <si>
    <t>Fotocopias de documentos solicitados por la UNIP</t>
  </si>
  <si>
    <t>Documentacion, publicidad y difusion</t>
  </si>
  <si>
    <t>Fuentes de verificacion, Fotos, Film</t>
  </si>
  <si>
    <t>Impresión de papelería para divulgación (trípticos, banderola, folleto, y otros relacionados)</t>
  </si>
  <si>
    <t>Costos financieros por la emision de Garantías</t>
  </si>
  <si>
    <t>Costos de Personal técnico</t>
  </si>
  <si>
    <t>Soporte Tecnico y informatico, asistentes</t>
  </si>
  <si>
    <t>Los beneficios sociales u otros ingresos adicionales</t>
  </si>
  <si>
    <t>Seguro de Salud, Seguro de Vida</t>
  </si>
  <si>
    <t>Valoración de la mano de obra de los beneficiarios</t>
  </si>
  <si>
    <t>Materiales y útiles de oficinia</t>
  </si>
  <si>
    <t>Servicios de comunicación (internet, telefonía)</t>
  </si>
  <si>
    <t>Licencias o software expecializados</t>
  </si>
  <si>
    <t>Auto CAD</t>
  </si>
  <si>
    <t>Repuestos, reparaciones y mantenimiento de vehiculos</t>
  </si>
  <si>
    <t>Alquiler de muebles y enseres</t>
  </si>
  <si>
    <t>Equipos informáticos como: PC, laptop, impresoras…</t>
  </si>
  <si>
    <t>Comisiones bancarías</t>
  </si>
  <si>
    <t>Presupuesto TOTAL por RUBROS</t>
  </si>
  <si>
    <t>AEA / mes</t>
  </si>
  <si>
    <t>Rubro</t>
  </si>
  <si>
    <t>Tipo de Gasto</t>
  </si>
  <si>
    <t xml:space="preserve">Honorarios de facilitadores y expositores </t>
  </si>
  <si>
    <t>Servicios prestados por terceros</t>
  </si>
  <si>
    <t>Practicantes y/o pasantes bajo la normativa laboral de cada país</t>
  </si>
  <si>
    <t>Viáticos, o alimentación y hospedaje</t>
  </si>
  <si>
    <t>Tasas aeroportuarias</t>
  </si>
  <si>
    <t>Almuerzos</t>
  </si>
  <si>
    <t>Subvención alimenticia para jornaleros</t>
  </si>
  <si>
    <t>Instalación, mantenimiento y reparación de los equipos especializados.</t>
  </si>
  <si>
    <t>Otros equipos complementarios sometidos a consideración del IICA.</t>
  </si>
  <si>
    <t>Servicios de mensajería.</t>
  </si>
  <si>
    <t xml:space="preserve">Adquisición de documentos y bibliografía de información especializada </t>
  </si>
  <si>
    <t>Movilidades locales dentro del ámbito de la Sede del Proyecto</t>
  </si>
  <si>
    <t>GASTOS DE CONTRAPARTIDA</t>
  </si>
  <si>
    <t>Valoación de la mano de obra de los beneficiarios</t>
  </si>
  <si>
    <t>Partidas / Rubros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</si>
</sst>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USD]\ #,##0.00"/>
    <numFmt numFmtId="165" formatCode="[$PEN]\ 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color theme="0"/>
      <name val="Calibri"/>
      <family val="2"/>
      <scheme val="minor"/>
    </font>
    <font>
      <u/>
      <sz val="1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9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14996795556505021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98">
    <xf numFmtId="0" fontId="0" fillId="0" borderId="0" xfId="0"/>
    <xf numFmtId="0" fontId="3" fillId="0" borderId="0" xfId="0" applyFont="1"/>
    <xf numFmtId="0" fontId="0" fillId="0" borderId="2" xfId="0" applyBorder="1"/>
    <xf numFmtId="0" fontId="0" fillId="2" borderId="2" xfId="0" applyFill="1" applyBorder="1"/>
    <xf numFmtId="0" fontId="0" fillId="2" borderId="3" xfId="0" applyFill="1" applyBorder="1"/>
    <xf numFmtId="0" fontId="0" fillId="0" borderId="3" xfId="0" applyFill="1" applyBorder="1"/>
    <xf numFmtId="0" fontId="0" fillId="0" borderId="3" xfId="0" applyBorder="1"/>
    <xf numFmtId="0" fontId="0" fillId="4" borderId="2" xfId="0" applyFill="1" applyBorder="1"/>
    <xf numFmtId="0" fontId="0" fillId="4" borderId="3" xfId="0" applyFill="1" applyBorder="1"/>
    <xf numFmtId="0" fontId="0" fillId="5" borderId="3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2" xfId="0" applyFill="1" applyBorder="1"/>
    <xf numFmtId="0" fontId="0" fillId="7" borderId="3" xfId="0" applyFill="1" applyBorder="1"/>
    <xf numFmtId="0" fontId="0" fillId="7" borderId="2" xfId="0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4" fillId="0" borderId="0" xfId="1" applyNumberFormat="1" applyFont="1" applyFill="1" applyBorder="1" applyAlignment="1">
      <alignment wrapText="1"/>
    </xf>
    <xf numFmtId="164" fontId="0" fillId="0" borderId="0" xfId="0" applyNumberFormat="1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4" xfId="0" applyFont="1" applyBorder="1" applyAlignment="1">
      <alignment vertical="top" wrapText="1"/>
    </xf>
    <xf numFmtId="164" fontId="0" fillId="0" borderId="4" xfId="0" applyNumberFormat="1" applyFont="1" applyBorder="1"/>
    <xf numFmtId="0" fontId="0" fillId="0" borderId="4" xfId="0" applyFont="1" applyBorder="1" applyAlignment="1">
      <alignment vertical="top"/>
    </xf>
    <xf numFmtId="0" fontId="4" fillId="0" borderId="4" xfId="1" applyNumberFormat="1" applyFont="1" applyFill="1" applyBorder="1" applyAlignment="1">
      <alignment wrapText="1"/>
    </xf>
    <xf numFmtId="0" fontId="0" fillId="0" borderId="0" xfId="0" applyFont="1" applyBorder="1" applyAlignment="1">
      <alignment vertical="top"/>
    </xf>
    <xf numFmtId="164" fontId="1" fillId="0" borderId="4" xfId="0" applyNumberFormat="1" applyFont="1" applyBorder="1" applyAlignment="1">
      <alignment vertical="top"/>
    </xf>
    <xf numFmtId="164" fontId="0" fillId="0" borderId="4" xfId="0" applyNumberFormat="1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0" fillId="0" borderId="4" xfId="0" applyFont="1" applyFill="1" applyBorder="1" applyAlignment="1">
      <alignment vertical="top"/>
    </xf>
    <xf numFmtId="0" fontId="4" fillId="0" borderId="4" xfId="0" applyNumberFormat="1" applyFont="1" applyFill="1" applyBorder="1" applyAlignment="1">
      <alignment wrapText="1"/>
    </xf>
    <xf numFmtId="0" fontId="1" fillId="3" borderId="4" xfId="0" applyFont="1" applyFill="1" applyBorder="1" applyAlignment="1">
      <alignment vertical="top"/>
    </xf>
    <xf numFmtId="0" fontId="1" fillId="3" borderId="4" xfId="0" applyFont="1" applyFill="1" applyBorder="1" applyAlignment="1">
      <alignment vertical="top" wrapText="1"/>
    </xf>
    <xf numFmtId="0" fontId="0" fillId="3" borderId="2" xfId="0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1" fillId="7" borderId="4" xfId="0" applyFont="1" applyFill="1" applyBorder="1" applyAlignment="1">
      <alignment vertical="top"/>
    </xf>
    <xf numFmtId="0" fontId="1" fillId="7" borderId="4" xfId="0" applyFont="1" applyFill="1" applyBorder="1" applyAlignment="1">
      <alignment vertical="top" wrapText="1"/>
    </xf>
    <xf numFmtId="164" fontId="1" fillId="7" borderId="4" xfId="0" applyNumberFormat="1" applyFont="1" applyFill="1" applyBorder="1" applyAlignment="1">
      <alignment vertical="top"/>
    </xf>
    <xf numFmtId="164" fontId="0" fillId="7" borderId="4" xfId="0" applyNumberFormat="1" applyFont="1" applyFill="1" applyBorder="1" applyAlignment="1">
      <alignment vertical="top"/>
    </xf>
    <xf numFmtId="0" fontId="1" fillId="6" borderId="4" xfId="0" applyFont="1" applyFill="1" applyBorder="1" applyAlignment="1">
      <alignment vertical="top"/>
    </xf>
    <xf numFmtId="0" fontId="1" fillId="6" borderId="4" xfId="0" applyFont="1" applyFill="1" applyBorder="1" applyAlignment="1">
      <alignment vertical="top" wrapText="1"/>
    </xf>
    <xf numFmtId="164" fontId="1" fillId="6" borderId="4" xfId="0" applyNumberFormat="1" applyFont="1" applyFill="1" applyBorder="1" applyAlignment="1">
      <alignment vertical="top"/>
    </xf>
    <xf numFmtId="164" fontId="0" fillId="6" borderId="4" xfId="0" applyNumberFormat="1" applyFont="1" applyFill="1" applyBorder="1" applyAlignment="1">
      <alignment vertical="top"/>
    </xf>
    <xf numFmtId="0" fontId="1" fillId="5" borderId="4" xfId="0" applyFont="1" applyFill="1" applyBorder="1" applyAlignment="1">
      <alignment vertical="top"/>
    </xf>
    <xf numFmtId="0" fontId="1" fillId="5" borderId="4" xfId="0" applyFont="1" applyFill="1" applyBorder="1" applyAlignment="1">
      <alignment vertical="top" wrapText="1"/>
    </xf>
    <xf numFmtId="164" fontId="1" fillId="5" borderId="4" xfId="0" applyNumberFormat="1" applyFont="1" applyFill="1" applyBorder="1" applyAlignment="1">
      <alignment vertical="top"/>
    </xf>
    <xf numFmtId="164" fontId="0" fillId="5" borderId="4" xfId="0" applyNumberFormat="1" applyFont="1" applyFill="1" applyBorder="1" applyAlignment="1">
      <alignment vertical="top"/>
    </xf>
    <xf numFmtId="0" fontId="1" fillId="4" borderId="4" xfId="0" applyFont="1" applyFill="1" applyBorder="1" applyAlignment="1">
      <alignment vertical="top"/>
    </xf>
    <xf numFmtId="0" fontId="1" fillId="4" borderId="4" xfId="0" applyFont="1" applyFill="1" applyBorder="1" applyAlignment="1">
      <alignment vertical="top" wrapText="1"/>
    </xf>
    <xf numFmtId="164" fontId="1" fillId="4" borderId="4" xfId="0" applyNumberFormat="1" applyFont="1" applyFill="1" applyBorder="1" applyAlignment="1">
      <alignment vertical="top"/>
    </xf>
    <xf numFmtId="164" fontId="0" fillId="4" borderId="4" xfId="0" applyNumberFormat="1" applyFont="1" applyFill="1" applyBorder="1" applyAlignment="1">
      <alignment vertical="top"/>
    </xf>
    <xf numFmtId="0" fontId="1" fillId="13" borderId="4" xfId="0" applyFont="1" applyFill="1" applyBorder="1" applyAlignment="1">
      <alignment vertical="top"/>
    </xf>
    <xf numFmtId="0" fontId="1" fillId="13" borderId="4" xfId="0" applyFont="1" applyFill="1" applyBorder="1" applyAlignment="1">
      <alignment vertical="top" wrapText="1"/>
    </xf>
    <xf numFmtId="164" fontId="1" fillId="13" borderId="4" xfId="0" applyNumberFormat="1" applyFont="1" applyFill="1" applyBorder="1" applyAlignment="1">
      <alignment vertical="top"/>
    </xf>
    <xf numFmtId="164" fontId="0" fillId="13" borderId="4" xfId="0" applyNumberFormat="1" applyFont="1" applyFill="1" applyBorder="1" applyAlignment="1">
      <alignment vertical="top"/>
    </xf>
    <xf numFmtId="0" fontId="0" fillId="13" borderId="2" xfId="0" applyFill="1" applyBorder="1"/>
    <xf numFmtId="0" fontId="0" fillId="13" borderId="3" xfId="0" applyFill="1" applyBorder="1"/>
    <xf numFmtId="0" fontId="1" fillId="2" borderId="4" xfId="0" applyFont="1" applyFill="1" applyBorder="1" applyAlignment="1">
      <alignment vertical="top"/>
    </xf>
    <xf numFmtId="0" fontId="1" fillId="2" borderId="4" xfId="0" applyFont="1" applyFill="1" applyBorder="1" applyAlignment="1">
      <alignment vertical="top" wrapText="1"/>
    </xf>
    <xf numFmtId="164" fontId="1" fillId="2" borderId="4" xfId="0" applyNumberFormat="1" applyFont="1" applyFill="1" applyBorder="1" applyAlignment="1">
      <alignment vertical="top"/>
    </xf>
    <xf numFmtId="0" fontId="0" fillId="10" borderId="2" xfId="0" applyFill="1" applyBorder="1"/>
    <xf numFmtId="0" fontId="0" fillId="8" borderId="2" xfId="0" applyFill="1" applyBorder="1"/>
    <xf numFmtId="0" fontId="2" fillId="8" borderId="2" xfId="0" applyFont="1" applyFill="1" applyBorder="1"/>
    <xf numFmtId="0" fontId="2" fillId="8" borderId="3" xfId="0" applyFont="1" applyFill="1" applyBorder="1"/>
    <xf numFmtId="0" fontId="0" fillId="9" borderId="2" xfId="0" applyFill="1" applyBorder="1"/>
    <xf numFmtId="0" fontId="0" fillId="9" borderId="3" xfId="0" applyFill="1" applyBorder="1"/>
    <xf numFmtId="0" fontId="0" fillId="10" borderId="3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5" borderId="2" xfId="0" applyFill="1" applyBorder="1"/>
    <xf numFmtId="0" fontId="0" fillId="15" borderId="3" xfId="0" applyFill="1" applyBorder="1"/>
    <xf numFmtId="0" fontId="0" fillId="12" borderId="2" xfId="0" applyFill="1" applyBorder="1"/>
    <xf numFmtId="0" fontId="0" fillId="12" borderId="3" xfId="0" applyFill="1" applyBorder="1"/>
    <xf numFmtId="0" fontId="0" fillId="16" borderId="2" xfId="0" applyFill="1" applyBorder="1"/>
    <xf numFmtId="0" fontId="0" fillId="16" borderId="3" xfId="0" applyFill="1" applyBorder="1"/>
    <xf numFmtId="0" fontId="0" fillId="14" borderId="2" xfId="0" applyFill="1" applyBorder="1"/>
    <xf numFmtId="0" fontId="0" fillId="14" borderId="3" xfId="0" applyFill="1" applyBorder="1"/>
    <xf numFmtId="0" fontId="1" fillId="0" borderId="0" xfId="0" applyFont="1"/>
    <xf numFmtId="164" fontId="1" fillId="3" borderId="4" xfId="0" applyNumberFormat="1" applyFont="1" applyFill="1" applyBorder="1" applyAlignment="1">
      <alignment vertical="top"/>
    </xf>
    <xf numFmtId="164" fontId="0" fillId="3" borderId="4" xfId="0" applyNumberFormat="1" applyFont="1" applyFill="1" applyBorder="1" applyAlignment="1">
      <alignment vertical="top"/>
    </xf>
    <xf numFmtId="164" fontId="0" fillId="0" borderId="4" xfId="0" applyNumberFormat="1" applyBorder="1" applyAlignment="1">
      <alignment vertical="top"/>
    </xf>
    <xf numFmtId="164" fontId="0" fillId="0" borderId="4" xfId="0" applyNumberFormat="1" applyFont="1" applyFill="1" applyBorder="1" applyAlignment="1">
      <alignment vertical="top"/>
    </xf>
    <xf numFmtId="164" fontId="0" fillId="0" borderId="0" xfId="0" applyNumberFormat="1" applyFont="1" applyFill="1" applyBorder="1" applyAlignment="1">
      <alignment vertical="top"/>
    </xf>
    <xf numFmtId="164" fontId="0" fillId="0" borderId="0" xfId="0" applyNumberFormat="1" applyAlignment="1">
      <alignment vertical="top"/>
    </xf>
    <xf numFmtId="0" fontId="2" fillId="17" borderId="2" xfId="0" applyFont="1" applyFill="1" applyBorder="1"/>
    <xf numFmtId="0" fontId="0" fillId="17" borderId="2" xfId="0" applyFill="1" applyBorder="1"/>
    <xf numFmtId="0" fontId="0" fillId="17" borderId="3" xfId="0" applyFill="1" applyBorder="1"/>
    <xf numFmtId="0" fontId="0" fillId="17" borderId="0" xfId="0" applyFill="1"/>
    <xf numFmtId="17" fontId="1" fillId="0" borderId="0" xfId="0" applyNumberFormat="1" applyFont="1" applyBorder="1"/>
    <xf numFmtId="17" fontId="1" fillId="0" borderId="1" xfId="0" applyNumberFormat="1" applyFont="1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wrapText="1"/>
    </xf>
    <xf numFmtId="164" fontId="0" fillId="0" borderId="0" xfId="0" applyNumberFormat="1"/>
    <xf numFmtId="14" fontId="0" fillId="0" borderId="0" xfId="0" applyNumberFormat="1"/>
    <xf numFmtId="0" fontId="5" fillId="0" borderId="7" xfId="2" applyFont="1" applyFill="1" applyBorder="1"/>
    <xf numFmtId="0" fontId="5" fillId="0" borderId="7" xfId="2" applyFont="1" applyFill="1" applyBorder="1" applyAlignment="1">
      <alignment horizontal="center"/>
    </xf>
    <xf numFmtId="0" fontId="5" fillId="0" borderId="7" xfId="2" applyFont="1" applyFill="1" applyBorder="1" applyAlignment="1">
      <alignment horizontal="center" wrapText="1"/>
    </xf>
    <xf numFmtId="2" fontId="5" fillId="0" borderId="7" xfId="2" applyNumberFormat="1" applyFont="1" applyFill="1" applyBorder="1" applyAlignment="1">
      <alignment horizontal="right"/>
    </xf>
    <xf numFmtId="4" fontId="5" fillId="0" borderId="7" xfId="2" applyNumberFormat="1" applyFont="1" applyFill="1" applyBorder="1" applyAlignment="1">
      <alignment horizontal="right"/>
    </xf>
    <xf numFmtId="4" fontId="5" fillId="0" borderId="7" xfId="2" applyNumberFormat="1" applyFont="1" applyFill="1" applyBorder="1" applyAlignment="1">
      <alignment horizontal="center" wrapText="1"/>
    </xf>
    <xf numFmtId="4" fontId="5" fillId="0" borderId="7" xfId="2" applyNumberFormat="1" applyFont="1" applyFill="1" applyBorder="1" applyAlignment="1">
      <alignment horizontal="center"/>
    </xf>
    <xf numFmtId="0" fontId="5" fillId="0" borderId="8" xfId="2" applyFont="1" applyFill="1" applyBorder="1"/>
    <xf numFmtId="0" fontId="5" fillId="0" borderId="9" xfId="2" applyFont="1" applyFill="1" applyBorder="1"/>
    <xf numFmtId="0" fontId="5" fillId="0" borderId="9" xfId="2" applyFont="1" applyFill="1" applyBorder="1" applyAlignment="1">
      <alignment horizontal="center"/>
    </xf>
    <xf numFmtId="0" fontId="5" fillId="0" borderId="9" xfId="2" applyFont="1" applyFill="1" applyBorder="1" applyAlignment="1">
      <alignment horizontal="center" wrapText="1"/>
    </xf>
    <xf numFmtId="2" fontId="5" fillId="0" borderId="9" xfId="2" applyNumberFormat="1" applyFont="1" applyFill="1" applyBorder="1" applyAlignment="1">
      <alignment horizontal="right"/>
    </xf>
    <xf numFmtId="4" fontId="5" fillId="0" borderId="9" xfId="2" applyNumberFormat="1" applyFont="1" applyFill="1" applyBorder="1" applyAlignment="1">
      <alignment horizontal="right"/>
    </xf>
    <xf numFmtId="10" fontId="0" fillId="0" borderId="0" xfId="0" applyNumberFormat="1"/>
    <xf numFmtId="9" fontId="0" fillId="0" borderId="0" xfId="0" applyNumberFormat="1"/>
    <xf numFmtId="0" fontId="0" fillId="0" borderId="0" xfId="0" applyFill="1" applyBorder="1"/>
    <xf numFmtId="0" fontId="0" fillId="3" borderId="8" xfId="0" applyFill="1" applyBorder="1" applyAlignment="1">
      <alignment horizontal="center"/>
    </xf>
    <xf numFmtId="0" fontId="1" fillId="3" borderId="8" xfId="0" applyFont="1" applyFill="1" applyBorder="1" applyAlignment="1">
      <alignment horizontal="left"/>
    </xf>
    <xf numFmtId="0" fontId="0" fillId="3" borderId="9" xfId="0" applyFill="1" applyBorder="1" applyAlignment="1">
      <alignment horizontal="center"/>
    </xf>
    <xf numFmtId="0" fontId="0" fillId="3" borderId="9" xfId="0" applyFill="1" applyBorder="1" applyAlignment="1">
      <alignment horizontal="center" wrapText="1"/>
    </xf>
    <xf numFmtId="0" fontId="0" fillId="3" borderId="7" xfId="0" applyFill="1" applyBorder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164" fontId="0" fillId="18" borderId="7" xfId="0" applyNumberFormat="1" applyFill="1" applyBorder="1"/>
    <xf numFmtId="0" fontId="0" fillId="0" borderId="7" xfId="0" applyBorder="1"/>
    <xf numFmtId="0" fontId="4" fillId="0" borderId="7" xfId="1" applyNumberFormat="1" applyFont="1" applyFill="1" applyBorder="1" applyAlignment="1">
      <alignment wrapText="1"/>
    </xf>
    <xf numFmtId="0" fontId="4" fillId="0" borderId="7" xfId="1" applyFont="1" applyFill="1" applyBorder="1" applyAlignment="1">
      <alignment wrapText="1"/>
    </xf>
    <xf numFmtId="0" fontId="4" fillId="0" borderId="7" xfId="1" applyFont="1" applyFill="1" applyBorder="1"/>
    <xf numFmtId="165" fontId="0" fillId="0" borderId="7" xfId="0" applyNumberFormat="1" applyBorder="1"/>
    <xf numFmtId="164" fontId="0" fillId="0" borderId="7" xfId="0" applyNumberFormat="1" applyBorder="1"/>
    <xf numFmtId="164" fontId="6" fillId="0" borderId="0" xfId="0" applyNumberFormat="1" applyFont="1"/>
    <xf numFmtId="0" fontId="4" fillId="0" borderId="7" xfId="1" applyFill="1" applyBorder="1"/>
    <xf numFmtId="0" fontId="0" fillId="0" borderId="7" xfId="0" applyBorder="1" applyAlignment="1">
      <alignment wrapText="1"/>
    </xf>
    <xf numFmtId="165" fontId="0" fillId="0" borderId="0" xfId="0" applyNumberFormat="1"/>
    <xf numFmtId="0" fontId="2" fillId="0" borderId="0" xfId="0" applyFont="1"/>
    <xf numFmtId="0" fontId="4" fillId="0" borderId="7" xfId="0" applyNumberFormat="1" applyFont="1" applyFill="1" applyBorder="1" applyAlignment="1">
      <alignment wrapText="1"/>
    </xf>
    <xf numFmtId="2" fontId="4" fillId="0" borderId="7" xfId="0" applyNumberFormat="1" applyFont="1" applyFill="1" applyBorder="1" applyAlignment="1">
      <alignment horizontal="right"/>
    </xf>
    <xf numFmtId="4" fontId="4" fillId="0" borderId="7" xfId="1" applyNumberFormat="1" applyFont="1" applyFill="1" applyBorder="1" applyAlignment="1">
      <alignment horizontal="right"/>
    </xf>
    <xf numFmtId="4" fontId="4" fillId="0" borderId="7" xfId="0" applyNumberFormat="1" applyFont="1" applyFill="1" applyBorder="1" applyAlignment="1">
      <alignment horizontal="right"/>
    </xf>
    <xf numFmtId="0" fontId="7" fillId="0" borderId="7" xfId="1" applyFont="1" applyFill="1" applyBorder="1"/>
    <xf numFmtId="0" fontId="4" fillId="0" borderId="0" xfId="0" applyNumberFormat="1" applyFont="1" applyFill="1" applyBorder="1" applyAlignment="1">
      <alignment wrapText="1"/>
    </xf>
    <xf numFmtId="0" fontId="4" fillId="0" borderId="0" xfId="1" applyFont="1" applyFill="1" applyBorder="1" applyAlignment="1">
      <alignment wrapText="1"/>
    </xf>
    <xf numFmtId="0" fontId="4" fillId="0" borderId="0" xfId="1" applyFont="1" applyFill="1" applyBorder="1"/>
    <xf numFmtId="2" fontId="4" fillId="0" borderId="0" xfId="0" applyNumberFormat="1" applyFont="1" applyFill="1" applyBorder="1" applyAlignment="1">
      <alignment horizontal="right"/>
    </xf>
    <xf numFmtId="4" fontId="4" fillId="0" borderId="0" xfId="1" applyNumberFormat="1" applyFont="1" applyFill="1" applyBorder="1" applyAlignment="1">
      <alignment horizontal="right"/>
    </xf>
    <xf numFmtId="164" fontId="0" fillId="0" borderId="0" xfId="0" applyNumberFormat="1" applyBorder="1"/>
    <xf numFmtId="165" fontId="0" fillId="0" borderId="0" xfId="0" applyNumberFormat="1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9" fontId="0" fillId="0" borderId="13" xfId="0" applyNumberFormat="1" applyBorder="1"/>
    <xf numFmtId="164" fontId="0" fillId="0" borderId="14" xfId="0" applyNumberFormat="1" applyBorder="1"/>
    <xf numFmtId="0" fontId="0" fillId="0" borderId="15" xfId="0" applyBorder="1"/>
    <xf numFmtId="9" fontId="0" fillId="0" borderId="16" xfId="0" applyNumberFormat="1" applyBorder="1"/>
    <xf numFmtId="164" fontId="0" fillId="0" borderId="17" xfId="0" applyNumberFormat="1" applyBorder="1"/>
    <xf numFmtId="0" fontId="0" fillId="0" borderId="18" xfId="0" applyBorder="1"/>
    <xf numFmtId="164" fontId="0" fillId="0" borderId="11" xfId="0" applyNumberFormat="1" applyBorder="1"/>
    <xf numFmtId="4" fontId="0" fillId="0" borderId="19" xfId="0" applyNumberFormat="1" applyBorder="1"/>
    <xf numFmtId="164" fontId="0" fillId="0" borderId="19" xfId="0" applyNumberFormat="1" applyBorder="1"/>
    <xf numFmtId="4" fontId="0" fillId="0" borderId="12" xfId="0" applyNumberFormat="1" applyBorder="1"/>
    <xf numFmtId="0" fontId="0" fillId="0" borderId="17" xfId="0" applyBorder="1"/>
    <xf numFmtId="0" fontId="0" fillId="0" borderId="20" xfId="0" applyBorder="1"/>
    <xf numFmtId="0" fontId="4" fillId="0" borderId="21" xfId="1" applyFont="1" applyFill="1" applyBorder="1" applyAlignment="1">
      <alignment wrapText="1"/>
    </xf>
    <xf numFmtId="0" fontId="0" fillId="0" borderId="0" xfId="0" applyBorder="1"/>
    <xf numFmtId="0" fontId="0" fillId="19" borderId="8" xfId="0" applyFill="1" applyBorder="1" applyAlignment="1">
      <alignment horizontal="center"/>
    </xf>
    <xf numFmtId="0" fontId="1" fillId="19" borderId="7" xfId="0" applyFont="1" applyFill="1" applyBorder="1" applyAlignment="1">
      <alignment horizontal="left"/>
    </xf>
    <xf numFmtId="0" fontId="0" fillId="19" borderId="9" xfId="0" applyFill="1" applyBorder="1" applyAlignment="1">
      <alignment horizontal="center"/>
    </xf>
    <xf numFmtId="0" fontId="0" fillId="19" borderId="9" xfId="0" applyFill="1" applyBorder="1" applyAlignment="1">
      <alignment horizontal="center" wrapText="1"/>
    </xf>
    <xf numFmtId="0" fontId="0" fillId="19" borderId="7" xfId="0" applyFill="1" applyBorder="1" applyAlignment="1">
      <alignment horizontal="center"/>
    </xf>
    <xf numFmtId="165" fontId="0" fillId="19" borderId="7" xfId="0" applyNumberFormat="1" applyFill="1" applyBorder="1" applyAlignment="1">
      <alignment horizontal="center"/>
    </xf>
    <xf numFmtId="164" fontId="0" fillId="19" borderId="7" xfId="0" applyNumberFormat="1" applyFill="1" applyBorder="1"/>
    <xf numFmtId="0" fontId="1" fillId="0" borderId="0" xfId="0" applyFont="1" applyAlignment="1">
      <alignment wrapText="1"/>
    </xf>
    <xf numFmtId="164" fontId="1" fillId="0" borderId="0" xfId="0" applyNumberFormat="1" applyFont="1"/>
    <xf numFmtId="4" fontId="1" fillId="0" borderId="0" xfId="0" applyNumberFormat="1" applyFont="1"/>
    <xf numFmtId="0" fontId="0" fillId="0" borderId="22" xfId="0" applyBorder="1" applyAlignment="1">
      <alignment vertical="top" wrapText="1"/>
    </xf>
    <xf numFmtId="9" fontId="0" fillId="0" borderId="22" xfId="0" applyNumberFormat="1" applyBorder="1" applyAlignment="1">
      <alignment vertical="top"/>
    </xf>
    <xf numFmtId="164" fontId="0" fillId="0" borderId="23" xfId="0" applyNumberFormat="1" applyBorder="1" applyAlignment="1">
      <alignment vertical="top"/>
    </xf>
    <xf numFmtId="9" fontId="1" fillId="0" borderId="0" xfId="0" applyNumberFormat="1" applyFont="1"/>
    <xf numFmtId="4" fontId="0" fillId="0" borderId="0" xfId="0" applyNumberFormat="1"/>
    <xf numFmtId="0" fontId="0" fillId="0" borderId="24" xfId="0" applyBorder="1" applyAlignment="1">
      <alignment vertical="top" wrapText="1"/>
    </xf>
    <xf numFmtId="9" fontId="0" fillId="20" borderId="25" xfId="0" applyNumberFormat="1" applyFont="1" applyFill="1" applyBorder="1" applyAlignment="1">
      <alignment vertical="top" wrapText="1"/>
    </xf>
    <xf numFmtId="164" fontId="0" fillId="0" borderId="26" xfId="0" applyNumberFormat="1" applyBorder="1" applyAlignment="1">
      <alignment vertical="top"/>
    </xf>
    <xf numFmtId="164" fontId="0" fillId="0" borderId="0" xfId="0" applyNumberFormat="1" applyBorder="1" applyAlignment="1">
      <alignment vertical="top"/>
    </xf>
    <xf numFmtId="9" fontId="0" fillId="0" borderId="25" xfId="0" applyNumberFormat="1" applyFont="1" applyBorder="1" applyAlignment="1">
      <alignment vertical="top" wrapText="1"/>
    </xf>
    <xf numFmtId="9" fontId="0" fillId="20" borderId="27" xfId="0" applyNumberFormat="1" applyFont="1" applyFill="1" applyBorder="1" applyAlignment="1">
      <alignment vertical="top" wrapText="1"/>
    </xf>
    <xf numFmtId="164" fontId="0" fillId="0" borderId="28" xfId="0" applyNumberFormat="1" applyBorder="1" applyAlignment="1">
      <alignment vertical="top"/>
    </xf>
    <xf numFmtId="0" fontId="0" fillId="0" borderId="0" xfId="0" applyAlignment="1">
      <alignment wrapText="1"/>
    </xf>
    <xf numFmtId="4" fontId="0" fillId="0" borderId="0" xfId="0" applyNumberFormat="1" applyBorder="1" applyAlignment="1">
      <alignment vertical="top"/>
    </xf>
    <xf numFmtId="0" fontId="0" fillId="0" borderId="29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31" xfId="0" applyBorder="1" applyAlignment="1">
      <alignment vertical="top" wrapText="1"/>
    </xf>
    <xf numFmtId="0" fontId="0" fillId="0" borderId="32" xfId="0" applyBorder="1" applyAlignment="1">
      <alignment vertical="top" wrapText="1"/>
    </xf>
    <xf numFmtId="0" fontId="0" fillId="0" borderId="33" xfId="0" applyBorder="1" applyAlignment="1">
      <alignment vertical="top" wrapText="1"/>
    </xf>
    <xf numFmtId="0" fontId="0" fillId="0" borderId="34" xfId="0" applyBorder="1" applyAlignment="1">
      <alignment vertical="top" wrapText="1"/>
    </xf>
    <xf numFmtId="0" fontId="0" fillId="20" borderId="35" xfId="0" applyFont="1" applyFill="1" applyBorder="1" applyAlignment="1">
      <alignment wrapText="1"/>
    </xf>
    <xf numFmtId="164" fontId="0" fillId="0" borderId="26" xfId="0" applyNumberFormat="1" applyBorder="1"/>
    <xf numFmtId="0" fontId="0" fillId="0" borderId="35" xfId="0" applyFont="1" applyBorder="1" applyAlignment="1">
      <alignment wrapText="1"/>
    </xf>
    <xf numFmtId="0" fontId="0" fillId="0" borderId="36" xfId="0" applyBorder="1" applyAlignment="1">
      <alignment vertical="top" wrapText="1"/>
    </xf>
    <xf numFmtId="0" fontId="0" fillId="20" borderId="37" xfId="0" applyFont="1" applyFill="1" applyBorder="1" applyAlignment="1">
      <alignment wrapText="1"/>
    </xf>
    <xf numFmtId="164" fontId="0" fillId="0" borderId="38" xfId="0" applyNumberFormat="1" applyBorder="1"/>
    <xf numFmtId="164" fontId="1" fillId="0" borderId="0" xfId="0" applyNumberFormat="1" applyFont="1" applyFill="1" applyBorder="1"/>
    <xf numFmtId="0" fontId="1" fillId="0" borderId="24" xfId="0" applyFont="1" applyBorder="1" applyAlignment="1">
      <alignment horizontal="left" vertical="top"/>
    </xf>
    <xf numFmtId="0" fontId="0" fillId="0" borderId="8" xfId="0" applyBorder="1" applyAlignment="1">
      <alignment wrapText="1"/>
    </xf>
    <xf numFmtId="0" fontId="0" fillId="0" borderId="11" xfId="0" applyBorder="1" applyAlignment="1">
      <alignment wrapText="1"/>
    </xf>
  </cellXfs>
  <cellStyles count="3">
    <cellStyle name="Normal" xfId="0" builtinId="0"/>
    <cellStyle name="Normal 2" xfId="1"/>
    <cellStyle name="Normal 6" xfId="2"/>
  </cellStyles>
  <dxfs count="72"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69272</xdr:colOff>
      <xdr:row>4</xdr:row>
      <xdr:rowOff>161446</xdr:rowOff>
    </xdr:from>
    <xdr:ext cx="1670009" cy="436786"/>
    <xdr:sp macro="" textlink="">
      <xdr:nvSpPr>
        <xdr:cNvPr id="15" name="14 CuadroTexto"/>
        <xdr:cNvSpPr txBox="1"/>
      </xdr:nvSpPr>
      <xdr:spPr>
        <a:xfrm>
          <a:off x="5853545" y="1217855"/>
          <a:ext cx="167000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 b="1"/>
            <a:t>Comunidades</a:t>
          </a:r>
          <a:r>
            <a:rPr lang="de-CH" sz="1100" b="1" baseline="0"/>
            <a:t> y fechas de</a:t>
          </a:r>
        </a:p>
        <a:p>
          <a:r>
            <a:rPr lang="de-CH" sz="1100" b="1" baseline="0"/>
            <a:t> los talleres definidos</a:t>
          </a:r>
        </a:p>
      </xdr:txBody>
    </xdr:sp>
    <xdr:clientData/>
  </xdr:oneCellAnchor>
  <xdr:oneCellAnchor>
    <xdr:from>
      <xdr:col>28</xdr:col>
      <xdr:colOff>49914</xdr:colOff>
      <xdr:row>28</xdr:row>
      <xdr:rowOff>194831</xdr:rowOff>
    </xdr:from>
    <xdr:ext cx="2493824" cy="436786"/>
    <xdr:sp macro="" textlink="">
      <xdr:nvSpPr>
        <xdr:cNvPr id="16" name="15 CuadroTexto"/>
        <xdr:cNvSpPr txBox="1"/>
      </xdr:nvSpPr>
      <xdr:spPr>
        <a:xfrm>
          <a:off x="11046959" y="6221558"/>
          <a:ext cx="249382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 b="1"/>
            <a:t>Contratos para 25 Calentadores Solares</a:t>
          </a:r>
        </a:p>
        <a:p>
          <a:endParaRPr lang="de-CH" sz="1100" b="1" baseline="0"/>
        </a:p>
      </xdr:txBody>
    </xdr:sp>
    <xdr:clientData/>
  </xdr:oneCellAnchor>
  <xdr:oneCellAnchor>
    <xdr:from>
      <xdr:col>18</xdr:col>
      <xdr:colOff>129118</xdr:colOff>
      <xdr:row>11</xdr:row>
      <xdr:rowOff>142873</xdr:rowOff>
    </xdr:from>
    <xdr:ext cx="1121333" cy="248711"/>
    <xdr:sp macro="" textlink="">
      <xdr:nvSpPr>
        <xdr:cNvPr id="19" name="18 CuadroTexto"/>
        <xdr:cNvSpPr txBox="1"/>
      </xdr:nvSpPr>
      <xdr:spPr>
        <a:xfrm>
          <a:off x="6822595" y="3355396"/>
          <a:ext cx="1121333" cy="2487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CH" sz="1100" b="1"/>
            <a:t>25 Inscripciones</a:t>
          </a:r>
        </a:p>
        <a:p>
          <a:endParaRPr lang="de-CH" sz="1100" b="1" baseline="0"/>
        </a:p>
      </xdr:txBody>
    </xdr:sp>
    <xdr:clientData/>
  </xdr:oneCellAnchor>
  <xdr:oneCellAnchor>
    <xdr:from>
      <xdr:col>29</xdr:col>
      <xdr:colOff>129014</xdr:colOff>
      <xdr:row>15</xdr:row>
      <xdr:rowOff>151534</xdr:rowOff>
    </xdr:from>
    <xdr:ext cx="2044412" cy="290080"/>
    <xdr:sp macro="" textlink="">
      <xdr:nvSpPr>
        <xdr:cNvPr id="21" name="20 CuadroTexto"/>
        <xdr:cNvSpPr txBox="1"/>
      </xdr:nvSpPr>
      <xdr:spPr>
        <a:xfrm>
          <a:off x="11255946" y="4126057"/>
          <a:ext cx="2044412" cy="2900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CH" sz="1100" b="1"/>
            <a:t>3 Grupos lancan su negocio </a:t>
          </a:r>
        </a:p>
        <a:p>
          <a:endParaRPr lang="de-CH" sz="1100" b="1" baseline="0"/>
        </a:p>
      </xdr:txBody>
    </xdr:sp>
    <xdr:clientData/>
  </xdr:oneCellAnchor>
  <xdr:oneCellAnchor>
    <xdr:from>
      <xdr:col>7</xdr:col>
      <xdr:colOff>81787</xdr:colOff>
      <xdr:row>23</xdr:row>
      <xdr:rowOff>146051</xdr:rowOff>
    </xdr:from>
    <xdr:ext cx="2073770" cy="609013"/>
    <xdr:sp macro="" textlink="">
      <xdr:nvSpPr>
        <xdr:cNvPr id="22" name="21 CuadroTexto"/>
        <xdr:cNvSpPr txBox="1"/>
      </xdr:nvSpPr>
      <xdr:spPr>
        <a:xfrm>
          <a:off x="5346514" y="5073074"/>
          <a:ext cx="207377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CH" sz="1100" b="1"/>
            <a:t>Fechas y lugares</a:t>
          </a:r>
          <a:r>
            <a:rPr lang="de-CH" sz="1100" b="1" baseline="0"/>
            <a:t> para la promoción definido</a:t>
          </a:r>
          <a:endParaRPr lang="de-CH" sz="1100" b="1"/>
        </a:p>
        <a:p>
          <a:endParaRPr lang="de-CH" sz="1100" b="1" baseline="0"/>
        </a:p>
      </xdr:txBody>
    </xdr:sp>
    <xdr:clientData/>
  </xdr:oneCellAnchor>
  <xdr:oneCellAnchor>
    <xdr:from>
      <xdr:col>6</xdr:col>
      <xdr:colOff>63205</xdr:colOff>
      <xdr:row>37</xdr:row>
      <xdr:rowOff>333375</xdr:rowOff>
    </xdr:from>
    <xdr:ext cx="2493824" cy="436786"/>
    <xdr:sp macro="" textlink="">
      <xdr:nvSpPr>
        <xdr:cNvPr id="24" name="23 CuadroTexto"/>
        <xdr:cNvSpPr txBox="1"/>
      </xdr:nvSpPr>
      <xdr:spPr>
        <a:xfrm>
          <a:off x="5198046" y="8265102"/>
          <a:ext cx="249382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 b="1"/>
            <a:t>Contratos para 15 Calentadores Solares</a:t>
          </a:r>
        </a:p>
        <a:p>
          <a:endParaRPr lang="de-CH" sz="1100" b="1" baseline="0"/>
        </a:p>
      </xdr:txBody>
    </xdr:sp>
    <xdr:clientData/>
  </xdr:oneCellAnchor>
  <xdr:oneCellAnchor>
    <xdr:from>
      <xdr:col>33</xdr:col>
      <xdr:colOff>55229</xdr:colOff>
      <xdr:row>37</xdr:row>
      <xdr:rowOff>342034</xdr:rowOff>
    </xdr:from>
    <xdr:ext cx="935513" cy="436786"/>
    <xdr:sp macro="" textlink="">
      <xdr:nvSpPr>
        <xdr:cNvPr id="25" name="24 CuadroTexto"/>
        <xdr:cNvSpPr txBox="1"/>
      </xdr:nvSpPr>
      <xdr:spPr>
        <a:xfrm>
          <a:off x="11701706" y="8273761"/>
          <a:ext cx="93551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 b="1"/>
            <a:t>30 Contratos</a:t>
          </a:r>
        </a:p>
        <a:p>
          <a:endParaRPr lang="de-CH" sz="1100" b="1" baseline="0"/>
        </a:p>
      </xdr:txBody>
    </xdr:sp>
    <xdr:clientData/>
  </xdr:oneCellAnchor>
  <xdr:oneCellAnchor>
    <xdr:from>
      <xdr:col>41</xdr:col>
      <xdr:colOff>50119</xdr:colOff>
      <xdr:row>37</xdr:row>
      <xdr:rowOff>340976</xdr:rowOff>
    </xdr:from>
    <xdr:ext cx="2493824" cy="247650"/>
    <xdr:sp macro="" textlink="">
      <xdr:nvSpPr>
        <xdr:cNvPr id="26" name="25 CuadroTexto"/>
        <xdr:cNvSpPr txBox="1"/>
      </xdr:nvSpPr>
      <xdr:spPr>
        <a:xfrm>
          <a:off x="12735687" y="8272703"/>
          <a:ext cx="2493824" cy="247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CH" sz="1100" b="1"/>
            <a:t>50 Contratos</a:t>
          </a:r>
        </a:p>
        <a:p>
          <a:endParaRPr lang="de-CH" sz="1100" b="1"/>
        </a:p>
        <a:p>
          <a:endParaRPr lang="de-CH" sz="1100" b="1" baseline="0"/>
        </a:p>
      </xdr:txBody>
    </xdr:sp>
    <xdr:clientData/>
  </xdr:oneCellAnchor>
  <xdr:oneCellAnchor>
    <xdr:from>
      <xdr:col>12</xdr:col>
      <xdr:colOff>128256</xdr:colOff>
      <xdr:row>29</xdr:row>
      <xdr:rowOff>142874</xdr:rowOff>
    </xdr:from>
    <xdr:ext cx="2182649" cy="436786"/>
    <xdr:sp macro="" textlink="">
      <xdr:nvSpPr>
        <xdr:cNvPr id="27" name="26 CuadroTexto"/>
        <xdr:cNvSpPr txBox="1"/>
      </xdr:nvSpPr>
      <xdr:spPr>
        <a:xfrm>
          <a:off x="6042415" y="6550601"/>
          <a:ext cx="218264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 b="1"/>
            <a:t>20 Calentdores Solares Fabricados</a:t>
          </a:r>
        </a:p>
        <a:p>
          <a:endParaRPr lang="de-CH" sz="1100" b="1" baseline="0"/>
        </a:p>
      </xdr:txBody>
    </xdr:sp>
    <xdr:clientData/>
  </xdr:oneCellAnchor>
  <xdr:oneCellAnchor>
    <xdr:from>
      <xdr:col>12</xdr:col>
      <xdr:colOff>124887</xdr:colOff>
      <xdr:row>38</xdr:row>
      <xdr:rowOff>151342</xdr:rowOff>
    </xdr:from>
    <xdr:ext cx="2182649" cy="238125"/>
    <xdr:sp macro="" textlink="">
      <xdr:nvSpPr>
        <xdr:cNvPr id="28" name="27 CuadroTexto"/>
        <xdr:cNvSpPr txBox="1"/>
      </xdr:nvSpPr>
      <xdr:spPr>
        <a:xfrm>
          <a:off x="6039046" y="8464069"/>
          <a:ext cx="2182649" cy="2381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CH" sz="1100" b="1"/>
            <a:t>25 Calentdores Solares Fabricados</a:t>
          </a:r>
        </a:p>
        <a:p>
          <a:endParaRPr lang="de-CH" sz="1100" b="1" baseline="0"/>
        </a:p>
      </xdr:txBody>
    </xdr:sp>
    <xdr:clientData/>
  </xdr:oneCellAnchor>
  <xdr:oneCellAnchor>
    <xdr:from>
      <xdr:col>45</xdr:col>
      <xdr:colOff>85725</xdr:colOff>
      <xdr:row>28</xdr:row>
      <xdr:rowOff>333375</xdr:rowOff>
    </xdr:from>
    <xdr:ext cx="935513" cy="436786"/>
    <xdr:sp macro="" textlink="">
      <xdr:nvSpPr>
        <xdr:cNvPr id="29" name="28 CuadroTexto"/>
        <xdr:cNvSpPr txBox="1"/>
      </xdr:nvSpPr>
      <xdr:spPr>
        <a:xfrm>
          <a:off x="13430250" y="7096125"/>
          <a:ext cx="93551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 b="1" baseline="0"/>
            <a:t>60 Contratos</a:t>
          </a:r>
        </a:p>
        <a:p>
          <a:endParaRPr lang="de-CH" sz="1100" b="1" baseline="0"/>
        </a:p>
      </xdr:txBody>
    </xdr:sp>
    <xdr:clientData/>
  </xdr:oneCellAnchor>
  <xdr:oneCellAnchor>
    <xdr:from>
      <xdr:col>57</xdr:col>
      <xdr:colOff>66675</xdr:colOff>
      <xdr:row>28</xdr:row>
      <xdr:rowOff>333375</xdr:rowOff>
    </xdr:from>
    <xdr:ext cx="1007007" cy="238125"/>
    <xdr:sp macro="" textlink="">
      <xdr:nvSpPr>
        <xdr:cNvPr id="30" name="29 CuadroTexto"/>
        <xdr:cNvSpPr txBox="1"/>
      </xdr:nvSpPr>
      <xdr:spPr>
        <a:xfrm>
          <a:off x="15011400" y="7096125"/>
          <a:ext cx="1007007" cy="2381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CH" sz="1100" b="1" baseline="0"/>
            <a:t>100 Contratos</a:t>
          </a:r>
        </a:p>
        <a:p>
          <a:endParaRPr lang="de-CH" sz="1100" b="1" baseline="0"/>
        </a:p>
      </xdr:txBody>
    </xdr:sp>
    <xdr:clientData/>
  </xdr:oneCellAnchor>
  <xdr:oneCellAnchor>
    <xdr:from>
      <xdr:col>32</xdr:col>
      <xdr:colOff>107371</xdr:colOff>
      <xdr:row>6</xdr:row>
      <xdr:rowOff>278823</xdr:rowOff>
    </xdr:from>
    <xdr:ext cx="1526893" cy="436786"/>
    <xdr:sp macro="" textlink="">
      <xdr:nvSpPr>
        <xdr:cNvPr id="31" name="30 CuadroTexto"/>
        <xdr:cNvSpPr txBox="1"/>
      </xdr:nvSpPr>
      <xdr:spPr>
        <a:xfrm>
          <a:off x="11623962" y="1863437"/>
          <a:ext cx="152689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 b="1"/>
            <a:t>Talleres y eventos de </a:t>
          </a:r>
        </a:p>
        <a:p>
          <a:r>
            <a:rPr lang="de-CH" sz="1100" b="1"/>
            <a:t>promoción terminados</a:t>
          </a:r>
          <a:endParaRPr lang="de-CH" sz="1100" b="1" baseline="0"/>
        </a:p>
      </xdr:txBody>
    </xdr:sp>
    <xdr:clientData/>
  </xdr:oneCellAnchor>
  <xdr:oneCellAnchor>
    <xdr:from>
      <xdr:col>33</xdr:col>
      <xdr:colOff>47338</xdr:colOff>
      <xdr:row>24</xdr:row>
      <xdr:rowOff>297197</xdr:rowOff>
    </xdr:from>
    <xdr:ext cx="2200795" cy="436786"/>
    <xdr:sp macro="" textlink="">
      <xdr:nvSpPr>
        <xdr:cNvPr id="32" name="31 CuadroTexto"/>
        <xdr:cNvSpPr txBox="1"/>
      </xdr:nvSpPr>
      <xdr:spPr>
        <a:xfrm>
          <a:off x="11693815" y="5414720"/>
          <a:ext cx="220079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 b="1"/>
            <a:t>Eventos de promoción terminados</a:t>
          </a:r>
        </a:p>
        <a:p>
          <a:endParaRPr lang="de-CH" sz="1100" b="1" baseline="0"/>
        </a:p>
      </xdr:txBody>
    </xdr:sp>
    <xdr:clientData/>
  </xdr:oneCellAnchor>
  <xdr:oneCellAnchor>
    <xdr:from>
      <xdr:col>12</xdr:col>
      <xdr:colOff>106317</xdr:colOff>
      <xdr:row>45</xdr:row>
      <xdr:rowOff>543983</xdr:rowOff>
    </xdr:from>
    <xdr:ext cx="2182649" cy="238125"/>
    <xdr:sp macro="" textlink="">
      <xdr:nvSpPr>
        <xdr:cNvPr id="33" name="32 CuadroTexto"/>
        <xdr:cNvSpPr txBox="1"/>
      </xdr:nvSpPr>
      <xdr:spPr>
        <a:xfrm>
          <a:off x="6020476" y="10190210"/>
          <a:ext cx="2182649" cy="2381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CH" sz="1100" b="1" baseline="0"/>
            <a:t>Lugares de la instalación definidos</a:t>
          </a:r>
        </a:p>
        <a:p>
          <a:endParaRPr lang="de-CH" sz="1100" b="1" baseline="0"/>
        </a:p>
      </xdr:txBody>
    </xdr:sp>
    <xdr:clientData/>
  </xdr:oneCellAnchor>
  <xdr:oneCellAnchor>
    <xdr:from>
      <xdr:col>36</xdr:col>
      <xdr:colOff>126419</xdr:colOff>
      <xdr:row>46</xdr:row>
      <xdr:rowOff>152400</xdr:rowOff>
    </xdr:from>
    <xdr:ext cx="2182649" cy="238125"/>
    <xdr:sp macro="" textlink="">
      <xdr:nvSpPr>
        <xdr:cNvPr id="34" name="33 CuadroTexto"/>
        <xdr:cNvSpPr txBox="1"/>
      </xdr:nvSpPr>
      <xdr:spPr>
        <a:xfrm>
          <a:off x="12162555" y="10370127"/>
          <a:ext cx="2182649" cy="2381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CH" sz="1100" b="1" baseline="0"/>
            <a:t>Instalaciones terminados</a:t>
          </a:r>
        </a:p>
        <a:p>
          <a:endParaRPr lang="de-CH" sz="1100" b="1" baseline="0"/>
        </a:p>
      </xdr:txBody>
    </xdr:sp>
    <xdr:clientData/>
  </xdr:oneCellAnchor>
  <xdr:oneCellAnchor>
    <xdr:from>
      <xdr:col>51</xdr:col>
      <xdr:colOff>45895</xdr:colOff>
      <xdr:row>38</xdr:row>
      <xdr:rowOff>187038</xdr:rowOff>
    </xdr:from>
    <xdr:ext cx="1600199" cy="219074"/>
    <xdr:sp macro="" textlink="">
      <xdr:nvSpPr>
        <xdr:cNvPr id="35" name="34 CuadroTexto"/>
        <xdr:cNvSpPr txBox="1"/>
      </xdr:nvSpPr>
      <xdr:spPr>
        <a:xfrm>
          <a:off x="14030327" y="8499765"/>
          <a:ext cx="1600199" cy="2190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CH" sz="1100" b="1" baseline="0"/>
            <a:t>Instalaciones terminados</a:t>
          </a:r>
        </a:p>
        <a:p>
          <a:endParaRPr lang="de-CH" sz="1100" b="1" baseline="0"/>
        </a:p>
      </xdr:txBody>
    </xdr:sp>
    <xdr:clientData/>
  </xdr:oneCellAnchor>
  <xdr:oneCellAnchor>
    <xdr:from>
      <xdr:col>48</xdr:col>
      <xdr:colOff>115168</xdr:colOff>
      <xdr:row>30</xdr:row>
      <xdr:rowOff>152401</xdr:rowOff>
    </xdr:from>
    <xdr:ext cx="1600199" cy="219074"/>
    <xdr:sp macro="" textlink="">
      <xdr:nvSpPr>
        <xdr:cNvPr id="36" name="35 CuadroTexto"/>
        <xdr:cNvSpPr txBox="1"/>
      </xdr:nvSpPr>
      <xdr:spPr>
        <a:xfrm>
          <a:off x="10705236" y="6750628"/>
          <a:ext cx="1600199" cy="2190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CH" sz="1100" b="1" baseline="0"/>
            <a:t>Instalaciones terminados</a:t>
          </a:r>
        </a:p>
        <a:p>
          <a:endParaRPr lang="de-CH" sz="1100" b="1" baseline="0"/>
        </a:p>
      </xdr:txBody>
    </xdr:sp>
    <xdr:clientData/>
  </xdr:oneCellAnchor>
  <xdr:oneCellAnchor>
    <xdr:from>
      <xdr:col>61</xdr:col>
      <xdr:colOff>99676</xdr:colOff>
      <xdr:row>0</xdr:row>
      <xdr:rowOff>234660</xdr:rowOff>
    </xdr:from>
    <xdr:ext cx="489141" cy="248711"/>
    <xdr:sp macro="" textlink="">
      <xdr:nvSpPr>
        <xdr:cNvPr id="20" name="19 CuadroTexto"/>
        <xdr:cNvSpPr txBox="1"/>
      </xdr:nvSpPr>
      <xdr:spPr>
        <a:xfrm>
          <a:off x="12378267" y="234660"/>
          <a:ext cx="489141" cy="2487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CH" sz="1100" b="1"/>
            <a:t>Hitos</a:t>
          </a:r>
        </a:p>
        <a:p>
          <a:endParaRPr lang="de-CH" sz="1100" b="1" baseline="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supuesto_ProgAEA_5.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upuesto"/>
      <sheetName val="Presupuesto_TOTAL_RUBROS"/>
      <sheetName val="Rubros"/>
    </sheetNames>
    <sheetDataSet>
      <sheetData sheetId="0"/>
      <sheetData sheetId="1"/>
      <sheetData sheetId="2">
        <row r="4">
          <cell r="A4" t="str">
            <v>Consultorías_asesorías_y_similares</v>
          </cell>
          <cell r="B4" t="str">
            <v>Personal</v>
          </cell>
          <cell r="C4" t="str">
            <v>Viajes</v>
          </cell>
          <cell r="D4" t="str">
            <v>Alimentos_y_Bebidas</v>
          </cell>
          <cell r="E4" t="str">
            <v>Alquileres</v>
          </cell>
          <cell r="F4" t="str">
            <v>Equipos_especiales</v>
          </cell>
          <cell r="G4" t="str">
            <v>Materiales_Insumos</v>
          </cell>
          <cell r="H4" t="str">
            <v>Servicios_de_Publicidad_y_difusión</v>
          </cell>
          <cell r="I4" t="str">
            <v>Otros_Gastos</v>
          </cell>
        </row>
      </sheetData>
    </sheetDataSet>
  </externalBook>
</externalLink>
</file>

<file path=xl/tables/table1.xml><?xml version="1.0" encoding="utf-8"?>
<table xmlns="http://schemas.openxmlformats.org/spreadsheetml/2006/main" id="1" name="Consultorías_asesorías_y_similares" displayName="Consultorías_asesorías_y_similares" ref="A4:A9" totalsRowShown="0" headerRowDxfId="35" dataDxfId="34" tableBorderDxfId="33">
  <autoFilter ref="A4:A9"/>
  <tableColumns count="1">
    <tableColumn id="1" name="Consultorías_asesorías_y_similares" dataDxfId="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ersonal" displayName="Personal" ref="B4:B7" totalsRowShown="0" headerRowDxfId="31" dataDxfId="30" tableBorderDxfId="29">
  <autoFilter ref="B4:B7"/>
  <tableColumns count="1">
    <tableColumn id="1" name="Personal" dataDxfId="2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Viajes" displayName="Viajes" ref="C4:C10" totalsRowShown="0" headerRowDxfId="27" dataDxfId="26" tableBorderDxfId="25">
  <autoFilter ref="C4:C10"/>
  <tableColumns count="1">
    <tableColumn id="1" name="Viajes" dataDxfId="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Alimentos_y_Bebidas" displayName="Alimentos_y_Bebidas" ref="D4:D7" totalsRowShown="0" headerRowDxfId="23" dataDxfId="22" tableBorderDxfId="21">
  <autoFilter ref="D4:D7"/>
  <tableColumns count="1">
    <tableColumn id="1" name="Alimentos_y_Bebidas" dataDxfId="2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Alquileres" displayName="Alquileres" ref="E4:E7" totalsRowShown="0" headerRowDxfId="19" dataDxfId="18" tableBorderDxfId="17">
  <autoFilter ref="E4:E7"/>
  <tableColumns count="1">
    <tableColumn id="1" name="Alquileres" dataDxfId="1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Equipos_especiales" displayName="Equipos_especiales" ref="F4:F7" totalsRowShown="0" headerRowDxfId="15" dataDxfId="14" tableBorderDxfId="13">
  <autoFilter ref="F4:F7"/>
  <tableColumns count="1">
    <tableColumn id="1" name="Equipos_especiales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Materiales_Insumos" displayName="Materiales_Insumos" ref="G4:G7" totalsRowShown="0" headerRowDxfId="11" dataDxfId="10" tableBorderDxfId="9">
  <autoFilter ref="G4:G7"/>
  <tableColumns count="1">
    <tableColumn id="1" name="Materiales_Insumos" dataDxfId="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Servicios_de_Publicidad_y_difusión" displayName="Servicios_de_Publicidad_y_difusión" ref="H4:H8" totalsRowShown="0" headerRowDxfId="7" dataDxfId="6" tableBorderDxfId="5">
  <autoFilter ref="H4:H8"/>
  <tableColumns count="1">
    <tableColumn id="1" name="Servicios_de_Publicidad_y_difusión" dataDxfId="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Otros_Gastos" displayName="Otros_Gastos" ref="I4:I11" totalsRowShown="0" headerRowDxfId="3" dataDxfId="2" tableBorderDxfId="1">
  <autoFilter ref="I4:I11"/>
  <tableColumns count="1">
    <tableColumn id="1" name="Otros_Gast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1"/>
  <sheetViews>
    <sheetView showGridLines="0" tabSelected="1" zoomScale="90" zoomScaleNormal="90" zoomScalePageLayoutView="90" workbookViewId="0">
      <pane xSplit="6" ySplit="3" topLeftCell="J4" activePane="bottomRight" state="frozen"/>
      <selection pane="topRight" activeCell="G1" sqref="G1"/>
      <selection pane="bottomLeft" activeCell="A4" sqref="A4"/>
      <selection pane="bottomRight" activeCell="B2" sqref="B2"/>
    </sheetView>
  </sheetViews>
  <sheetFormatPr baseColWidth="10" defaultRowHeight="15" outlineLevelRow="1" outlineLevelCol="1" x14ac:dyDescent="0.25"/>
  <cols>
    <col min="1" max="1" width="4.42578125" customWidth="1"/>
    <col min="2" max="2" width="55.5703125" customWidth="1"/>
    <col min="3" max="3" width="17" customWidth="1"/>
    <col min="4" max="4" width="15.5703125" customWidth="1" outlineLevel="1"/>
    <col min="5" max="5" width="14.85546875" customWidth="1" outlineLevel="1"/>
    <col min="6" max="6" width="14.7109375" customWidth="1" outlineLevel="1"/>
    <col min="7" max="66" width="2" customWidth="1"/>
  </cols>
  <sheetData>
    <row r="1" spans="1:66" ht="18.75" x14ac:dyDescent="0.3">
      <c r="A1" s="1" t="s">
        <v>41</v>
      </c>
      <c r="B1" s="1"/>
      <c r="C1" s="1"/>
      <c r="D1" s="1"/>
      <c r="E1" s="1"/>
    </row>
    <row r="2" spans="1:66" ht="18.75" x14ac:dyDescent="0.3">
      <c r="A2" s="1"/>
      <c r="B2" s="1"/>
      <c r="C2" s="1"/>
      <c r="D2" s="1"/>
      <c r="E2" s="1"/>
      <c r="BN2" s="87"/>
    </row>
    <row r="3" spans="1:66" x14ac:dyDescent="0.25">
      <c r="B3" s="77" t="s">
        <v>0</v>
      </c>
      <c r="C3" s="77" t="s">
        <v>1</v>
      </c>
      <c r="D3" s="77" t="s">
        <v>7</v>
      </c>
      <c r="E3" s="77" t="s">
        <v>8</v>
      </c>
      <c r="F3" s="77" t="s">
        <v>13</v>
      </c>
      <c r="G3" s="88">
        <v>42186</v>
      </c>
      <c r="H3" s="88"/>
      <c r="I3" s="88"/>
      <c r="J3" s="89"/>
      <c r="K3" s="88">
        <v>42217</v>
      </c>
      <c r="L3" s="88"/>
      <c r="M3" s="88"/>
      <c r="N3" s="89"/>
      <c r="O3" s="88">
        <v>42248</v>
      </c>
      <c r="P3" s="88"/>
      <c r="Q3" s="88"/>
      <c r="R3" s="89"/>
      <c r="S3" s="88">
        <v>42278</v>
      </c>
      <c r="T3" s="88"/>
      <c r="U3" s="88"/>
      <c r="V3" s="89"/>
      <c r="W3" s="88">
        <v>42309</v>
      </c>
      <c r="X3" s="88"/>
      <c r="Y3" s="88"/>
      <c r="Z3" s="89"/>
      <c r="AA3" s="88">
        <v>42339</v>
      </c>
      <c r="AB3" s="88"/>
      <c r="AC3" s="88"/>
      <c r="AD3" s="89"/>
      <c r="AE3" s="88">
        <v>42370</v>
      </c>
      <c r="AF3" s="88"/>
      <c r="AG3" s="88"/>
      <c r="AH3" s="89"/>
      <c r="AI3" s="88">
        <v>42401</v>
      </c>
      <c r="AJ3" s="88"/>
      <c r="AK3" s="88"/>
      <c r="AL3" s="89"/>
      <c r="AM3" s="88">
        <v>42430</v>
      </c>
      <c r="AN3" s="88"/>
      <c r="AO3" s="88"/>
      <c r="AP3" s="89"/>
      <c r="AQ3" s="88">
        <v>42461</v>
      </c>
      <c r="AR3" s="88"/>
      <c r="AS3" s="88"/>
      <c r="AT3" s="89"/>
      <c r="AU3" s="88">
        <v>42491</v>
      </c>
      <c r="AV3" s="88"/>
      <c r="AW3" s="88"/>
      <c r="AX3" s="89"/>
      <c r="AY3" s="88">
        <v>42522</v>
      </c>
      <c r="AZ3" s="88"/>
      <c r="BA3" s="88"/>
      <c r="BB3" s="89"/>
      <c r="BC3" s="88">
        <v>42552</v>
      </c>
      <c r="BD3" s="88"/>
      <c r="BE3" s="88"/>
      <c r="BF3" s="89"/>
      <c r="BG3" s="88">
        <v>42583</v>
      </c>
      <c r="BH3" s="88"/>
      <c r="BI3" s="88"/>
      <c r="BJ3" s="89"/>
      <c r="BK3" s="88">
        <v>42614</v>
      </c>
      <c r="BL3" s="88"/>
      <c r="BM3" s="88"/>
      <c r="BN3" s="89"/>
    </row>
    <row r="4" spans="1:66" ht="30" x14ac:dyDescent="0.25">
      <c r="A4" s="30">
        <v>1</v>
      </c>
      <c r="B4" s="31" t="s">
        <v>40</v>
      </c>
      <c r="C4" s="78">
        <f>SUM(C5:C9)</f>
        <v>15947.92</v>
      </c>
      <c r="D4" s="79">
        <f>SUM(D5:D9)</f>
        <v>7153.55</v>
      </c>
      <c r="E4" s="79">
        <f>SUM(E5:E9)</f>
        <v>5669.37</v>
      </c>
      <c r="F4" s="79">
        <f>SUM(F5:F9)</f>
        <v>3125</v>
      </c>
      <c r="G4" s="2"/>
      <c r="H4" s="2"/>
      <c r="I4" s="15"/>
      <c r="J4" s="16"/>
      <c r="K4" s="61"/>
      <c r="L4" s="61"/>
      <c r="M4" s="62"/>
      <c r="N4" s="63"/>
      <c r="O4" s="61"/>
      <c r="P4" s="61"/>
      <c r="Q4" s="62"/>
      <c r="R4" s="63"/>
      <c r="S4" s="61"/>
      <c r="T4" s="61"/>
      <c r="U4" s="62"/>
      <c r="V4" s="63"/>
      <c r="W4" s="61"/>
      <c r="X4" s="61"/>
      <c r="Y4" s="62"/>
      <c r="Z4" s="63"/>
      <c r="AA4" s="61"/>
      <c r="AB4" s="61"/>
      <c r="AC4" s="62"/>
      <c r="AD4" s="63"/>
      <c r="AE4" s="61"/>
      <c r="AF4" s="61"/>
      <c r="AG4" s="62"/>
      <c r="AH4" s="63"/>
      <c r="AI4" s="61"/>
      <c r="AJ4" s="61"/>
      <c r="AK4" s="62"/>
      <c r="AL4" s="63"/>
      <c r="AM4" s="61"/>
      <c r="AN4" s="61"/>
      <c r="AO4" s="62"/>
      <c r="AP4" s="63"/>
      <c r="AQ4" s="61"/>
      <c r="AR4" s="61"/>
      <c r="AS4" s="62"/>
      <c r="AT4" s="63"/>
      <c r="AU4" s="2"/>
      <c r="AV4" s="2"/>
      <c r="AW4" s="15"/>
      <c r="AX4" s="16"/>
      <c r="AY4" s="2"/>
      <c r="AZ4" s="2"/>
      <c r="BA4" s="15"/>
      <c r="BB4" s="16"/>
      <c r="BC4" s="2"/>
      <c r="BD4" s="2"/>
      <c r="BE4" s="15"/>
      <c r="BF4" s="16"/>
      <c r="BG4" s="2"/>
      <c r="BH4" s="2"/>
      <c r="BI4" s="15"/>
      <c r="BJ4" s="16"/>
      <c r="BK4" s="2"/>
      <c r="BL4" s="2"/>
      <c r="BM4" s="15"/>
      <c r="BN4" s="16"/>
    </row>
    <row r="5" spans="1:66" outlineLevel="1" x14ac:dyDescent="0.25">
      <c r="A5" s="22">
        <v>1.1000000000000001</v>
      </c>
      <c r="B5" s="23" t="s">
        <v>2</v>
      </c>
      <c r="C5" s="26">
        <v>550</v>
      </c>
      <c r="D5" s="26">
        <v>220</v>
      </c>
      <c r="E5" s="80">
        <f>C5-D5-F5</f>
        <v>330</v>
      </c>
      <c r="F5" s="80">
        <v>0</v>
      </c>
      <c r="G5" s="2"/>
      <c r="H5" s="2"/>
      <c r="I5" s="15"/>
      <c r="J5" s="16"/>
      <c r="K5" s="32"/>
      <c r="L5" s="32"/>
      <c r="M5" s="33"/>
      <c r="N5" s="34"/>
      <c r="O5" s="32"/>
      <c r="P5" s="32"/>
      <c r="Q5" s="33"/>
      <c r="R5" s="34"/>
      <c r="S5" s="32"/>
      <c r="T5" s="32"/>
      <c r="U5" s="33"/>
      <c r="V5" s="34"/>
      <c r="W5" s="32"/>
      <c r="X5" s="32"/>
      <c r="Y5" s="33"/>
      <c r="Z5" s="34"/>
      <c r="AA5" s="2"/>
      <c r="AB5" s="2"/>
      <c r="AC5" s="15"/>
      <c r="AD5" s="16"/>
      <c r="AE5" s="2"/>
      <c r="AF5" s="2"/>
      <c r="AG5" s="15"/>
      <c r="AH5" s="16"/>
      <c r="AI5" s="2"/>
      <c r="AJ5" s="2"/>
      <c r="AK5" s="15"/>
      <c r="AL5" s="16"/>
      <c r="AM5" s="2"/>
      <c r="AN5" s="2"/>
      <c r="AO5" s="15"/>
      <c r="AP5" s="16"/>
      <c r="AQ5" s="2"/>
      <c r="AR5" s="2"/>
      <c r="AS5" s="15"/>
      <c r="AT5" s="16"/>
      <c r="AU5" s="2"/>
      <c r="AV5" s="2"/>
      <c r="AW5" s="15"/>
      <c r="AX5" s="16"/>
      <c r="AY5" s="2"/>
      <c r="AZ5" s="2"/>
      <c r="BA5" s="15"/>
      <c r="BB5" s="16"/>
      <c r="BC5" s="2"/>
      <c r="BD5" s="2"/>
      <c r="BE5" s="15"/>
      <c r="BF5" s="16"/>
      <c r="BG5" s="2"/>
      <c r="BH5" s="2"/>
      <c r="BI5" s="15"/>
      <c r="BJ5" s="16"/>
      <c r="BK5" s="2"/>
      <c r="BL5" s="2"/>
      <c r="BM5" s="15"/>
      <c r="BN5" s="16"/>
    </row>
    <row r="6" spans="1:66" ht="26.25" customHeight="1" outlineLevel="1" x14ac:dyDescent="0.25">
      <c r="A6" s="22">
        <v>1.2</v>
      </c>
      <c r="B6" s="23" t="s">
        <v>3</v>
      </c>
      <c r="C6" s="26">
        <v>681.67</v>
      </c>
      <c r="D6" s="26">
        <v>276.67</v>
      </c>
      <c r="E6" s="80">
        <f t="shared" ref="E6:E9" si="0">C6-D6-F6</f>
        <v>404.99999999999994</v>
      </c>
      <c r="F6" s="80">
        <v>0</v>
      </c>
      <c r="G6" s="2"/>
      <c r="H6" s="2"/>
      <c r="I6" s="15"/>
      <c r="J6" s="16"/>
      <c r="K6" s="2"/>
      <c r="L6" s="2"/>
      <c r="M6" s="15"/>
      <c r="N6" s="16"/>
      <c r="O6" s="2"/>
      <c r="P6" s="2"/>
      <c r="Q6" s="15"/>
      <c r="R6" s="16"/>
      <c r="S6" s="32"/>
      <c r="T6" s="32"/>
      <c r="U6" s="33"/>
      <c r="V6" s="34"/>
      <c r="W6" s="32"/>
      <c r="X6" s="32"/>
      <c r="Y6" s="84"/>
      <c r="Z6" s="34"/>
      <c r="AA6" s="2"/>
      <c r="AB6" s="2"/>
      <c r="AC6" s="15"/>
      <c r="AD6" s="16"/>
      <c r="AE6" s="2"/>
      <c r="AF6" s="2"/>
      <c r="AG6" s="15"/>
      <c r="AH6" s="16"/>
      <c r="AI6" s="2"/>
      <c r="AJ6" s="2"/>
      <c r="AK6" s="15"/>
      <c r="AL6" s="16"/>
      <c r="AM6" s="2"/>
      <c r="AN6" s="2"/>
      <c r="AO6" s="15"/>
      <c r="AP6" s="16"/>
      <c r="AQ6" s="2"/>
      <c r="AR6" s="2"/>
      <c r="AS6" s="15"/>
      <c r="AT6" s="16"/>
      <c r="AU6" s="2"/>
      <c r="AV6" s="2"/>
      <c r="AW6" s="15"/>
      <c r="AX6" s="16"/>
      <c r="AY6" s="2"/>
      <c r="AZ6" s="2"/>
      <c r="BA6" s="15"/>
      <c r="BB6" s="16"/>
      <c r="BC6" s="2"/>
      <c r="BD6" s="2"/>
      <c r="BE6" s="15"/>
      <c r="BF6" s="16"/>
      <c r="BG6" s="2"/>
      <c r="BH6" s="2"/>
      <c r="BI6" s="15"/>
      <c r="BJ6" s="16"/>
      <c r="BK6" s="2"/>
      <c r="BL6" s="2"/>
      <c r="BM6" s="15"/>
      <c r="BN6" s="16"/>
    </row>
    <row r="7" spans="1:66" ht="26.25" outlineLevel="1" x14ac:dyDescent="0.25">
      <c r="A7" s="22">
        <v>1.3</v>
      </c>
      <c r="B7" s="23" t="s">
        <v>5</v>
      </c>
      <c r="C7" s="26">
        <v>13081.25</v>
      </c>
      <c r="D7" s="26">
        <v>5228.13</v>
      </c>
      <c r="E7" s="80">
        <f t="shared" si="0"/>
        <v>4728.12</v>
      </c>
      <c r="F7" s="80">
        <v>3125</v>
      </c>
      <c r="G7" s="2"/>
      <c r="H7" s="2"/>
      <c r="I7" s="15"/>
      <c r="J7" s="16"/>
      <c r="K7" s="2"/>
      <c r="L7" s="2"/>
      <c r="M7" s="15"/>
      <c r="N7" s="16"/>
      <c r="O7" s="2"/>
      <c r="P7" s="2"/>
      <c r="Q7" s="15"/>
      <c r="R7" s="16"/>
      <c r="S7" s="2"/>
      <c r="T7" s="2"/>
      <c r="U7" s="15"/>
      <c r="V7" s="16"/>
      <c r="W7" s="2"/>
      <c r="X7" s="2"/>
      <c r="Y7" s="15"/>
      <c r="Z7" s="16"/>
      <c r="AA7" s="32"/>
      <c r="AB7" s="32"/>
      <c r="AC7" s="33"/>
      <c r="AD7" s="34"/>
      <c r="AE7" s="32"/>
      <c r="AF7" s="32"/>
      <c r="AG7" s="33"/>
      <c r="AH7" s="34"/>
      <c r="AI7" s="32"/>
      <c r="AJ7" s="32"/>
      <c r="AK7" s="33"/>
      <c r="AL7" s="34"/>
      <c r="AM7" s="32"/>
      <c r="AN7" s="32"/>
      <c r="AO7" s="33"/>
      <c r="AP7" s="34"/>
      <c r="AQ7" s="2"/>
      <c r="AR7" s="2"/>
      <c r="AS7" s="84"/>
      <c r="AT7" s="16"/>
      <c r="AU7" s="2"/>
      <c r="AV7" s="2"/>
      <c r="AW7" s="15"/>
      <c r="AX7" s="16"/>
      <c r="AY7" s="2"/>
      <c r="AZ7" s="2"/>
      <c r="BA7" s="15"/>
      <c r="BB7" s="16"/>
      <c r="BC7" s="2"/>
      <c r="BD7" s="2"/>
      <c r="BE7" s="15"/>
      <c r="BF7" s="16"/>
      <c r="BG7" s="2"/>
      <c r="BH7" s="2"/>
      <c r="BI7" s="15"/>
      <c r="BJ7" s="16"/>
      <c r="BK7" s="2"/>
      <c r="BL7" s="2"/>
      <c r="BM7" s="15"/>
      <c r="BN7" s="16"/>
    </row>
    <row r="8" spans="1:66" ht="26.25" outlineLevel="1" x14ac:dyDescent="0.25">
      <c r="A8" s="22">
        <v>1.4</v>
      </c>
      <c r="B8" s="23" t="s">
        <v>6</v>
      </c>
      <c r="C8" s="26">
        <v>1222.5</v>
      </c>
      <c r="D8" s="81">
        <v>1222.5</v>
      </c>
      <c r="E8" s="80">
        <f t="shared" si="0"/>
        <v>0</v>
      </c>
      <c r="F8" s="80">
        <f t="shared" ref="F8" si="1">C8-D8</f>
        <v>0</v>
      </c>
      <c r="G8" s="2"/>
      <c r="H8" s="2"/>
      <c r="I8" s="15"/>
      <c r="J8" s="16"/>
      <c r="K8" s="2"/>
      <c r="L8" s="2"/>
      <c r="M8" s="15"/>
      <c r="N8" s="16"/>
      <c r="O8" s="2"/>
      <c r="P8" s="2"/>
      <c r="Q8" s="15"/>
      <c r="R8" s="16"/>
      <c r="S8" s="2"/>
      <c r="T8" s="2"/>
      <c r="U8" s="15"/>
      <c r="V8" s="16"/>
      <c r="W8" s="2"/>
      <c r="X8" s="2"/>
      <c r="Y8" s="15"/>
      <c r="Z8" s="16"/>
      <c r="AA8" s="2"/>
      <c r="AB8" s="2"/>
      <c r="AC8" s="15"/>
      <c r="AD8" s="16"/>
      <c r="AE8" s="2"/>
      <c r="AF8" s="2"/>
      <c r="AG8" s="15"/>
      <c r="AH8" s="16"/>
      <c r="AI8" s="32"/>
      <c r="AJ8" s="32"/>
      <c r="AK8" s="15"/>
      <c r="AL8" s="16"/>
      <c r="AM8" s="32"/>
      <c r="AN8" s="32"/>
      <c r="AO8" s="15"/>
      <c r="AP8" s="16"/>
      <c r="AQ8" s="32"/>
      <c r="AR8" s="32"/>
      <c r="AS8" s="84"/>
      <c r="AT8" s="16"/>
      <c r="AU8" s="2"/>
      <c r="AV8" s="2"/>
      <c r="AW8" s="15"/>
      <c r="AX8" s="16"/>
      <c r="AY8" s="2"/>
      <c r="AZ8" s="2"/>
      <c r="BA8" s="15"/>
      <c r="BB8" s="16"/>
      <c r="BC8" s="2"/>
      <c r="BD8" s="2"/>
      <c r="BE8" s="15"/>
      <c r="BF8" s="16"/>
      <c r="BG8" s="2"/>
      <c r="BH8" s="2"/>
      <c r="BI8" s="15"/>
      <c r="BJ8" s="16"/>
      <c r="BK8" s="2"/>
      <c r="BL8" s="2"/>
      <c r="BM8" s="15"/>
      <c r="BN8" s="16"/>
    </row>
    <row r="9" spans="1:66" outlineLevel="1" x14ac:dyDescent="0.25">
      <c r="A9" s="22">
        <v>1.5</v>
      </c>
      <c r="B9" s="23" t="s">
        <v>4</v>
      </c>
      <c r="C9" s="26">
        <v>412.5</v>
      </c>
      <c r="D9" s="81">
        <v>206.25</v>
      </c>
      <c r="E9" s="80">
        <f t="shared" si="0"/>
        <v>206.25</v>
      </c>
      <c r="F9" s="80">
        <v>0</v>
      </c>
      <c r="G9" s="2"/>
      <c r="H9" s="2"/>
      <c r="I9" s="15"/>
      <c r="J9" s="16"/>
      <c r="K9" s="2"/>
      <c r="L9" s="2"/>
      <c r="M9" s="15"/>
      <c r="N9" s="16"/>
      <c r="O9" s="2"/>
      <c r="P9" s="2"/>
      <c r="Q9" s="15"/>
      <c r="R9" s="16"/>
      <c r="S9" s="2"/>
      <c r="T9" s="2"/>
      <c r="U9" s="15"/>
      <c r="V9" s="16"/>
      <c r="W9" s="2"/>
      <c r="X9" s="2"/>
      <c r="Y9" s="15"/>
      <c r="Z9" s="16"/>
      <c r="AA9" s="2"/>
      <c r="AB9" s="2"/>
      <c r="AC9" s="15"/>
      <c r="AD9" s="16"/>
      <c r="AE9" s="2"/>
      <c r="AF9" s="2"/>
      <c r="AG9" s="15"/>
      <c r="AH9" s="16"/>
      <c r="AI9" s="2"/>
      <c r="AJ9" s="2"/>
      <c r="AK9" s="15"/>
      <c r="AL9" s="16"/>
      <c r="AM9" s="32"/>
      <c r="AN9" s="32"/>
      <c r="AO9" s="33"/>
      <c r="AP9" s="34"/>
      <c r="AQ9" s="32"/>
      <c r="AR9" s="32"/>
      <c r="AS9" s="33"/>
      <c r="AT9" s="34"/>
      <c r="AU9" s="2"/>
      <c r="AV9" s="2"/>
      <c r="AW9" s="15"/>
      <c r="AX9" s="16"/>
      <c r="AY9" s="2"/>
      <c r="AZ9" s="2"/>
      <c r="BA9" s="15"/>
      <c r="BB9" s="16"/>
      <c r="BC9" s="2"/>
      <c r="BD9" s="2"/>
      <c r="BE9" s="15"/>
      <c r="BF9" s="16"/>
      <c r="BG9" s="2"/>
      <c r="BH9" s="2"/>
      <c r="BI9" s="15"/>
      <c r="BJ9" s="16"/>
      <c r="BK9" s="2"/>
      <c r="BL9" s="2"/>
      <c r="BM9" s="15"/>
      <c r="BN9" s="16"/>
    </row>
    <row r="10" spans="1:66" x14ac:dyDescent="0.25">
      <c r="A10" s="24"/>
      <c r="B10" s="17"/>
      <c r="C10" s="18"/>
      <c r="D10" s="82"/>
      <c r="E10" s="83"/>
      <c r="F10" s="83"/>
      <c r="G10" s="2"/>
      <c r="H10" s="2"/>
      <c r="I10" s="15"/>
      <c r="J10" s="16"/>
      <c r="K10" s="2"/>
      <c r="L10" s="2"/>
      <c r="M10" s="15"/>
      <c r="N10" s="16"/>
      <c r="O10" s="2"/>
      <c r="P10" s="2"/>
      <c r="Q10" s="15"/>
      <c r="R10" s="16"/>
      <c r="S10" s="2"/>
      <c r="T10" s="2"/>
      <c r="U10" s="15"/>
      <c r="V10" s="16"/>
      <c r="W10" s="2"/>
      <c r="X10" s="2"/>
      <c r="Y10" s="15"/>
      <c r="Z10" s="16"/>
      <c r="AA10" s="2"/>
      <c r="AB10" s="2"/>
      <c r="AC10" s="15"/>
      <c r="AD10" s="16"/>
      <c r="AE10" s="2"/>
      <c r="AF10" s="2"/>
      <c r="AG10" s="15"/>
      <c r="AH10" s="16"/>
      <c r="AI10" s="2"/>
      <c r="AJ10" s="2"/>
      <c r="AK10" s="15"/>
      <c r="AL10" s="16"/>
      <c r="AM10" s="2"/>
      <c r="AN10" s="2"/>
      <c r="AO10" s="15"/>
      <c r="AP10" s="16"/>
      <c r="AQ10" s="2"/>
      <c r="AR10" s="2"/>
      <c r="AS10" s="15"/>
      <c r="AT10" s="16"/>
      <c r="AU10" s="2"/>
      <c r="AV10" s="2"/>
      <c r="AW10" s="15"/>
      <c r="AX10" s="16"/>
      <c r="AY10" s="2"/>
      <c r="AZ10" s="2"/>
      <c r="BA10" s="15"/>
      <c r="BB10" s="16"/>
      <c r="BC10" s="2"/>
      <c r="BD10" s="2"/>
      <c r="BE10" s="15"/>
      <c r="BF10" s="16"/>
      <c r="BG10" s="2"/>
      <c r="BH10" s="2"/>
      <c r="BI10" s="15"/>
      <c r="BJ10" s="16"/>
      <c r="BK10" s="2"/>
      <c r="BL10" s="2"/>
      <c r="BM10" s="15"/>
      <c r="BN10" s="16"/>
    </row>
    <row r="11" spans="1:66" ht="45" x14ac:dyDescent="0.25">
      <c r="A11" s="35">
        <v>2</v>
      </c>
      <c r="B11" s="36" t="s">
        <v>9</v>
      </c>
      <c r="C11" s="37">
        <f>SUM(C12:C15)</f>
        <v>16053.99</v>
      </c>
      <c r="D11" s="38">
        <f t="shared" ref="D11:F11" si="2">SUM(D12:D15)</f>
        <v>5180.0599999999995</v>
      </c>
      <c r="E11" s="38">
        <f t="shared" si="2"/>
        <v>7115</v>
      </c>
      <c r="F11" s="38">
        <f t="shared" si="2"/>
        <v>3758.93</v>
      </c>
      <c r="G11" s="2"/>
      <c r="H11" s="2"/>
      <c r="I11" s="2"/>
      <c r="J11" s="6"/>
      <c r="K11" s="64"/>
      <c r="L11" s="64"/>
      <c r="M11" s="64"/>
      <c r="N11" s="65"/>
      <c r="O11" s="64"/>
      <c r="P11" s="64"/>
      <c r="Q11" s="64"/>
      <c r="R11" s="65"/>
      <c r="S11" s="64"/>
      <c r="T11" s="64"/>
      <c r="U11" s="64"/>
      <c r="V11" s="65"/>
      <c r="W11" s="64"/>
      <c r="X11" s="64"/>
      <c r="Y11" s="64"/>
      <c r="Z11" s="65"/>
      <c r="AA11" s="64"/>
      <c r="AB11" s="64"/>
      <c r="AC11" s="64"/>
      <c r="AD11" s="65"/>
      <c r="AE11" s="64"/>
      <c r="AF11" s="64"/>
      <c r="AG11" s="64"/>
      <c r="AH11" s="65"/>
      <c r="AI11" s="64"/>
      <c r="AJ11" s="64"/>
      <c r="AK11" s="64"/>
      <c r="AL11" s="65"/>
      <c r="AM11" s="64"/>
      <c r="AN11" s="64"/>
      <c r="AO11" s="64"/>
      <c r="AP11" s="65"/>
      <c r="AQ11" s="64"/>
      <c r="AR11" s="64"/>
      <c r="AS11" s="64"/>
      <c r="AT11" s="65"/>
      <c r="AU11" s="2"/>
      <c r="AV11" s="2"/>
      <c r="AW11" s="2"/>
      <c r="AX11" s="6"/>
      <c r="AY11" s="2"/>
      <c r="AZ11" s="2"/>
      <c r="BA11" s="2"/>
      <c r="BB11" s="6"/>
      <c r="BC11" s="2"/>
      <c r="BD11" s="2"/>
      <c r="BE11" s="2"/>
      <c r="BF11" s="6"/>
      <c r="BG11" s="2"/>
      <c r="BH11" s="2"/>
      <c r="BI11" s="2"/>
      <c r="BJ11" s="6"/>
      <c r="BK11" s="2"/>
      <c r="BL11" s="2"/>
      <c r="BM11" s="2"/>
      <c r="BN11" s="6"/>
    </row>
    <row r="12" spans="1:66" outlineLevel="1" x14ac:dyDescent="0.25">
      <c r="A12" s="22">
        <v>2.1</v>
      </c>
      <c r="B12" s="23" t="s">
        <v>2</v>
      </c>
      <c r="C12" s="26">
        <v>3083.33</v>
      </c>
      <c r="D12" s="26">
        <v>333.33</v>
      </c>
      <c r="E12" s="26">
        <f>C12-D12-F12</f>
        <v>1650</v>
      </c>
      <c r="F12" s="26">
        <v>1100</v>
      </c>
      <c r="G12" s="2"/>
      <c r="H12" s="2"/>
      <c r="I12" s="2"/>
      <c r="J12" s="6"/>
      <c r="K12" s="14"/>
      <c r="L12" s="14"/>
      <c r="M12" s="14"/>
      <c r="N12" s="13"/>
      <c r="O12" s="14"/>
      <c r="P12" s="14"/>
      <c r="Q12" s="14"/>
      <c r="R12" s="13"/>
      <c r="S12" s="14"/>
      <c r="T12" s="14"/>
      <c r="U12" s="14"/>
      <c r="V12" s="13"/>
      <c r="W12" s="14"/>
      <c r="X12" s="14"/>
      <c r="Y12" s="14"/>
      <c r="Z12" s="6"/>
      <c r="AA12" s="2"/>
      <c r="AB12" s="2"/>
      <c r="AC12" s="2"/>
      <c r="AD12" s="6"/>
      <c r="AE12" s="2"/>
      <c r="AF12" s="2"/>
      <c r="AG12" s="2"/>
      <c r="AH12" s="6"/>
      <c r="AI12" s="2"/>
      <c r="AJ12" s="2"/>
      <c r="AK12" s="2"/>
      <c r="AL12" s="6"/>
      <c r="AM12" s="2"/>
      <c r="AN12" s="2"/>
      <c r="AO12" s="2"/>
      <c r="AP12" s="6"/>
      <c r="AQ12" s="2"/>
      <c r="AR12" s="2"/>
      <c r="AS12" s="2"/>
      <c r="AT12" s="6"/>
      <c r="AU12" s="2"/>
      <c r="AV12" s="2"/>
      <c r="AW12" s="2"/>
      <c r="AX12" s="6"/>
      <c r="AY12" s="2"/>
      <c r="AZ12" s="2"/>
      <c r="BA12" s="2"/>
      <c r="BB12" s="6"/>
      <c r="BC12" s="2"/>
      <c r="BD12" s="2"/>
      <c r="BE12" s="2"/>
      <c r="BF12" s="6"/>
      <c r="BG12" s="2"/>
      <c r="BH12" s="2"/>
      <c r="BI12" s="2"/>
      <c r="BJ12" s="6"/>
      <c r="BK12" s="2"/>
      <c r="BL12" s="2"/>
      <c r="BM12" s="2"/>
      <c r="BN12" s="6"/>
    </row>
    <row r="13" spans="1:66" outlineLevel="1" x14ac:dyDescent="0.25">
      <c r="A13" s="22">
        <v>2.2000000000000002</v>
      </c>
      <c r="B13" s="23" t="s">
        <v>12</v>
      </c>
      <c r="C13" s="26">
        <v>1133.33</v>
      </c>
      <c r="D13" s="26">
        <v>1133.33</v>
      </c>
      <c r="E13" s="26">
        <f t="shared" ref="E13:E15" si="3">C13-D13-F13</f>
        <v>0</v>
      </c>
      <c r="F13" s="26">
        <f>C13-D13</f>
        <v>0</v>
      </c>
      <c r="G13" s="2"/>
      <c r="H13" s="2"/>
      <c r="I13" s="2"/>
      <c r="J13" s="6"/>
      <c r="K13" s="2"/>
      <c r="L13" s="2"/>
      <c r="M13" s="2"/>
      <c r="N13" s="6"/>
      <c r="O13" s="2"/>
      <c r="P13" s="2"/>
      <c r="Q13" s="2"/>
      <c r="R13" s="6"/>
      <c r="S13" s="14"/>
      <c r="T13" s="14"/>
      <c r="U13" s="14"/>
      <c r="V13" s="13"/>
      <c r="W13" s="14"/>
      <c r="X13" s="14"/>
      <c r="Y13" s="14"/>
      <c r="Z13" s="13"/>
      <c r="AA13" s="14"/>
      <c r="AB13" s="85"/>
      <c r="AC13" s="14"/>
      <c r="AD13" s="13"/>
      <c r="AE13" s="14"/>
      <c r="AF13" s="14"/>
      <c r="AG13" s="14"/>
      <c r="AH13" s="13"/>
      <c r="AI13" s="2"/>
      <c r="AJ13" s="2"/>
      <c r="AK13" s="2"/>
      <c r="AL13" s="6"/>
      <c r="AM13" s="2"/>
      <c r="AN13" s="2"/>
      <c r="AO13" s="2"/>
      <c r="AP13" s="6"/>
      <c r="AQ13" s="2"/>
      <c r="AR13" s="2"/>
      <c r="AS13" s="2"/>
      <c r="AT13" s="6"/>
      <c r="AU13" s="2"/>
      <c r="AV13" s="2"/>
      <c r="AW13" s="2"/>
      <c r="AX13" s="6"/>
      <c r="AY13" s="2"/>
      <c r="AZ13" s="2"/>
      <c r="BA13" s="2"/>
      <c r="BB13" s="6"/>
      <c r="BC13" s="2"/>
      <c r="BD13" s="2"/>
      <c r="BE13" s="2"/>
      <c r="BF13" s="6"/>
      <c r="BG13" s="2"/>
      <c r="BH13" s="2"/>
      <c r="BI13" s="2"/>
      <c r="BJ13" s="6"/>
      <c r="BK13" s="2"/>
      <c r="BL13" s="2"/>
      <c r="BM13" s="2"/>
      <c r="BN13" s="6"/>
    </row>
    <row r="14" spans="1:66" outlineLevel="1" x14ac:dyDescent="0.25">
      <c r="A14" s="22">
        <v>2.2999999999999998</v>
      </c>
      <c r="B14" s="23" t="s">
        <v>10</v>
      </c>
      <c r="C14" s="26">
        <v>11672.33</v>
      </c>
      <c r="D14" s="26">
        <v>3548.4</v>
      </c>
      <c r="E14" s="26">
        <f t="shared" si="3"/>
        <v>5465</v>
      </c>
      <c r="F14" s="26">
        <v>2658.93</v>
      </c>
      <c r="G14" s="2"/>
      <c r="H14" s="2"/>
      <c r="I14" s="2"/>
      <c r="J14" s="6"/>
      <c r="K14" s="2"/>
      <c r="L14" s="2"/>
      <c r="M14" s="2"/>
      <c r="N14" s="6"/>
      <c r="O14" s="2"/>
      <c r="P14" s="2"/>
      <c r="Q14" s="2"/>
      <c r="R14" s="6"/>
      <c r="S14" s="2"/>
      <c r="T14" s="2"/>
      <c r="U14" s="2"/>
      <c r="V14" s="6"/>
      <c r="W14" s="2"/>
      <c r="X14" s="2"/>
      <c r="Y14" s="2"/>
      <c r="Z14" s="6"/>
      <c r="AA14" s="2"/>
      <c r="AB14" s="2"/>
      <c r="AC14" s="2"/>
      <c r="AD14" s="6"/>
      <c r="AE14" s="14"/>
      <c r="AF14" s="14"/>
      <c r="AG14" s="14"/>
      <c r="AH14" s="13"/>
      <c r="AI14" s="14"/>
      <c r="AJ14" s="14"/>
      <c r="AK14" s="14"/>
      <c r="AL14" s="13"/>
      <c r="AM14" s="14"/>
      <c r="AN14" s="14"/>
      <c r="AO14" s="2"/>
      <c r="AP14" s="6"/>
      <c r="AQ14" s="2"/>
      <c r="AR14" s="2"/>
      <c r="AS14" s="2"/>
      <c r="AT14" s="6"/>
      <c r="AU14" s="2"/>
      <c r="AV14" s="2"/>
      <c r="AW14" s="2"/>
      <c r="AX14" s="6"/>
      <c r="AY14" s="2"/>
      <c r="AZ14" s="2"/>
      <c r="BA14" s="2"/>
      <c r="BB14" s="6"/>
      <c r="BC14" s="2"/>
      <c r="BD14" s="2"/>
      <c r="BE14" s="2"/>
      <c r="BF14" s="6"/>
      <c r="BG14" s="2"/>
      <c r="BH14" s="2"/>
      <c r="BI14" s="2"/>
      <c r="BJ14" s="6"/>
      <c r="BK14" s="2"/>
      <c r="BL14" s="2"/>
      <c r="BM14" s="2"/>
      <c r="BN14" s="6"/>
    </row>
    <row r="15" spans="1:66" outlineLevel="1" x14ac:dyDescent="0.25">
      <c r="A15" s="22">
        <v>2.4</v>
      </c>
      <c r="B15" s="23" t="s">
        <v>11</v>
      </c>
      <c r="C15" s="26">
        <v>165.00000000000003</v>
      </c>
      <c r="D15" s="26">
        <v>165.00000000000003</v>
      </c>
      <c r="E15" s="26">
        <f t="shared" si="3"/>
        <v>0</v>
      </c>
      <c r="F15" s="26">
        <f>C15-D15</f>
        <v>0</v>
      </c>
      <c r="G15" s="2"/>
      <c r="H15" s="2"/>
      <c r="I15" s="2"/>
      <c r="J15" s="6"/>
      <c r="K15" s="2"/>
      <c r="L15" s="2"/>
      <c r="M15" s="2"/>
      <c r="N15" s="6"/>
      <c r="O15" s="2"/>
      <c r="P15" s="2"/>
      <c r="Q15" s="2"/>
      <c r="R15" s="6"/>
      <c r="S15" s="2"/>
      <c r="T15" s="2"/>
      <c r="U15" s="2"/>
      <c r="V15" s="6"/>
      <c r="W15" s="2"/>
      <c r="X15" s="2"/>
      <c r="Y15" s="2"/>
      <c r="Z15" s="6"/>
      <c r="AA15" s="2"/>
      <c r="AB15" s="2"/>
      <c r="AC15" s="2"/>
      <c r="AD15" s="6"/>
      <c r="AE15" s="2"/>
      <c r="AF15" s="2"/>
      <c r="AG15" s="2"/>
      <c r="AH15" s="6"/>
      <c r="AI15" s="2"/>
      <c r="AJ15" s="2"/>
      <c r="AK15" s="14"/>
      <c r="AL15" s="13"/>
      <c r="AM15" s="14"/>
      <c r="AN15" s="14"/>
      <c r="AO15" s="14"/>
      <c r="AP15" s="13"/>
      <c r="AQ15" s="14"/>
      <c r="AR15" s="14"/>
      <c r="AS15" s="14"/>
      <c r="AT15" s="13"/>
      <c r="AU15" s="2"/>
      <c r="AV15" s="2"/>
      <c r="AW15" s="2"/>
      <c r="AX15" s="6"/>
      <c r="AY15" s="2"/>
      <c r="AZ15" s="2"/>
      <c r="BA15" s="2"/>
      <c r="BB15" s="6"/>
      <c r="BC15" s="2"/>
      <c r="BD15" s="2"/>
      <c r="BE15" s="2"/>
      <c r="BF15" s="6"/>
      <c r="BG15" s="2"/>
      <c r="BH15" s="2"/>
      <c r="BI15" s="2"/>
      <c r="BJ15" s="6"/>
      <c r="BK15" s="2"/>
      <c r="BL15" s="2"/>
      <c r="BM15" s="2"/>
      <c r="BN15" s="6"/>
    </row>
    <row r="16" spans="1:66" x14ac:dyDescent="0.25">
      <c r="A16" s="27"/>
      <c r="B16" s="27"/>
      <c r="C16" s="18"/>
      <c r="D16" s="18"/>
      <c r="E16" s="18"/>
      <c r="F16" s="18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0"/>
      <c r="BF16" s="90"/>
      <c r="BG16" s="90"/>
      <c r="BH16" s="90"/>
      <c r="BI16" s="90"/>
      <c r="BJ16" s="90"/>
      <c r="BK16" s="90"/>
      <c r="BL16" s="90"/>
      <c r="BM16" s="90"/>
      <c r="BN16" s="91"/>
    </row>
    <row r="17" spans="1:66" x14ac:dyDescent="0.25">
      <c r="A17" s="39">
        <v>3</v>
      </c>
      <c r="B17" s="40" t="s">
        <v>14</v>
      </c>
      <c r="C17" s="41">
        <f>SUM(C18:C21)</f>
        <v>2979.9966666666669</v>
      </c>
      <c r="D17" s="42">
        <f t="shared" ref="D17:F17" si="4">SUM(D18:D21)</f>
        <v>2223.4966666666669</v>
      </c>
      <c r="E17" s="42">
        <f t="shared" si="4"/>
        <v>756.5</v>
      </c>
      <c r="F17" s="42">
        <f t="shared" si="4"/>
        <v>0</v>
      </c>
      <c r="G17" s="2"/>
      <c r="H17" s="2"/>
      <c r="I17" s="2"/>
      <c r="J17" s="6"/>
      <c r="K17" s="2"/>
      <c r="L17" s="2"/>
      <c r="M17" s="2"/>
      <c r="N17" s="6"/>
      <c r="O17" s="2"/>
      <c r="P17" s="2"/>
      <c r="Q17" s="2"/>
      <c r="R17" s="6"/>
      <c r="S17" s="2"/>
      <c r="T17" s="2"/>
      <c r="U17" s="2"/>
      <c r="V17" s="6"/>
      <c r="W17" s="2"/>
      <c r="X17" s="2"/>
      <c r="Y17" s="2"/>
      <c r="Z17" s="6"/>
      <c r="AA17" s="2"/>
      <c r="AB17" s="2"/>
      <c r="AC17" s="2"/>
      <c r="AD17" s="6"/>
      <c r="AE17" s="2"/>
      <c r="AF17" s="2"/>
      <c r="AG17" s="2"/>
      <c r="AH17" s="6"/>
      <c r="AI17" s="2"/>
      <c r="AJ17" s="2"/>
      <c r="AK17" s="2"/>
      <c r="AL17" s="6"/>
      <c r="AM17" s="2"/>
      <c r="AN17" s="2"/>
      <c r="AO17" s="60"/>
      <c r="AP17" s="66"/>
      <c r="AQ17" s="60"/>
      <c r="AR17" s="86"/>
      <c r="AS17" s="60"/>
      <c r="AT17" s="66"/>
      <c r="AU17" s="60"/>
      <c r="AV17" s="60"/>
      <c r="AW17" s="60"/>
      <c r="AX17" s="66"/>
      <c r="AY17" s="60"/>
      <c r="AZ17" s="60"/>
      <c r="BA17" s="60"/>
      <c r="BB17" s="66"/>
      <c r="BC17" s="60"/>
      <c r="BD17" s="60"/>
      <c r="BE17" s="60"/>
      <c r="BF17" s="66"/>
      <c r="BG17" s="60"/>
      <c r="BH17" s="60"/>
      <c r="BI17" s="60"/>
      <c r="BJ17" s="66"/>
      <c r="BK17" s="60"/>
      <c r="BL17" s="60"/>
      <c r="BM17" s="60"/>
      <c r="BN17" s="66"/>
    </row>
    <row r="18" spans="1:66" outlineLevel="1" x14ac:dyDescent="0.25">
      <c r="A18" s="22">
        <v>3.1</v>
      </c>
      <c r="B18" s="23" t="s">
        <v>17</v>
      </c>
      <c r="C18" s="80">
        <v>1030</v>
      </c>
      <c r="D18" s="26">
        <v>273.5</v>
      </c>
      <c r="E18" s="80">
        <f t="shared" ref="E18:E21" si="5">C18-D18-F18</f>
        <v>756.5</v>
      </c>
      <c r="F18" s="80">
        <v>0</v>
      </c>
      <c r="G18" s="2"/>
      <c r="H18" s="2"/>
      <c r="I18" s="2"/>
      <c r="J18" s="6"/>
      <c r="K18" s="2"/>
      <c r="L18" s="2"/>
      <c r="M18" s="2"/>
      <c r="N18" s="6"/>
      <c r="O18" s="2"/>
      <c r="P18" s="2"/>
      <c r="Q18" s="2"/>
      <c r="R18" s="6"/>
      <c r="S18" s="2"/>
      <c r="T18" s="2"/>
      <c r="U18" s="2"/>
      <c r="V18" s="6"/>
      <c r="W18" s="2"/>
      <c r="X18" s="2"/>
      <c r="Y18" s="2"/>
      <c r="Z18" s="6"/>
      <c r="AA18" s="2"/>
      <c r="AB18" s="2"/>
      <c r="AC18" s="2"/>
      <c r="AD18" s="6"/>
      <c r="AE18" s="2"/>
      <c r="AF18" s="2"/>
      <c r="AG18" s="2"/>
      <c r="AH18" s="6"/>
      <c r="AI18" s="2"/>
      <c r="AJ18" s="2"/>
      <c r="AK18" s="2"/>
      <c r="AL18" s="6"/>
      <c r="AM18" s="2"/>
      <c r="AN18" s="2"/>
      <c r="AO18" s="12"/>
      <c r="AP18" s="11"/>
      <c r="AQ18" s="12"/>
      <c r="AR18" s="85"/>
      <c r="AS18" s="12"/>
      <c r="AT18" s="11"/>
      <c r="AU18" s="12"/>
      <c r="AV18" s="12"/>
      <c r="AW18" s="12"/>
      <c r="AX18" s="11"/>
      <c r="AY18" s="12"/>
      <c r="AZ18" s="12"/>
      <c r="BA18" s="12"/>
      <c r="BB18" s="11"/>
      <c r="BC18" s="12"/>
      <c r="BD18" s="12"/>
      <c r="BE18" s="12"/>
      <c r="BF18" s="11"/>
      <c r="BG18" s="12"/>
      <c r="BH18" s="12"/>
      <c r="BI18" s="12"/>
      <c r="BJ18" s="11"/>
      <c r="BK18" s="12"/>
      <c r="BL18" s="12"/>
      <c r="BM18" s="12"/>
      <c r="BN18" s="11"/>
    </row>
    <row r="19" spans="1:66" outlineLevel="1" x14ac:dyDescent="0.25">
      <c r="A19" s="22">
        <v>3.2</v>
      </c>
      <c r="B19" s="23" t="s">
        <v>18</v>
      </c>
      <c r="C19" s="80">
        <v>733.33</v>
      </c>
      <c r="D19" s="26">
        <v>733.33</v>
      </c>
      <c r="E19" s="80">
        <f t="shared" si="5"/>
        <v>0</v>
      </c>
      <c r="F19" s="26">
        <v>0</v>
      </c>
      <c r="G19" s="2"/>
      <c r="H19" s="2"/>
      <c r="I19" s="2"/>
      <c r="J19" s="6"/>
      <c r="K19" s="2"/>
      <c r="L19" s="2"/>
      <c r="M19" s="2"/>
      <c r="N19" s="6"/>
      <c r="O19" s="2"/>
      <c r="P19" s="2"/>
      <c r="Q19" s="2"/>
      <c r="R19" s="6"/>
      <c r="S19" s="2"/>
      <c r="T19" s="2"/>
      <c r="U19" s="2"/>
      <c r="V19" s="6"/>
      <c r="W19" s="2"/>
      <c r="X19" s="2"/>
      <c r="Y19" s="2"/>
      <c r="Z19" s="6"/>
      <c r="AA19" s="2"/>
      <c r="AB19" s="2"/>
      <c r="AC19" s="2"/>
      <c r="AD19" s="6"/>
      <c r="AE19" s="2"/>
      <c r="AF19" s="2"/>
      <c r="AG19" s="2"/>
      <c r="AH19" s="6"/>
      <c r="AI19" s="2"/>
      <c r="AJ19" s="2"/>
      <c r="AK19" s="2"/>
      <c r="AL19" s="6"/>
      <c r="AM19" s="2"/>
      <c r="AN19" s="2"/>
      <c r="AO19" s="2"/>
      <c r="AP19" s="6"/>
      <c r="AQ19" s="12"/>
      <c r="AR19" s="12"/>
      <c r="AS19" s="2"/>
      <c r="AT19" s="6"/>
      <c r="AU19" s="2"/>
      <c r="AV19" s="2"/>
      <c r="AW19" s="2"/>
      <c r="AX19" s="6"/>
      <c r="AY19" s="12"/>
      <c r="AZ19" s="12"/>
      <c r="BA19" s="2"/>
      <c r="BB19" s="6"/>
      <c r="BC19" s="2"/>
      <c r="BD19" s="2"/>
      <c r="BE19" s="2"/>
      <c r="BF19" s="6"/>
      <c r="BG19" s="12"/>
      <c r="BH19" s="12"/>
      <c r="BI19" s="2"/>
      <c r="BJ19" s="6"/>
      <c r="BK19" s="2"/>
      <c r="BL19" s="2"/>
      <c r="BM19" s="2"/>
      <c r="BN19" s="6"/>
    </row>
    <row r="20" spans="1:66" outlineLevel="1" x14ac:dyDescent="0.25">
      <c r="A20" s="22">
        <v>3.3</v>
      </c>
      <c r="B20" s="23" t="s">
        <v>15</v>
      </c>
      <c r="C20" s="80">
        <v>666.66666666666674</v>
      </c>
      <c r="D20" s="26">
        <v>666.66666666666674</v>
      </c>
      <c r="E20" s="80">
        <f t="shared" si="5"/>
        <v>0</v>
      </c>
      <c r="F20" s="26">
        <v>0</v>
      </c>
      <c r="G20" s="2"/>
      <c r="H20" s="2"/>
      <c r="I20" s="2"/>
      <c r="J20" s="6"/>
      <c r="K20" s="2"/>
      <c r="L20" s="2"/>
      <c r="M20" s="2"/>
      <c r="N20" s="6"/>
      <c r="O20" s="2"/>
      <c r="P20" s="2"/>
      <c r="Q20" s="2"/>
      <c r="R20" s="6"/>
      <c r="S20" s="2"/>
      <c r="T20" s="2"/>
      <c r="U20" s="2"/>
      <c r="V20" s="6"/>
      <c r="W20" s="2"/>
      <c r="X20" s="2"/>
      <c r="Y20" s="2"/>
      <c r="Z20" s="6"/>
      <c r="AA20" s="2"/>
      <c r="AB20" s="2"/>
      <c r="AC20" s="2"/>
      <c r="AD20" s="6"/>
      <c r="AE20" s="2"/>
      <c r="AF20" s="2"/>
      <c r="AG20" s="2"/>
      <c r="AH20" s="6"/>
      <c r="AI20" s="2"/>
      <c r="AJ20" s="2"/>
      <c r="AK20" s="2"/>
      <c r="AL20" s="6"/>
      <c r="AM20" s="2"/>
      <c r="AN20" s="2"/>
      <c r="AO20" s="12"/>
      <c r="AP20" s="11"/>
      <c r="AQ20" s="12"/>
      <c r="AR20" s="12"/>
      <c r="AS20" s="2"/>
      <c r="AT20" s="6"/>
      <c r="AU20" s="2"/>
      <c r="AV20" s="2"/>
      <c r="AW20" s="2"/>
      <c r="AX20" s="6"/>
      <c r="AY20" s="2"/>
      <c r="AZ20" s="2"/>
      <c r="BA20" s="2"/>
      <c r="BB20" s="6"/>
      <c r="BC20" s="2"/>
      <c r="BD20" s="2"/>
      <c r="BE20" s="2"/>
      <c r="BF20" s="6"/>
      <c r="BG20" s="2"/>
      <c r="BH20" s="2"/>
      <c r="BI20" s="2"/>
      <c r="BJ20" s="6"/>
      <c r="BK20" s="2"/>
      <c r="BL20" s="2"/>
      <c r="BM20" s="2"/>
      <c r="BN20" s="6"/>
    </row>
    <row r="21" spans="1:66" outlineLevel="1" x14ac:dyDescent="0.25">
      <c r="A21" s="22">
        <v>3.4</v>
      </c>
      <c r="B21" s="23" t="s">
        <v>16</v>
      </c>
      <c r="C21" s="80">
        <v>550</v>
      </c>
      <c r="D21" s="26">
        <v>550</v>
      </c>
      <c r="E21" s="80">
        <f t="shared" si="5"/>
        <v>0</v>
      </c>
      <c r="F21" s="26">
        <v>0</v>
      </c>
      <c r="G21" s="2"/>
      <c r="H21" s="2"/>
      <c r="I21" s="2"/>
      <c r="J21" s="6"/>
      <c r="K21" s="2"/>
      <c r="L21" s="2"/>
      <c r="M21" s="2"/>
      <c r="N21" s="6"/>
      <c r="O21" s="2"/>
      <c r="P21" s="2"/>
      <c r="Q21" s="2"/>
      <c r="R21" s="6"/>
      <c r="S21" s="2"/>
      <c r="T21" s="2"/>
      <c r="U21" s="2"/>
      <c r="V21" s="6"/>
      <c r="W21" s="2"/>
      <c r="X21" s="2"/>
      <c r="Y21" s="2"/>
      <c r="Z21" s="6"/>
      <c r="AA21" s="2"/>
      <c r="AB21" s="2"/>
      <c r="AC21" s="2"/>
      <c r="AD21" s="6"/>
      <c r="AE21" s="2"/>
      <c r="AF21" s="2"/>
      <c r="AG21" s="2"/>
      <c r="AH21" s="6"/>
      <c r="AI21" s="2"/>
      <c r="AJ21" s="2"/>
      <c r="AK21" s="2"/>
      <c r="AL21" s="6"/>
      <c r="AM21" s="2"/>
      <c r="AN21" s="2"/>
      <c r="AO21" s="2"/>
      <c r="AP21" s="6"/>
      <c r="AQ21" s="2"/>
      <c r="AR21" s="2"/>
      <c r="AS21" s="2"/>
      <c r="AT21" s="6"/>
      <c r="AU21" s="2"/>
      <c r="AV21" s="2"/>
      <c r="AW21" s="2"/>
      <c r="AX21" s="6"/>
      <c r="AY21" s="2"/>
      <c r="AZ21" s="2"/>
      <c r="BA21" s="2"/>
      <c r="BB21" s="6"/>
      <c r="BC21" s="2"/>
      <c r="BD21" s="2"/>
      <c r="BE21" s="2"/>
      <c r="BF21" s="6"/>
      <c r="BG21" s="2"/>
      <c r="BH21" s="2"/>
      <c r="BI21" s="12"/>
      <c r="BJ21" s="11"/>
      <c r="BK21" s="12"/>
      <c r="BL21" s="12"/>
      <c r="BM21" s="12"/>
      <c r="BN21" s="11"/>
    </row>
    <row r="22" spans="1:66" x14ac:dyDescent="0.25">
      <c r="A22" s="27"/>
      <c r="B22" s="27"/>
      <c r="C22" s="18"/>
      <c r="D22" s="18"/>
      <c r="E22" s="18"/>
      <c r="F22" s="18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  <c r="BF22" s="90"/>
      <c r="BG22" s="90"/>
      <c r="BH22" s="90"/>
      <c r="BI22" s="90"/>
      <c r="BJ22" s="90"/>
      <c r="BK22" s="90"/>
      <c r="BL22" s="90"/>
      <c r="BM22" s="90"/>
      <c r="BN22" s="91"/>
    </row>
    <row r="23" spans="1:66" ht="30" x14ac:dyDescent="0.25">
      <c r="A23" s="43">
        <v>4</v>
      </c>
      <c r="B23" s="44" t="s">
        <v>19</v>
      </c>
      <c r="C23" s="45">
        <f>SUM(C24:C27)</f>
        <v>2547.5</v>
      </c>
      <c r="D23" s="46">
        <f t="shared" ref="D23:F23" si="6">SUM(D24:D27)</f>
        <v>2039.1599999999999</v>
      </c>
      <c r="E23" s="46">
        <f t="shared" si="6"/>
        <v>300.0100000000001</v>
      </c>
      <c r="F23" s="46">
        <f t="shared" si="6"/>
        <v>208.33</v>
      </c>
      <c r="G23" s="2"/>
      <c r="H23" s="2"/>
      <c r="I23" s="2"/>
      <c r="J23" s="6"/>
      <c r="K23" s="2"/>
      <c r="L23" s="2"/>
      <c r="M23" s="2"/>
      <c r="N23" s="6"/>
      <c r="O23" s="67"/>
      <c r="P23" s="67"/>
      <c r="Q23" s="67"/>
      <c r="R23" s="68"/>
      <c r="S23" s="67"/>
      <c r="T23" s="67"/>
      <c r="U23" s="67"/>
      <c r="V23" s="68"/>
      <c r="W23" s="67"/>
      <c r="X23" s="67"/>
      <c r="Y23" s="67"/>
      <c r="Z23" s="68"/>
      <c r="AA23" s="67"/>
      <c r="AB23" s="67"/>
      <c r="AC23" s="67"/>
      <c r="AD23" s="68"/>
      <c r="AE23" s="67"/>
      <c r="AF23" s="67"/>
      <c r="AG23" s="67"/>
      <c r="AH23" s="68"/>
      <c r="AI23" s="67"/>
      <c r="AJ23" s="2"/>
      <c r="AK23" s="2"/>
      <c r="AL23" s="6"/>
      <c r="AM23" s="2"/>
      <c r="AN23" s="2"/>
      <c r="AO23" s="2"/>
      <c r="AP23" s="6"/>
      <c r="AQ23" s="2"/>
      <c r="AR23" s="2"/>
      <c r="AS23" s="2"/>
      <c r="AT23" s="6"/>
      <c r="AU23" s="2"/>
      <c r="AV23" s="2"/>
      <c r="AW23" s="2"/>
      <c r="AX23" s="6"/>
      <c r="AY23" s="2"/>
      <c r="AZ23" s="2"/>
      <c r="BA23" s="2"/>
      <c r="BB23" s="6"/>
      <c r="BC23" s="2"/>
      <c r="BD23" s="2"/>
      <c r="BE23" s="2"/>
      <c r="BF23" s="6"/>
      <c r="BG23" s="2"/>
      <c r="BH23" s="2"/>
      <c r="BI23" s="2"/>
      <c r="BJ23" s="6"/>
      <c r="BK23" s="2"/>
      <c r="BL23" s="2"/>
      <c r="BM23" s="2"/>
      <c r="BN23" s="6"/>
    </row>
    <row r="24" spans="1:66" outlineLevel="1" x14ac:dyDescent="0.25">
      <c r="A24" s="22">
        <v>4.0999999999999996</v>
      </c>
      <c r="B24" s="23" t="s">
        <v>20</v>
      </c>
      <c r="C24" s="26">
        <v>137.5</v>
      </c>
      <c r="D24" s="26">
        <v>137.5</v>
      </c>
      <c r="E24" s="26">
        <f t="shared" ref="E24:E27" si="7">C24-D24-F24</f>
        <v>0</v>
      </c>
      <c r="F24" s="26"/>
      <c r="G24" s="2"/>
      <c r="H24" s="2"/>
      <c r="I24" s="2"/>
      <c r="J24" s="6"/>
      <c r="K24" s="2"/>
      <c r="L24" s="2"/>
      <c r="M24" s="2"/>
      <c r="N24" s="6"/>
      <c r="O24" s="10"/>
      <c r="P24" s="10"/>
      <c r="Q24" s="10"/>
      <c r="R24" s="9"/>
      <c r="S24" s="2"/>
      <c r="T24" s="2"/>
      <c r="U24" s="2"/>
      <c r="V24" s="6"/>
      <c r="W24" s="2"/>
      <c r="X24" s="2"/>
      <c r="Y24" s="2"/>
      <c r="Z24" s="6"/>
      <c r="AA24" s="2"/>
      <c r="AB24" s="2"/>
      <c r="AC24" s="2"/>
      <c r="AD24" s="6"/>
      <c r="AE24" s="2"/>
      <c r="AF24" s="2"/>
      <c r="AG24" s="2"/>
      <c r="AH24" s="6"/>
      <c r="AI24" s="2"/>
      <c r="AJ24" s="2"/>
      <c r="AK24" s="2"/>
      <c r="AL24" s="6"/>
      <c r="AM24" s="2"/>
      <c r="AN24" s="2"/>
      <c r="AO24" s="2"/>
      <c r="AP24" s="6"/>
      <c r="AQ24" s="2"/>
      <c r="AR24" s="2"/>
      <c r="AS24" s="2"/>
      <c r="AT24" s="6"/>
      <c r="AU24" s="2"/>
      <c r="AV24" s="2"/>
      <c r="AW24" s="2"/>
      <c r="AX24" s="6"/>
      <c r="AY24" s="2"/>
      <c r="AZ24" s="2"/>
      <c r="BA24" s="2"/>
      <c r="BB24" s="6"/>
      <c r="BC24" s="2"/>
      <c r="BD24" s="2"/>
      <c r="BE24" s="2"/>
      <c r="BF24" s="6"/>
      <c r="BG24" s="2"/>
      <c r="BH24" s="2"/>
      <c r="BI24" s="2"/>
      <c r="BJ24" s="6"/>
      <c r="BK24" s="2"/>
      <c r="BL24" s="2"/>
      <c r="BM24" s="2"/>
      <c r="BN24" s="6"/>
    </row>
    <row r="25" spans="1:66" ht="26.25" outlineLevel="1" x14ac:dyDescent="0.25">
      <c r="A25" s="22">
        <v>4.2</v>
      </c>
      <c r="B25" s="23" t="s">
        <v>3</v>
      </c>
      <c r="C25" s="26">
        <v>53.33</v>
      </c>
      <c r="D25" s="26">
        <v>38.33</v>
      </c>
      <c r="E25" s="26">
        <f t="shared" si="7"/>
        <v>15</v>
      </c>
      <c r="F25" s="26"/>
      <c r="G25" s="2"/>
      <c r="H25" s="2"/>
      <c r="I25" s="2"/>
      <c r="J25" s="6"/>
      <c r="K25" s="2"/>
      <c r="L25" s="2"/>
      <c r="M25" s="2"/>
      <c r="N25" s="6"/>
      <c r="O25" s="2"/>
      <c r="P25" s="2"/>
      <c r="Q25" s="2"/>
      <c r="R25" s="9"/>
      <c r="S25" s="10"/>
      <c r="T25" s="85"/>
      <c r="U25" s="2"/>
      <c r="V25" s="6"/>
      <c r="W25" s="2"/>
      <c r="X25" s="2"/>
      <c r="Y25" s="2"/>
      <c r="Z25" s="6"/>
      <c r="AA25" s="2"/>
      <c r="AB25" s="2"/>
      <c r="AC25" s="2"/>
      <c r="AD25" s="6"/>
      <c r="AE25" s="2"/>
      <c r="AF25" s="2"/>
      <c r="AG25" s="2"/>
      <c r="AH25" s="6"/>
      <c r="AI25" s="2"/>
      <c r="AJ25" s="2"/>
      <c r="AK25" s="2"/>
      <c r="AL25" s="6"/>
      <c r="AM25" s="2"/>
      <c r="AN25" s="2"/>
      <c r="AO25" s="2"/>
      <c r="AP25" s="6"/>
      <c r="AQ25" s="2"/>
      <c r="AR25" s="2"/>
      <c r="AS25" s="2"/>
      <c r="AT25" s="6"/>
      <c r="AU25" s="2"/>
      <c r="AV25" s="2"/>
      <c r="AW25" s="2"/>
      <c r="AX25" s="6"/>
      <c r="AY25" s="2"/>
      <c r="AZ25" s="2"/>
      <c r="BA25" s="2"/>
      <c r="BB25" s="6"/>
      <c r="BC25" s="2"/>
      <c r="BD25" s="2"/>
      <c r="BE25" s="2"/>
      <c r="BF25" s="6"/>
      <c r="BG25" s="2"/>
      <c r="BH25" s="2"/>
      <c r="BI25" s="2"/>
      <c r="BJ25" s="6"/>
      <c r="BK25" s="2"/>
      <c r="BL25" s="2"/>
      <c r="BM25" s="2"/>
      <c r="BN25" s="6"/>
    </row>
    <row r="26" spans="1:66" outlineLevel="1" x14ac:dyDescent="0.25">
      <c r="A26" s="22">
        <v>4.3</v>
      </c>
      <c r="B26" s="23" t="s">
        <v>21</v>
      </c>
      <c r="C26" s="26">
        <v>2246.67</v>
      </c>
      <c r="D26" s="26">
        <v>1753.33</v>
      </c>
      <c r="E26" s="26">
        <f t="shared" si="7"/>
        <v>285.0100000000001</v>
      </c>
      <c r="F26" s="26">
        <v>208.33</v>
      </c>
      <c r="G26" s="2"/>
      <c r="H26" s="2"/>
      <c r="I26" s="2"/>
      <c r="J26" s="6"/>
      <c r="K26" s="2"/>
      <c r="L26" s="2"/>
      <c r="M26" s="2"/>
      <c r="N26" s="6"/>
      <c r="O26" s="2"/>
      <c r="P26" s="2"/>
      <c r="Q26" s="2"/>
      <c r="R26" s="6"/>
      <c r="S26" s="2"/>
      <c r="T26" s="10"/>
      <c r="U26" s="10"/>
      <c r="V26" s="9"/>
      <c r="W26" s="10"/>
      <c r="X26" s="10"/>
      <c r="Y26" s="10"/>
      <c r="Z26" s="9"/>
      <c r="AA26" s="10"/>
      <c r="AB26" s="10"/>
      <c r="AC26" s="10"/>
      <c r="AD26" s="9"/>
      <c r="AE26" s="10"/>
      <c r="AF26" s="10"/>
      <c r="AG26" s="10"/>
      <c r="AH26" s="86"/>
      <c r="AI26" s="2"/>
      <c r="AJ26" s="2"/>
      <c r="AK26" s="2"/>
      <c r="AL26" s="6"/>
      <c r="AM26" s="2"/>
      <c r="AN26" s="2"/>
      <c r="AO26" s="2"/>
      <c r="AP26" s="5"/>
      <c r="AQ26" s="2"/>
      <c r="AR26" s="2"/>
      <c r="AS26" s="2"/>
      <c r="AT26" s="6"/>
      <c r="AU26" s="2"/>
      <c r="AV26" s="2"/>
      <c r="AW26" s="2"/>
      <c r="AX26" s="6"/>
      <c r="AY26" s="2"/>
      <c r="AZ26" s="2"/>
      <c r="BA26" s="2"/>
      <c r="BB26" s="6"/>
      <c r="BC26" s="2"/>
      <c r="BD26" s="2"/>
      <c r="BE26" s="2"/>
      <c r="BF26" s="6"/>
      <c r="BG26" s="2"/>
      <c r="BH26" s="2"/>
      <c r="BI26" s="2"/>
      <c r="BJ26" s="6"/>
      <c r="BK26" s="2"/>
      <c r="BL26" s="2"/>
      <c r="BM26" s="2"/>
      <c r="BN26" s="6"/>
    </row>
    <row r="27" spans="1:66" outlineLevel="1" x14ac:dyDescent="0.25">
      <c r="A27" s="28">
        <v>4.4000000000000004</v>
      </c>
      <c r="B27" s="23" t="s">
        <v>4</v>
      </c>
      <c r="C27" s="26">
        <v>110</v>
      </c>
      <c r="D27" s="26">
        <v>110</v>
      </c>
      <c r="E27" s="26">
        <f t="shared" si="7"/>
        <v>0</v>
      </c>
      <c r="F27" s="26"/>
      <c r="G27" s="2"/>
      <c r="H27" s="2"/>
      <c r="I27" s="2"/>
      <c r="J27" s="6"/>
      <c r="K27" s="2"/>
      <c r="L27" s="2"/>
      <c r="M27" s="2"/>
      <c r="N27" s="6"/>
      <c r="O27" s="2"/>
      <c r="P27" s="2"/>
      <c r="Q27" s="2"/>
      <c r="R27" s="6"/>
      <c r="S27" s="2"/>
      <c r="T27" s="2"/>
      <c r="U27" s="2"/>
      <c r="V27" s="6"/>
      <c r="W27" s="2"/>
      <c r="X27" s="2"/>
      <c r="Y27" s="2"/>
      <c r="Z27" s="6"/>
      <c r="AA27" s="2"/>
      <c r="AB27" s="2"/>
      <c r="AC27" s="2"/>
      <c r="AD27" s="6"/>
      <c r="AE27" s="2"/>
      <c r="AF27" s="2"/>
      <c r="AG27" s="2"/>
      <c r="AH27" s="9"/>
      <c r="AI27" s="10"/>
      <c r="AJ27" s="2"/>
      <c r="AK27" s="2"/>
      <c r="AL27" s="6"/>
      <c r="AM27" s="2"/>
      <c r="AN27" s="2"/>
      <c r="AO27" s="2"/>
      <c r="AP27" s="6"/>
      <c r="AQ27" s="2"/>
      <c r="AR27" s="2"/>
      <c r="AS27" s="2"/>
      <c r="AT27" s="6"/>
      <c r="AU27" s="2"/>
      <c r="AV27" s="2"/>
      <c r="AW27" s="2"/>
      <c r="AX27" s="6"/>
      <c r="AY27" s="2"/>
      <c r="AZ27" s="2"/>
      <c r="BA27" s="2"/>
      <c r="BB27" s="6"/>
      <c r="BC27" s="2"/>
      <c r="BD27" s="2"/>
      <c r="BE27" s="2"/>
      <c r="BF27" s="6"/>
      <c r="BG27" s="2"/>
      <c r="BH27" s="2"/>
      <c r="BI27" s="2"/>
      <c r="BJ27" s="6"/>
      <c r="BK27" s="2"/>
      <c r="BL27" s="2"/>
      <c r="BM27" s="2"/>
      <c r="BN27" s="6"/>
    </row>
    <row r="28" spans="1:66" x14ac:dyDescent="0.25">
      <c r="A28" s="27"/>
      <c r="B28" s="27"/>
      <c r="C28" s="18"/>
      <c r="D28" s="18"/>
      <c r="E28" s="18"/>
      <c r="F28" s="18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F28" s="90"/>
      <c r="BG28" s="90"/>
      <c r="BH28" s="90"/>
      <c r="BI28" s="90"/>
      <c r="BJ28" s="90"/>
      <c r="BK28" s="90"/>
      <c r="BL28" s="90"/>
      <c r="BM28" s="90"/>
      <c r="BN28" s="91"/>
    </row>
    <row r="29" spans="1:66" ht="30" x14ac:dyDescent="0.25">
      <c r="A29" s="47">
        <v>5</v>
      </c>
      <c r="B29" s="48" t="s">
        <v>22</v>
      </c>
      <c r="C29" s="49">
        <f>SUM(C30:C36)</f>
        <v>44308.33</v>
      </c>
      <c r="D29" s="50">
        <f t="shared" ref="D29:F29" si="8">SUM(D30:D36)</f>
        <v>9462.5</v>
      </c>
      <c r="E29" s="50">
        <f t="shared" si="8"/>
        <v>13387.5</v>
      </c>
      <c r="F29" s="50">
        <f t="shared" si="8"/>
        <v>21458.33</v>
      </c>
      <c r="G29" s="2"/>
      <c r="H29" s="2"/>
      <c r="I29" s="2"/>
      <c r="J29" s="6"/>
      <c r="K29" s="2"/>
      <c r="L29" s="2"/>
      <c r="M29" s="2"/>
      <c r="N29" s="6"/>
      <c r="O29" s="69"/>
      <c r="P29" s="69"/>
      <c r="Q29" s="69"/>
      <c r="R29" s="70"/>
      <c r="S29" s="69"/>
      <c r="T29" s="69"/>
      <c r="U29" s="69"/>
      <c r="V29" s="70"/>
      <c r="W29" s="69"/>
      <c r="X29" s="69"/>
      <c r="Y29" s="69"/>
      <c r="Z29" s="70"/>
      <c r="AA29" s="69"/>
      <c r="AB29" s="69"/>
      <c r="AC29" s="69"/>
      <c r="AD29" s="70"/>
      <c r="AE29" s="69"/>
      <c r="AF29" s="69"/>
      <c r="AG29" s="69"/>
      <c r="AH29" s="70"/>
      <c r="AI29" s="69"/>
      <c r="AJ29" s="69"/>
      <c r="AK29" s="69"/>
      <c r="AL29" s="70"/>
      <c r="AM29" s="69"/>
      <c r="AN29" s="69"/>
      <c r="AO29" s="69"/>
      <c r="AP29" s="70"/>
      <c r="AQ29" s="69"/>
      <c r="AR29" s="69"/>
      <c r="AS29" s="69"/>
      <c r="AT29" s="70"/>
      <c r="AU29" s="69"/>
      <c r="AV29" s="69"/>
      <c r="AW29" s="69"/>
      <c r="AX29" s="70"/>
      <c r="AY29" s="69"/>
      <c r="AZ29" s="69"/>
      <c r="BA29" s="69"/>
      <c r="BB29" s="70"/>
      <c r="BC29" s="69"/>
      <c r="BD29" s="69"/>
      <c r="BE29" s="69"/>
      <c r="BF29" s="70"/>
      <c r="BG29" s="69"/>
      <c r="BH29" s="69"/>
      <c r="BI29" s="69"/>
      <c r="BJ29" s="70"/>
      <c r="BK29" s="69"/>
      <c r="BL29" s="69"/>
      <c r="BM29" s="69"/>
      <c r="BN29" s="70"/>
    </row>
    <row r="30" spans="1:66" outlineLevel="1" x14ac:dyDescent="0.25">
      <c r="A30" s="22">
        <v>5.0999999999999996</v>
      </c>
      <c r="B30" s="29" t="s">
        <v>23</v>
      </c>
      <c r="C30" s="26">
        <v>1775</v>
      </c>
      <c r="D30" s="26">
        <v>651.25</v>
      </c>
      <c r="E30" s="26">
        <f t="shared" ref="E30:E36" si="9">C30-D30-F30</f>
        <v>1123.75</v>
      </c>
      <c r="F30" s="26"/>
      <c r="G30" s="2"/>
      <c r="H30" s="2"/>
      <c r="I30" s="2"/>
      <c r="J30" s="6"/>
      <c r="K30" s="2"/>
      <c r="L30" s="2"/>
      <c r="M30" s="2"/>
      <c r="N30" s="6"/>
      <c r="O30" s="2"/>
      <c r="P30" s="2"/>
      <c r="Q30" s="2"/>
      <c r="R30" s="6"/>
      <c r="S30" s="2"/>
      <c r="T30" s="2"/>
      <c r="U30" s="2"/>
      <c r="V30" s="6"/>
      <c r="W30" s="2"/>
      <c r="X30" s="2"/>
      <c r="Y30" s="2"/>
      <c r="Z30" s="6"/>
      <c r="AA30" s="2"/>
      <c r="AB30" s="2"/>
      <c r="AC30" s="2"/>
      <c r="AD30" s="6"/>
      <c r="AE30" s="7"/>
      <c r="AF30" s="7"/>
      <c r="AG30" s="7"/>
      <c r="AH30" s="8"/>
      <c r="AI30" s="7"/>
      <c r="AJ30" s="7"/>
      <c r="AK30" s="7"/>
      <c r="AL30" s="86"/>
      <c r="AM30" s="7"/>
      <c r="AN30" s="7"/>
      <c r="AO30" s="7"/>
      <c r="AP30" s="8"/>
      <c r="AQ30" s="7"/>
      <c r="AR30" s="7"/>
      <c r="AS30" s="7"/>
      <c r="AT30" s="86"/>
      <c r="AU30" s="7"/>
      <c r="AV30" s="7"/>
      <c r="AW30" s="7"/>
      <c r="AX30" s="8"/>
      <c r="AY30" s="7"/>
      <c r="AZ30" s="7"/>
      <c r="BA30" s="7"/>
      <c r="BB30" s="8"/>
      <c r="BC30" s="7"/>
      <c r="BD30" s="7"/>
      <c r="BE30" s="7"/>
      <c r="BF30" s="86"/>
      <c r="BG30" s="2"/>
      <c r="BH30" s="2"/>
      <c r="BI30" s="2"/>
      <c r="BJ30" s="6"/>
      <c r="BK30" s="2"/>
      <c r="BL30" s="2"/>
      <c r="BM30" s="2"/>
      <c r="BN30" s="6"/>
    </row>
    <row r="31" spans="1:66" outlineLevel="1" x14ac:dyDescent="0.25">
      <c r="A31" s="28">
        <v>5.2</v>
      </c>
      <c r="B31" s="29" t="s">
        <v>24</v>
      </c>
      <c r="C31" s="26">
        <v>20000</v>
      </c>
      <c r="D31" s="26">
        <v>0</v>
      </c>
      <c r="E31" s="26">
        <f t="shared" si="9"/>
        <v>0</v>
      </c>
      <c r="F31" s="26">
        <v>20000</v>
      </c>
      <c r="G31" s="2"/>
      <c r="H31" s="2"/>
      <c r="I31" s="2"/>
      <c r="J31" s="6"/>
      <c r="K31" s="2"/>
      <c r="L31" s="2"/>
      <c r="M31" s="2"/>
      <c r="N31" s="6"/>
      <c r="O31" s="7"/>
      <c r="P31" s="7"/>
      <c r="Q31" s="7"/>
      <c r="R31" s="8"/>
      <c r="S31" s="7"/>
      <c r="T31" s="7"/>
      <c r="U31" s="7"/>
      <c r="V31" s="8"/>
      <c r="W31" s="7"/>
      <c r="X31" s="7"/>
      <c r="Y31" s="7"/>
      <c r="Z31" s="8"/>
      <c r="AA31" s="7"/>
      <c r="AB31" s="7"/>
      <c r="AC31" s="7"/>
      <c r="AD31" s="86"/>
      <c r="AE31" s="7"/>
      <c r="AF31" s="7"/>
      <c r="AG31" s="7"/>
      <c r="AH31" s="8"/>
      <c r="AI31" s="7"/>
      <c r="AJ31" s="7"/>
      <c r="AK31" s="7"/>
      <c r="AL31" s="8"/>
      <c r="AM31" s="7"/>
      <c r="AN31" s="7"/>
      <c r="AO31" s="7"/>
      <c r="AP31" s="8"/>
      <c r="AQ31" s="7"/>
      <c r="AR31" s="7"/>
      <c r="AS31" s="7"/>
      <c r="AT31" s="8"/>
      <c r="AU31" s="7"/>
      <c r="AV31" s="7"/>
      <c r="AW31" s="7"/>
      <c r="AX31" s="8"/>
      <c r="AY31" s="7"/>
      <c r="AZ31" s="7"/>
      <c r="BA31" s="7"/>
      <c r="BB31" s="8"/>
      <c r="BC31" s="7"/>
      <c r="BD31" s="7"/>
      <c r="BE31" s="7"/>
      <c r="BF31" s="8"/>
      <c r="BG31" s="2"/>
      <c r="BH31" s="2"/>
      <c r="BI31" s="2"/>
      <c r="BJ31" s="6"/>
      <c r="BK31" s="2"/>
      <c r="BL31" s="2"/>
      <c r="BM31" s="2"/>
      <c r="BN31" s="6"/>
    </row>
    <row r="32" spans="1:66" outlineLevel="1" x14ac:dyDescent="0.25">
      <c r="A32" s="22">
        <v>5.3</v>
      </c>
      <c r="B32" s="29" t="s">
        <v>25</v>
      </c>
      <c r="C32" s="26">
        <v>8875</v>
      </c>
      <c r="D32" s="26">
        <v>3593.75</v>
      </c>
      <c r="E32" s="26">
        <f t="shared" si="9"/>
        <v>5281.25</v>
      </c>
      <c r="F32" s="26"/>
      <c r="G32" s="2"/>
      <c r="H32" s="2"/>
      <c r="I32" s="2"/>
      <c r="J32" s="6"/>
      <c r="K32" s="2"/>
      <c r="L32" s="2"/>
      <c r="M32" s="2"/>
      <c r="N32" s="6"/>
      <c r="O32" s="2"/>
      <c r="P32" s="2"/>
      <c r="Q32" s="2"/>
      <c r="R32" s="6"/>
      <c r="S32" s="2"/>
      <c r="T32" s="2"/>
      <c r="U32" s="2"/>
      <c r="V32" s="6"/>
      <c r="W32" s="2"/>
      <c r="X32" s="2"/>
      <c r="Y32" s="2"/>
      <c r="Z32" s="6"/>
      <c r="AA32" s="2"/>
      <c r="AB32" s="2"/>
      <c r="AC32" s="2"/>
      <c r="AD32" s="6"/>
      <c r="AE32" s="2"/>
      <c r="AF32" s="2"/>
      <c r="AG32" s="2"/>
      <c r="AH32" s="6"/>
      <c r="AI32" s="7"/>
      <c r="AJ32" s="7"/>
      <c r="AK32" s="7"/>
      <c r="AL32" s="8"/>
      <c r="AM32" s="7"/>
      <c r="AN32" s="7"/>
      <c r="AO32" s="7"/>
      <c r="AP32" s="8"/>
      <c r="AQ32" s="7"/>
      <c r="AR32" s="7"/>
      <c r="AS32" s="7"/>
      <c r="AT32" s="8"/>
      <c r="AU32" s="7"/>
      <c r="AV32" s="7"/>
      <c r="AW32" s="7"/>
      <c r="AX32" s="8"/>
      <c r="AY32" s="7"/>
      <c r="AZ32" s="7"/>
      <c r="BA32" s="7"/>
      <c r="BB32" s="8"/>
      <c r="BC32" s="7"/>
      <c r="BD32" s="7"/>
      <c r="BE32" s="7"/>
      <c r="BF32" s="8"/>
      <c r="BG32" s="7"/>
      <c r="BH32" s="7"/>
      <c r="BI32" s="7"/>
      <c r="BJ32" s="86"/>
      <c r="BK32" s="7"/>
      <c r="BL32" s="7"/>
      <c r="BM32" s="2"/>
      <c r="BN32" s="6"/>
    </row>
    <row r="33" spans="1:66" outlineLevel="1" x14ac:dyDescent="0.25">
      <c r="A33" s="28">
        <v>5.4</v>
      </c>
      <c r="B33" s="29" t="s">
        <v>26</v>
      </c>
      <c r="C33" s="26">
        <v>5833.33</v>
      </c>
      <c r="D33" s="26">
        <v>2625</v>
      </c>
      <c r="E33" s="26">
        <f t="shared" si="9"/>
        <v>1750</v>
      </c>
      <c r="F33" s="26">
        <v>1458.33</v>
      </c>
      <c r="G33" s="2"/>
      <c r="H33" s="2"/>
      <c r="I33" s="2"/>
      <c r="J33" s="6"/>
      <c r="K33" s="2"/>
      <c r="L33" s="2"/>
      <c r="M33" s="2"/>
      <c r="N33" s="6"/>
      <c r="O33" s="2"/>
      <c r="P33" s="2"/>
      <c r="Q33" s="2"/>
      <c r="R33" s="6"/>
      <c r="S33" s="2"/>
      <c r="T33" s="2"/>
      <c r="U33" s="2"/>
      <c r="V33" s="6"/>
      <c r="W33" s="2"/>
      <c r="X33" s="2"/>
      <c r="Y33" s="2"/>
      <c r="Z33" s="6"/>
      <c r="AA33" s="2"/>
      <c r="AB33" s="2"/>
      <c r="AC33" s="2"/>
      <c r="AD33" s="6"/>
      <c r="AE33" s="2"/>
      <c r="AF33" s="2"/>
      <c r="AG33" s="2"/>
      <c r="AH33" s="6"/>
      <c r="AI33" s="7"/>
      <c r="AJ33" s="7"/>
      <c r="AK33" s="7"/>
      <c r="AL33" s="8"/>
      <c r="AM33" s="7"/>
      <c r="AN33" s="7"/>
      <c r="AO33" s="7"/>
      <c r="AP33" s="8"/>
      <c r="AQ33" s="7"/>
      <c r="AR33" s="7"/>
      <c r="AS33" s="7"/>
      <c r="AT33" s="8"/>
      <c r="AU33" s="7"/>
      <c r="AV33" s="7"/>
      <c r="AW33" s="7"/>
      <c r="AX33" s="8"/>
      <c r="AY33" s="7"/>
      <c r="AZ33" s="7"/>
      <c r="BA33" s="7"/>
      <c r="BB33" s="8"/>
      <c r="BC33" s="7"/>
      <c r="BD33" s="7"/>
      <c r="BE33" s="7"/>
      <c r="BF33" s="8"/>
      <c r="BG33" s="7"/>
      <c r="BH33" s="7"/>
      <c r="BI33" s="2"/>
      <c r="BJ33" s="6"/>
      <c r="BK33" s="2"/>
      <c r="BL33" s="2"/>
      <c r="BM33" s="2"/>
      <c r="BN33" s="6"/>
    </row>
    <row r="34" spans="1:66" outlineLevel="1" x14ac:dyDescent="0.25">
      <c r="A34" s="22">
        <v>5.5</v>
      </c>
      <c r="B34" s="29" t="s">
        <v>28</v>
      </c>
      <c r="C34" s="26">
        <v>500</v>
      </c>
      <c r="D34" s="26">
        <v>250</v>
      </c>
      <c r="E34" s="26">
        <f t="shared" si="9"/>
        <v>250</v>
      </c>
      <c r="F34" s="26"/>
      <c r="G34" s="2"/>
      <c r="H34" s="2"/>
      <c r="I34" s="2"/>
      <c r="J34" s="6"/>
      <c r="K34" s="2"/>
      <c r="L34" s="2"/>
      <c r="M34" s="2"/>
      <c r="N34" s="6"/>
      <c r="O34" s="2"/>
      <c r="P34" s="2"/>
      <c r="Q34" s="2"/>
      <c r="R34" s="6"/>
      <c r="S34" s="2"/>
      <c r="T34" s="2"/>
      <c r="U34" s="2"/>
      <c r="V34" s="6"/>
      <c r="W34" s="2"/>
      <c r="X34" s="2"/>
      <c r="Y34" s="2"/>
      <c r="Z34" s="6"/>
      <c r="AA34" s="2"/>
      <c r="AB34" s="2"/>
      <c r="AC34" s="2"/>
      <c r="AD34" s="6"/>
      <c r="AE34" s="2"/>
      <c r="AF34" s="2"/>
      <c r="AG34" s="7"/>
      <c r="AH34" s="8"/>
      <c r="AI34" s="7"/>
      <c r="AJ34" s="7"/>
      <c r="AK34" s="2"/>
      <c r="AL34" s="6"/>
      <c r="AM34" s="2"/>
      <c r="AN34" s="2"/>
      <c r="AO34" s="2"/>
      <c r="AP34" s="6"/>
      <c r="AQ34" s="2"/>
      <c r="AR34" s="2"/>
      <c r="AS34" s="2"/>
      <c r="AT34" s="6"/>
      <c r="AU34" s="2"/>
      <c r="AV34" s="2"/>
      <c r="AW34" s="2"/>
      <c r="AX34" s="6"/>
      <c r="AY34" s="2"/>
      <c r="AZ34" s="2"/>
      <c r="BA34" s="2"/>
      <c r="BB34" s="6"/>
      <c r="BC34" s="2"/>
      <c r="BD34" s="2"/>
      <c r="BE34" s="2"/>
      <c r="BF34" s="6"/>
      <c r="BG34" s="2"/>
      <c r="BH34" s="2"/>
      <c r="BI34" s="2"/>
      <c r="BJ34" s="6"/>
      <c r="BK34" s="2"/>
      <c r="BL34" s="2"/>
      <c r="BM34" s="2"/>
      <c r="BN34" s="6"/>
    </row>
    <row r="35" spans="1:66" outlineLevel="1" x14ac:dyDescent="0.25">
      <c r="A35" s="28">
        <v>5.6</v>
      </c>
      <c r="B35" s="29" t="s">
        <v>29</v>
      </c>
      <c r="C35" s="26">
        <v>3900</v>
      </c>
      <c r="D35" s="26">
        <v>630</v>
      </c>
      <c r="E35" s="26">
        <f t="shared" si="9"/>
        <v>3270</v>
      </c>
      <c r="F35" s="26"/>
      <c r="G35" s="2"/>
      <c r="H35" s="2"/>
      <c r="I35" s="2"/>
      <c r="J35" s="6"/>
      <c r="K35" s="2"/>
      <c r="L35" s="2"/>
      <c r="M35" s="2"/>
      <c r="N35" s="6"/>
      <c r="O35" s="2"/>
      <c r="P35" s="2"/>
      <c r="Q35" s="2"/>
      <c r="R35" s="6"/>
      <c r="S35" s="2"/>
      <c r="T35" s="2"/>
      <c r="U35" s="2"/>
      <c r="V35" s="6"/>
      <c r="W35" s="2"/>
      <c r="X35" s="2"/>
      <c r="Y35" s="2"/>
      <c r="Z35" s="6"/>
      <c r="AA35" s="2"/>
      <c r="AB35" s="2"/>
      <c r="AC35" s="2"/>
      <c r="AD35" s="6"/>
      <c r="AE35" s="2"/>
      <c r="AF35" s="2"/>
      <c r="AG35" s="2"/>
      <c r="AH35" s="6"/>
      <c r="AI35" s="2"/>
      <c r="AJ35" s="2"/>
      <c r="AK35" s="2"/>
      <c r="AL35" s="8"/>
      <c r="AM35" s="2"/>
      <c r="AN35" s="2"/>
      <c r="AO35" s="2"/>
      <c r="AP35" s="8"/>
      <c r="AQ35" s="2"/>
      <c r="AR35" s="2"/>
      <c r="AS35" s="2"/>
      <c r="AT35" s="8"/>
      <c r="AU35" s="2"/>
      <c r="AV35" s="2"/>
      <c r="AW35" s="2"/>
      <c r="AX35" s="8"/>
      <c r="AY35" s="2"/>
      <c r="AZ35" s="2"/>
      <c r="BA35" s="2"/>
      <c r="BB35" s="8"/>
      <c r="BC35" s="2"/>
      <c r="BD35" s="2"/>
      <c r="BE35" s="2"/>
      <c r="BF35" s="8"/>
      <c r="BG35" s="2"/>
      <c r="BH35" s="2"/>
      <c r="BI35" s="2"/>
      <c r="BJ35" s="8"/>
      <c r="BK35" s="2"/>
      <c r="BL35" s="7"/>
      <c r="BM35" s="2"/>
      <c r="BN35" s="6"/>
    </row>
    <row r="36" spans="1:66" outlineLevel="1" x14ac:dyDescent="0.25">
      <c r="A36" s="22">
        <v>5.7</v>
      </c>
      <c r="B36" s="29" t="s">
        <v>27</v>
      </c>
      <c r="C36" s="26">
        <v>3425</v>
      </c>
      <c r="D36" s="26">
        <v>1712.5</v>
      </c>
      <c r="E36" s="26">
        <f t="shared" si="9"/>
        <v>1712.5</v>
      </c>
      <c r="F36" s="26"/>
      <c r="G36" s="2"/>
      <c r="H36" s="2"/>
      <c r="I36" s="2"/>
      <c r="J36" s="6"/>
      <c r="K36" s="2"/>
      <c r="L36" s="2"/>
      <c r="M36" s="2"/>
      <c r="N36" s="6"/>
      <c r="O36" s="2"/>
      <c r="P36" s="2"/>
      <c r="Q36" s="2"/>
      <c r="R36" s="6"/>
      <c r="S36" s="2"/>
      <c r="T36" s="2"/>
      <c r="U36" s="2"/>
      <c r="V36" s="6"/>
      <c r="W36" s="2"/>
      <c r="X36" s="2"/>
      <c r="Y36" s="2"/>
      <c r="Z36" s="6"/>
      <c r="AA36" s="2"/>
      <c r="AB36" s="2"/>
      <c r="AC36" s="2"/>
      <c r="AD36" s="6"/>
      <c r="AE36" s="2"/>
      <c r="AF36" s="2"/>
      <c r="AG36" s="2"/>
      <c r="AH36" s="6"/>
      <c r="AI36" s="2"/>
      <c r="AJ36" s="2"/>
      <c r="AK36" s="2"/>
      <c r="AL36" s="6"/>
      <c r="AM36" s="2"/>
      <c r="AN36" s="2"/>
      <c r="AO36" s="2"/>
      <c r="AP36" s="6"/>
      <c r="AQ36" s="2"/>
      <c r="AR36" s="2"/>
      <c r="AS36" s="2"/>
      <c r="AT36" s="6"/>
      <c r="AU36" s="2"/>
      <c r="AV36" s="2"/>
      <c r="AW36" s="2"/>
      <c r="AX36" s="6"/>
      <c r="AY36" s="7"/>
      <c r="AZ36" s="7"/>
      <c r="BA36" s="7"/>
      <c r="BB36" s="8"/>
      <c r="BC36" s="7"/>
      <c r="BD36" s="7"/>
      <c r="BE36" s="7"/>
      <c r="BF36" s="8"/>
      <c r="BG36" s="7"/>
      <c r="BH36" s="7"/>
      <c r="BI36" s="7"/>
      <c r="BJ36" s="8"/>
      <c r="BK36" s="7"/>
      <c r="BL36" s="7"/>
      <c r="BM36" s="7"/>
      <c r="BN36" s="8"/>
    </row>
    <row r="37" spans="1:66" x14ac:dyDescent="0.25">
      <c r="A37" s="27"/>
      <c r="B37" s="27"/>
      <c r="C37" s="18"/>
      <c r="D37" s="18"/>
      <c r="E37" s="18"/>
      <c r="F37" s="18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  <c r="BD37" s="90"/>
      <c r="BE37" s="90"/>
      <c r="BF37" s="90"/>
      <c r="BG37" s="90"/>
      <c r="BH37" s="90"/>
      <c r="BI37" s="90"/>
      <c r="BJ37" s="90"/>
      <c r="BK37" s="90"/>
      <c r="BL37" s="90"/>
      <c r="BM37" s="90"/>
      <c r="BN37" s="91"/>
    </row>
    <row r="38" spans="1:66" ht="30" x14ac:dyDescent="0.25">
      <c r="A38" s="51">
        <v>6</v>
      </c>
      <c r="B38" s="52" t="s">
        <v>30</v>
      </c>
      <c r="C38" s="53">
        <f>SUM(C39:C44)</f>
        <v>17199.830000000002</v>
      </c>
      <c r="D38" s="54">
        <f t="shared" ref="D38:F38" si="10">SUM(D39:D44)</f>
        <v>6336.5</v>
      </c>
      <c r="E38" s="54">
        <f t="shared" si="10"/>
        <v>267.5</v>
      </c>
      <c r="F38" s="54">
        <f t="shared" si="10"/>
        <v>10595.83</v>
      </c>
      <c r="G38" s="2"/>
      <c r="H38" s="2"/>
      <c r="I38" s="2"/>
      <c r="J38" s="6"/>
      <c r="K38" s="71"/>
      <c r="L38" s="71"/>
      <c r="M38" s="71"/>
      <c r="N38" s="72"/>
      <c r="O38" s="71"/>
      <c r="P38" s="71"/>
      <c r="Q38" s="71"/>
      <c r="R38" s="72"/>
      <c r="S38" s="71"/>
      <c r="T38" s="71"/>
      <c r="U38" s="71"/>
      <c r="V38" s="72"/>
      <c r="W38" s="71"/>
      <c r="X38" s="71"/>
      <c r="Y38" s="71"/>
      <c r="Z38" s="72"/>
      <c r="AA38" s="71"/>
      <c r="AB38" s="71"/>
      <c r="AC38" s="71"/>
      <c r="AD38" s="72"/>
      <c r="AE38" s="71"/>
      <c r="AF38" s="71"/>
      <c r="AG38" s="71"/>
      <c r="AH38" s="72"/>
      <c r="AI38" s="71"/>
      <c r="AJ38" s="71"/>
      <c r="AK38" s="71"/>
      <c r="AL38" s="72"/>
      <c r="AM38" s="71"/>
      <c r="AN38" s="71"/>
      <c r="AO38" s="71"/>
      <c r="AP38" s="72"/>
      <c r="AQ38" s="71"/>
      <c r="AR38" s="71"/>
      <c r="AS38" s="71"/>
      <c r="AT38" s="72"/>
      <c r="AU38" s="71"/>
      <c r="AV38" s="71"/>
      <c r="AW38" s="71"/>
      <c r="AX38" s="72"/>
      <c r="AY38" s="71"/>
      <c r="AZ38" s="71"/>
      <c r="BA38" s="71"/>
      <c r="BB38" s="72"/>
      <c r="BC38" s="71"/>
      <c r="BD38" s="71"/>
      <c r="BE38" s="71"/>
      <c r="BF38" s="72"/>
      <c r="BG38" s="71"/>
      <c r="BH38" s="71"/>
      <c r="BI38" s="71"/>
      <c r="BJ38" s="72"/>
      <c r="BK38" s="71"/>
      <c r="BL38" s="2"/>
      <c r="BM38" s="2"/>
      <c r="BN38" s="6"/>
    </row>
    <row r="39" spans="1:66" outlineLevel="1" x14ac:dyDescent="0.25">
      <c r="A39" s="22">
        <v>6.1</v>
      </c>
      <c r="B39" s="29" t="s">
        <v>31</v>
      </c>
      <c r="C39" s="26">
        <v>750</v>
      </c>
      <c r="D39" s="26">
        <v>680</v>
      </c>
      <c r="E39" s="26">
        <f t="shared" ref="E39:E44" si="11">C39-D39-F39</f>
        <v>70</v>
      </c>
      <c r="F39" s="26"/>
      <c r="G39" s="2"/>
      <c r="H39" s="2"/>
      <c r="I39" s="2"/>
      <c r="J39" s="6"/>
      <c r="K39" s="2"/>
      <c r="L39" s="2"/>
      <c r="M39" s="2"/>
      <c r="N39" s="6"/>
      <c r="O39" s="2"/>
      <c r="P39" s="2"/>
      <c r="Q39" s="2"/>
      <c r="R39" s="6"/>
      <c r="S39" s="2"/>
      <c r="T39" s="2"/>
      <c r="U39" s="2"/>
      <c r="V39" s="6"/>
      <c r="W39" s="2"/>
      <c r="X39" s="55"/>
      <c r="Y39" s="55"/>
      <c r="Z39" s="86"/>
      <c r="AA39" s="55"/>
      <c r="AB39" s="55"/>
      <c r="AC39" s="55"/>
      <c r="AD39" s="56"/>
      <c r="AE39" s="55"/>
      <c r="AF39" s="55"/>
      <c r="AG39" s="55"/>
      <c r="AH39" s="86"/>
      <c r="AI39" s="55"/>
      <c r="AJ39" s="55"/>
      <c r="AK39" s="55"/>
      <c r="AL39" s="56"/>
      <c r="AM39" s="55"/>
      <c r="AN39" s="55"/>
      <c r="AO39" s="55"/>
      <c r="AP39" s="86"/>
      <c r="AQ39" s="2"/>
      <c r="AR39" s="2"/>
      <c r="AS39" s="2"/>
      <c r="AT39" s="6"/>
      <c r="AU39" s="2"/>
      <c r="AV39" s="2"/>
      <c r="AW39" s="2"/>
      <c r="AX39" s="6"/>
      <c r="AY39" s="2"/>
      <c r="AZ39" s="2"/>
      <c r="BA39" s="2"/>
      <c r="BB39" s="6"/>
      <c r="BC39" s="2"/>
      <c r="BD39" s="2"/>
      <c r="BE39" s="2"/>
      <c r="BF39" s="6"/>
      <c r="BG39" s="2"/>
      <c r="BH39" s="2"/>
      <c r="BI39" s="2"/>
      <c r="BJ39" s="6"/>
      <c r="BK39" s="2"/>
      <c r="BL39" s="2"/>
      <c r="BM39" s="2"/>
      <c r="BN39" s="6"/>
    </row>
    <row r="40" spans="1:66" outlineLevel="1" x14ac:dyDescent="0.25">
      <c r="A40" s="28">
        <v>6.2</v>
      </c>
      <c r="B40" s="29" t="s">
        <v>32</v>
      </c>
      <c r="C40" s="26">
        <v>9720.83</v>
      </c>
      <c r="D40" s="26">
        <v>0</v>
      </c>
      <c r="E40" s="26">
        <f t="shared" si="11"/>
        <v>0</v>
      </c>
      <c r="F40" s="26">
        <v>9720.83</v>
      </c>
      <c r="G40" s="2"/>
      <c r="H40" s="2"/>
      <c r="I40" s="2"/>
      <c r="J40" s="6"/>
      <c r="K40" s="55"/>
      <c r="L40" s="55"/>
      <c r="M40" s="55"/>
      <c r="N40" s="56"/>
      <c r="O40" s="55"/>
      <c r="P40" s="55"/>
      <c r="Q40" s="55"/>
      <c r="R40" s="56"/>
      <c r="S40" s="55"/>
      <c r="T40" s="55"/>
      <c r="U40" s="55"/>
      <c r="V40" s="56"/>
      <c r="W40" s="55"/>
      <c r="X40" s="55"/>
      <c r="Y40" s="55"/>
      <c r="Z40" s="56"/>
      <c r="AA40" s="55"/>
      <c r="AB40" s="55"/>
      <c r="AC40" s="55"/>
      <c r="AD40" s="86"/>
      <c r="AE40" s="55"/>
      <c r="AF40" s="55"/>
      <c r="AG40" s="55"/>
      <c r="AH40" s="56"/>
      <c r="AI40" s="55"/>
      <c r="AJ40" s="55"/>
      <c r="AK40" s="55"/>
      <c r="AL40" s="56"/>
      <c r="AM40" s="55"/>
      <c r="AN40" s="55"/>
      <c r="AO40" s="55"/>
      <c r="AP40" s="56"/>
      <c r="AQ40" s="55"/>
      <c r="AR40" s="55"/>
      <c r="AS40" s="55"/>
      <c r="AT40" s="56"/>
      <c r="AU40" s="55"/>
      <c r="AV40" s="55"/>
      <c r="AW40" s="55"/>
      <c r="AX40" s="56"/>
      <c r="AY40" s="55"/>
      <c r="AZ40" s="55"/>
      <c r="BA40" s="55"/>
      <c r="BB40" s="56"/>
      <c r="BC40" s="2"/>
      <c r="BD40" s="2"/>
      <c r="BE40" s="2"/>
      <c r="BF40" s="6"/>
      <c r="BG40" s="2"/>
      <c r="BH40" s="2"/>
      <c r="BI40" s="2"/>
      <c r="BJ40" s="6"/>
      <c r="BK40" s="2"/>
      <c r="BL40" s="2"/>
      <c r="BM40" s="2"/>
      <c r="BN40" s="6"/>
    </row>
    <row r="41" spans="1:66" outlineLevel="1" x14ac:dyDescent="0.25">
      <c r="A41" s="22">
        <v>6.3</v>
      </c>
      <c r="B41" s="29" t="s">
        <v>33</v>
      </c>
      <c r="C41" s="26">
        <v>3000</v>
      </c>
      <c r="D41" s="26">
        <v>2912.5</v>
      </c>
      <c r="E41" s="26">
        <f t="shared" si="11"/>
        <v>87.5</v>
      </c>
      <c r="F41" s="26"/>
      <c r="G41" s="2"/>
      <c r="H41" s="2"/>
      <c r="I41" s="2"/>
      <c r="J41" s="6"/>
      <c r="K41" s="2"/>
      <c r="L41" s="2"/>
      <c r="M41" s="2"/>
      <c r="N41" s="6"/>
      <c r="O41" s="2"/>
      <c r="P41" s="2"/>
      <c r="Q41" s="2"/>
      <c r="R41" s="6"/>
      <c r="S41" s="2"/>
      <c r="T41" s="2"/>
      <c r="U41" s="2"/>
      <c r="V41" s="6"/>
      <c r="W41" s="2"/>
      <c r="X41" s="2"/>
      <c r="Y41" s="2"/>
      <c r="Z41" s="6"/>
      <c r="AA41" s="2"/>
      <c r="AB41" s="2"/>
      <c r="AC41" s="2"/>
      <c r="AD41" s="6"/>
      <c r="AE41" s="55"/>
      <c r="AF41" s="55"/>
      <c r="AG41" s="55"/>
      <c r="AH41" s="56"/>
      <c r="AI41" s="55"/>
      <c r="AJ41" s="55"/>
      <c r="AK41" s="55"/>
      <c r="AL41" s="56"/>
      <c r="AM41" s="55"/>
      <c r="AN41" s="55"/>
      <c r="AO41" s="55"/>
      <c r="AP41" s="56"/>
      <c r="AQ41" s="55"/>
      <c r="AR41" s="55"/>
      <c r="AS41" s="55"/>
      <c r="AT41" s="56"/>
      <c r="AU41" s="55"/>
      <c r="AV41" s="55"/>
      <c r="AW41" s="55"/>
      <c r="AX41" s="56"/>
      <c r="AY41" s="55"/>
      <c r="AZ41" s="55"/>
      <c r="BA41" s="55"/>
      <c r="BB41" s="56"/>
      <c r="BC41" s="55"/>
      <c r="BD41" s="55"/>
      <c r="BE41" s="55"/>
      <c r="BF41" s="86"/>
      <c r="BG41" s="2"/>
      <c r="BH41" s="2"/>
      <c r="BI41" s="2"/>
      <c r="BJ41" s="6"/>
      <c r="BK41" s="2"/>
      <c r="BL41" s="2"/>
      <c r="BM41" s="2"/>
      <c r="BN41" s="6"/>
    </row>
    <row r="42" spans="1:66" outlineLevel="1" x14ac:dyDescent="0.25">
      <c r="A42" s="28">
        <v>6.4</v>
      </c>
      <c r="B42" s="29" t="s">
        <v>26</v>
      </c>
      <c r="C42" s="26">
        <v>2917</v>
      </c>
      <c r="D42" s="26">
        <v>2042</v>
      </c>
      <c r="E42" s="26">
        <f t="shared" si="11"/>
        <v>0</v>
      </c>
      <c r="F42" s="26">
        <v>875</v>
      </c>
      <c r="G42" s="2"/>
      <c r="H42" s="2"/>
      <c r="I42" s="2"/>
      <c r="J42" s="6"/>
      <c r="K42" s="2"/>
      <c r="L42" s="2"/>
      <c r="M42" s="2"/>
      <c r="N42" s="6"/>
      <c r="O42" s="2"/>
      <c r="P42" s="2"/>
      <c r="Q42" s="2"/>
      <c r="R42" s="6"/>
      <c r="S42" s="2"/>
      <c r="T42" s="2"/>
      <c r="U42" s="2"/>
      <c r="V42" s="6"/>
      <c r="W42" s="2"/>
      <c r="X42" s="2"/>
      <c r="Y42" s="2"/>
      <c r="Z42" s="6"/>
      <c r="AA42" s="2"/>
      <c r="AB42" s="2"/>
      <c r="AC42" s="2"/>
      <c r="AD42" s="6"/>
      <c r="AE42" s="55"/>
      <c r="AF42" s="55"/>
      <c r="AG42" s="55"/>
      <c r="AH42" s="56"/>
      <c r="AI42" s="55"/>
      <c r="AJ42" s="55"/>
      <c r="AK42" s="55"/>
      <c r="AL42" s="56"/>
      <c r="AM42" s="55"/>
      <c r="AN42" s="55"/>
      <c r="AO42" s="55"/>
      <c r="AP42" s="56"/>
      <c r="AQ42" s="55"/>
      <c r="AR42" s="55"/>
      <c r="AS42" s="55"/>
      <c r="AT42" s="56"/>
      <c r="AU42" s="55"/>
      <c r="AV42" s="55"/>
      <c r="AW42" s="55"/>
      <c r="AX42" s="56"/>
      <c r="AY42" s="55"/>
      <c r="AZ42" s="55"/>
      <c r="BA42" s="55"/>
      <c r="BB42" s="56"/>
      <c r="BC42" s="55"/>
      <c r="BD42" s="55"/>
      <c r="BE42" s="2"/>
      <c r="BF42" s="6"/>
      <c r="BG42" s="2"/>
      <c r="BH42" s="2"/>
      <c r="BI42" s="2"/>
      <c r="BJ42" s="6"/>
      <c r="BK42" s="2"/>
      <c r="BL42" s="2"/>
      <c r="BM42" s="2"/>
      <c r="BN42" s="6"/>
    </row>
    <row r="43" spans="1:66" outlineLevel="1" x14ac:dyDescent="0.25">
      <c r="A43" s="22">
        <v>6.5</v>
      </c>
      <c r="B43" s="29" t="s">
        <v>29</v>
      </c>
      <c r="C43" s="26">
        <v>492</v>
      </c>
      <c r="D43" s="26">
        <v>382</v>
      </c>
      <c r="E43" s="26">
        <f t="shared" si="11"/>
        <v>110</v>
      </c>
      <c r="F43" s="26"/>
      <c r="G43" s="2"/>
      <c r="H43" s="2"/>
      <c r="I43" s="2"/>
      <c r="J43" s="6"/>
      <c r="K43" s="2"/>
      <c r="L43" s="2"/>
      <c r="M43" s="2"/>
      <c r="N43" s="6"/>
      <c r="O43" s="2"/>
      <c r="P43" s="2"/>
      <c r="Q43" s="2"/>
      <c r="R43" s="6"/>
      <c r="S43" s="2"/>
      <c r="T43" s="2"/>
      <c r="U43" s="2"/>
      <c r="V43" s="6"/>
      <c r="W43" s="2"/>
      <c r="X43" s="2"/>
      <c r="Y43" s="2"/>
      <c r="Z43" s="6"/>
      <c r="AA43" s="2"/>
      <c r="AB43" s="2"/>
      <c r="AC43" s="2"/>
      <c r="AD43" s="6"/>
      <c r="AE43" s="2"/>
      <c r="AF43" s="2"/>
      <c r="AG43" s="2"/>
      <c r="AH43" s="56"/>
      <c r="AI43" s="2"/>
      <c r="AJ43" s="2"/>
      <c r="AK43" s="2"/>
      <c r="AL43" s="56"/>
      <c r="AM43" s="2"/>
      <c r="AN43" s="2"/>
      <c r="AO43" s="2"/>
      <c r="AP43" s="56"/>
      <c r="AQ43" s="2"/>
      <c r="AR43" s="2"/>
      <c r="AS43" s="2"/>
      <c r="AT43" s="56"/>
      <c r="AU43" s="2"/>
      <c r="AV43" s="2"/>
      <c r="AW43" s="2"/>
      <c r="AX43" s="56"/>
      <c r="AY43" s="2"/>
      <c r="AZ43" s="2"/>
      <c r="BA43" s="2"/>
      <c r="BB43" s="56"/>
      <c r="BC43" s="2"/>
      <c r="BD43" s="2"/>
      <c r="BE43" s="2"/>
      <c r="BF43" s="56"/>
      <c r="BG43" s="2"/>
      <c r="BH43" s="2"/>
      <c r="BI43" s="2"/>
      <c r="BJ43" s="6"/>
      <c r="BK43" s="2"/>
      <c r="BL43" s="2"/>
      <c r="BM43" s="2"/>
      <c r="BN43" s="6"/>
    </row>
    <row r="44" spans="1:66" outlineLevel="1" x14ac:dyDescent="0.25">
      <c r="A44" s="28">
        <v>6.6</v>
      </c>
      <c r="B44" s="29" t="s">
        <v>34</v>
      </c>
      <c r="C44" s="26">
        <v>320</v>
      </c>
      <c r="D44" s="26">
        <v>320</v>
      </c>
      <c r="E44" s="26">
        <f t="shared" si="11"/>
        <v>0</v>
      </c>
      <c r="F44" s="26"/>
      <c r="G44" s="2"/>
      <c r="H44" s="2"/>
      <c r="I44" s="2"/>
      <c r="J44" s="6"/>
      <c r="K44" s="2"/>
      <c r="L44" s="2"/>
      <c r="M44" s="2"/>
      <c r="N44" s="6"/>
      <c r="O44" s="2"/>
      <c r="P44" s="2"/>
      <c r="Q44" s="2"/>
      <c r="R44" s="6"/>
      <c r="S44" s="2"/>
      <c r="T44" s="2"/>
      <c r="U44" s="2"/>
      <c r="V44" s="6"/>
      <c r="W44" s="2"/>
      <c r="X44" s="2"/>
      <c r="Y44" s="2"/>
      <c r="Z44" s="6"/>
      <c r="AA44" s="2"/>
      <c r="AB44" s="2"/>
      <c r="AC44" s="2"/>
      <c r="AD44" s="6"/>
      <c r="AE44" s="2"/>
      <c r="AF44" s="2"/>
      <c r="AG44" s="2"/>
      <c r="AH44" s="6"/>
      <c r="AI44" s="2"/>
      <c r="AJ44" s="2"/>
      <c r="AK44" s="2"/>
      <c r="AL44" s="6"/>
      <c r="AM44" s="2"/>
      <c r="AN44" s="2"/>
      <c r="AO44" s="2"/>
      <c r="AP44" s="6"/>
      <c r="AQ44" s="2"/>
      <c r="AR44" s="2"/>
      <c r="AS44" s="2"/>
      <c r="AT44" s="6"/>
      <c r="AU44" s="2"/>
      <c r="AV44" s="2"/>
      <c r="AW44" s="2"/>
      <c r="AX44" s="6"/>
      <c r="AY44" s="2"/>
      <c r="AZ44" s="55"/>
      <c r="BA44" s="55"/>
      <c r="BB44" s="56"/>
      <c r="BC44" s="55"/>
      <c r="BD44" s="55"/>
      <c r="BE44" s="55"/>
      <c r="BF44" s="56"/>
      <c r="BG44" s="55"/>
      <c r="BH44" s="55"/>
      <c r="BI44" s="55"/>
      <c r="BJ44" s="56"/>
      <c r="BK44" s="55"/>
      <c r="BL44" s="2"/>
      <c r="BM44" s="2"/>
      <c r="BN44" s="6"/>
    </row>
    <row r="45" spans="1:66" x14ac:dyDescent="0.25">
      <c r="A45" s="27"/>
      <c r="B45" s="27"/>
      <c r="C45" s="18"/>
      <c r="D45" s="18"/>
      <c r="E45" s="18"/>
      <c r="F45" s="18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0"/>
      <c r="BF45" s="90"/>
      <c r="BG45" s="90"/>
      <c r="BH45" s="90"/>
      <c r="BI45" s="90"/>
      <c r="BJ45" s="90"/>
      <c r="BK45" s="90"/>
      <c r="BL45" s="90"/>
      <c r="BM45" s="90"/>
      <c r="BN45" s="91"/>
    </row>
    <row r="46" spans="1:66" ht="45" x14ac:dyDescent="0.25">
      <c r="A46" s="57">
        <v>7</v>
      </c>
      <c r="B46" s="58" t="s">
        <v>35</v>
      </c>
      <c r="C46" s="59">
        <f>SUM(C47:C49)</f>
        <v>21356.2</v>
      </c>
      <c r="D46" s="59">
        <f>SUM(D47:D49)</f>
        <v>13396.67</v>
      </c>
      <c r="E46" s="59">
        <f>SUM(E47:E49)</f>
        <v>1026.53</v>
      </c>
      <c r="F46" s="59">
        <f>SUM(F47:F49)</f>
        <v>6933</v>
      </c>
      <c r="G46" s="2"/>
      <c r="H46" s="2"/>
      <c r="I46" s="2"/>
      <c r="J46" s="6"/>
      <c r="K46" s="2"/>
      <c r="L46" s="2"/>
      <c r="M46" s="2"/>
      <c r="N46" s="6"/>
      <c r="O46" s="2"/>
      <c r="P46" s="2"/>
      <c r="Q46" s="2"/>
      <c r="R46" s="6"/>
      <c r="S46" s="73"/>
      <c r="T46" s="73"/>
      <c r="U46" s="73"/>
      <c r="V46" s="74"/>
      <c r="W46" s="73"/>
      <c r="X46" s="73"/>
      <c r="Y46" s="73"/>
      <c r="Z46" s="74"/>
      <c r="AA46" s="73"/>
      <c r="AB46" s="73"/>
      <c r="AC46" s="73"/>
      <c r="AD46" s="74"/>
      <c r="AE46" s="2"/>
      <c r="AF46" s="2"/>
      <c r="AG46" s="2"/>
      <c r="AH46" s="6"/>
      <c r="AI46" s="73"/>
      <c r="AJ46" s="73"/>
      <c r="AK46" s="73"/>
      <c r="AL46" s="74"/>
      <c r="AM46" s="73"/>
      <c r="AN46" s="73"/>
      <c r="AO46" s="73"/>
      <c r="AP46" s="74"/>
      <c r="AQ46" s="73"/>
      <c r="AR46" s="73"/>
      <c r="AS46" s="73"/>
      <c r="AT46" s="74"/>
      <c r="AU46" s="73"/>
      <c r="AV46" s="73"/>
      <c r="AW46" s="73"/>
      <c r="AX46" s="74"/>
      <c r="AY46" s="73"/>
      <c r="AZ46" s="73"/>
      <c r="BA46" s="73"/>
      <c r="BB46" s="74"/>
      <c r="BC46" s="73"/>
      <c r="BD46" s="73"/>
      <c r="BE46" s="2"/>
      <c r="BF46" s="6"/>
      <c r="BG46" s="2"/>
      <c r="BH46" s="2"/>
      <c r="BI46" s="2"/>
      <c r="BJ46" s="6"/>
      <c r="BK46" s="2"/>
      <c r="BL46" s="2"/>
      <c r="BM46" s="2"/>
      <c r="BN46" s="6"/>
    </row>
    <row r="47" spans="1:66" outlineLevel="1" x14ac:dyDescent="0.25">
      <c r="A47" s="22">
        <v>7.1</v>
      </c>
      <c r="B47" s="29" t="s">
        <v>36</v>
      </c>
      <c r="C47" s="21">
        <v>479.2</v>
      </c>
      <c r="D47" s="21">
        <v>231.67</v>
      </c>
      <c r="E47" s="21">
        <f t="shared" ref="E47:E49" si="12">C47-D47-F47</f>
        <v>247.53</v>
      </c>
      <c r="F47" s="21"/>
      <c r="G47" s="2"/>
      <c r="H47" s="2"/>
      <c r="I47" s="2"/>
      <c r="J47" s="6"/>
      <c r="K47" s="2"/>
      <c r="L47" s="2"/>
      <c r="M47" s="2"/>
      <c r="N47" s="6"/>
      <c r="O47" s="2"/>
      <c r="P47" s="2"/>
      <c r="Q47" s="2"/>
      <c r="R47" s="6"/>
      <c r="S47" s="3"/>
      <c r="T47" s="3"/>
      <c r="U47" s="3"/>
      <c r="V47" s="4"/>
      <c r="W47" s="3"/>
      <c r="X47" s="3"/>
      <c r="Y47" s="3"/>
      <c r="Z47" s="4"/>
      <c r="AA47" s="3"/>
      <c r="AB47" s="3"/>
      <c r="AC47" s="3"/>
      <c r="AD47" s="86"/>
      <c r="AE47" s="2"/>
      <c r="AF47" s="2"/>
      <c r="AG47" s="2"/>
      <c r="AH47" s="6"/>
      <c r="AI47" s="2"/>
      <c r="AJ47" s="2"/>
      <c r="AK47" s="2"/>
      <c r="AL47" s="6"/>
      <c r="AM47" s="2"/>
      <c r="AN47" s="2"/>
      <c r="AO47" s="2"/>
      <c r="AP47" s="6"/>
      <c r="AQ47" s="2"/>
      <c r="AR47" s="2"/>
      <c r="AS47" s="2"/>
      <c r="AT47" s="6"/>
      <c r="AU47" s="2"/>
      <c r="AV47" s="2"/>
      <c r="AW47" s="2"/>
      <c r="AX47" s="6"/>
      <c r="AY47" s="2"/>
      <c r="AZ47" s="2"/>
      <c r="BA47" s="2"/>
      <c r="BB47" s="6"/>
      <c r="BC47" s="2"/>
      <c r="BD47" s="2"/>
      <c r="BE47" s="2"/>
      <c r="BF47" s="6"/>
      <c r="BG47" s="2"/>
      <c r="BH47" s="2"/>
      <c r="BI47" s="2"/>
      <c r="BJ47" s="6"/>
      <c r="BK47" s="2"/>
      <c r="BL47" s="2"/>
      <c r="BM47" s="2"/>
      <c r="BN47" s="6"/>
    </row>
    <row r="48" spans="1:66" outlineLevel="1" x14ac:dyDescent="0.25">
      <c r="A48" s="22">
        <v>7.2</v>
      </c>
      <c r="B48" s="29" t="s">
        <v>37</v>
      </c>
      <c r="C48" s="21">
        <v>20227</v>
      </c>
      <c r="D48" s="21">
        <v>12515</v>
      </c>
      <c r="E48" s="21">
        <f t="shared" si="12"/>
        <v>779</v>
      </c>
      <c r="F48" s="21">
        <v>6933</v>
      </c>
      <c r="G48" s="2"/>
      <c r="H48" s="2"/>
      <c r="I48" s="2"/>
      <c r="J48" s="6"/>
      <c r="K48" s="2"/>
      <c r="L48" s="2"/>
      <c r="M48" s="2"/>
      <c r="N48" s="6"/>
      <c r="O48" s="2"/>
      <c r="P48" s="2"/>
      <c r="Q48" s="2"/>
      <c r="R48" s="6"/>
      <c r="S48" s="2"/>
      <c r="T48" s="2"/>
      <c r="U48" s="2"/>
      <c r="V48" s="6"/>
      <c r="W48" s="2"/>
      <c r="X48" s="2"/>
      <c r="Y48" s="2"/>
      <c r="Z48" s="6"/>
      <c r="AA48" s="2"/>
      <c r="AB48" s="2"/>
      <c r="AC48" s="2"/>
      <c r="AD48" s="6"/>
      <c r="AE48" s="2"/>
      <c r="AF48" s="2"/>
      <c r="AG48" s="2"/>
      <c r="AH48" s="6"/>
      <c r="AI48" s="3"/>
      <c r="AJ48" s="3"/>
      <c r="AK48" s="3"/>
      <c r="AL48" s="4"/>
      <c r="AM48" s="3"/>
      <c r="AN48" s="3"/>
      <c r="AO48" s="3"/>
      <c r="AP48" s="4"/>
      <c r="AQ48" s="3"/>
      <c r="AR48" s="3"/>
      <c r="AS48" s="3"/>
      <c r="AT48" s="4"/>
      <c r="AU48" s="3"/>
      <c r="AV48" s="3"/>
      <c r="AW48" s="3"/>
      <c r="AX48" s="86"/>
      <c r="AY48" s="2"/>
      <c r="AZ48" s="2"/>
      <c r="BA48" s="2"/>
      <c r="BB48" s="6"/>
      <c r="BC48" s="2"/>
      <c r="BD48" s="2"/>
      <c r="BE48" s="2"/>
      <c r="BF48" s="6"/>
      <c r="BG48" s="2"/>
      <c r="BH48" s="2"/>
      <c r="BI48" s="2"/>
      <c r="BJ48" s="6"/>
      <c r="BK48" s="2"/>
      <c r="BL48" s="2"/>
      <c r="BM48" s="2"/>
      <c r="BN48" s="6"/>
    </row>
    <row r="49" spans="1:66" outlineLevel="1" x14ac:dyDescent="0.25">
      <c r="A49" s="22">
        <v>7.3</v>
      </c>
      <c r="B49" s="29" t="s">
        <v>38</v>
      </c>
      <c r="C49" s="21">
        <v>650</v>
      </c>
      <c r="D49" s="21">
        <v>650</v>
      </c>
      <c r="E49" s="21">
        <f t="shared" si="12"/>
        <v>0</v>
      </c>
      <c r="F49" s="21"/>
      <c r="G49" s="2"/>
      <c r="H49" s="2"/>
      <c r="I49" s="2"/>
      <c r="J49" s="6"/>
      <c r="K49" s="2"/>
      <c r="L49" s="2"/>
      <c r="M49" s="2"/>
      <c r="N49" s="6"/>
      <c r="O49" s="2"/>
      <c r="P49" s="2"/>
      <c r="Q49" s="2"/>
      <c r="R49" s="6"/>
      <c r="S49" s="2"/>
      <c r="T49" s="2"/>
      <c r="U49" s="2"/>
      <c r="V49" s="6"/>
      <c r="W49" s="2"/>
      <c r="X49" s="2"/>
      <c r="Y49" s="2"/>
      <c r="Z49" s="6"/>
      <c r="AA49" s="2"/>
      <c r="AB49" s="2"/>
      <c r="AC49" s="2"/>
      <c r="AD49" s="6"/>
      <c r="AE49" s="2"/>
      <c r="AF49" s="2"/>
      <c r="AG49" s="2"/>
      <c r="AH49" s="6"/>
      <c r="AI49" s="2"/>
      <c r="AJ49" s="2"/>
      <c r="AK49" s="2"/>
      <c r="AL49" s="6"/>
      <c r="AM49" s="2"/>
      <c r="AN49" s="2"/>
      <c r="AO49" s="2"/>
      <c r="AP49" s="6"/>
      <c r="AQ49" s="2"/>
      <c r="AR49" s="2"/>
      <c r="AS49" s="2"/>
      <c r="AT49" s="6"/>
      <c r="AU49" s="2"/>
      <c r="AV49" s="3"/>
      <c r="AW49" s="3"/>
      <c r="AX49" s="4"/>
      <c r="AY49" s="3"/>
      <c r="AZ49" s="3"/>
      <c r="BA49" s="3"/>
      <c r="BB49" s="4"/>
      <c r="BC49" s="3"/>
      <c r="BD49" s="3"/>
      <c r="BE49" s="2"/>
      <c r="BF49" s="6"/>
      <c r="BG49" s="2"/>
      <c r="BH49" s="2"/>
      <c r="BI49" s="2"/>
      <c r="BJ49" s="6"/>
      <c r="BK49" s="2"/>
      <c r="BL49" s="2"/>
      <c r="BM49" s="2"/>
      <c r="BN49" s="6"/>
    </row>
    <row r="50" spans="1:66" x14ac:dyDescent="0.25">
      <c r="A50" s="27"/>
      <c r="B50" s="27"/>
      <c r="C50" s="18"/>
      <c r="D50" s="18"/>
      <c r="E50" s="18"/>
      <c r="F50" s="18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90"/>
      <c r="BH50" s="90"/>
      <c r="BI50" s="90"/>
      <c r="BJ50" s="90"/>
      <c r="BK50" s="90"/>
      <c r="BL50" s="90"/>
      <c r="BM50" s="90"/>
      <c r="BN50" s="91"/>
    </row>
    <row r="51" spans="1:66" x14ac:dyDescent="0.25">
      <c r="A51" s="19">
        <v>8</v>
      </c>
      <c r="B51" s="20" t="s">
        <v>39</v>
      </c>
      <c r="C51" s="25">
        <v>92128.05</v>
      </c>
      <c r="D51" s="26">
        <v>55330</v>
      </c>
      <c r="E51" s="26">
        <f>C51-D51-F51</f>
        <v>36798.050000000003</v>
      </c>
      <c r="F51" s="26">
        <v>0</v>
      </c>
      <c r="G51" s="75"/>
      <c r="H51" s="75"/>
      <c r="I51" s="75"/>
      <c r="J51" s="76"/>
      <c r="K51" s="75"/>
      <c r="L51" s="75"/>
      <c r="M51" s="75"/>
      <c r="N51" s="76"/>
      <c r="O51" s="75"/>
      <c r="P51" s="75"/>
      <c r="Q51" s="75"/>
      <c r="R51" s="76"/>
      <c r="S51" s="75"/>
      <c r="T51" s="75"/>
      <c r="U51" s="75"/>
      <c r="V51" s="76"/>
      <c r="W51" s="75"/>
      <c r="X51" s="75"/>
      <c r="Y51" s="75"/>
      <c r="Z51" s="76"/>
      <c r="AA51" s="75"/>
      <c r="AB51" s="75"/>
      <c r="AC51" s="75"/>
      <c r="AD51" s="76"/>
      <c r="AE51" s="75"/>
      <c r="AF51" s="75"/>
      <c r="AG51" s="75"/>
      <c r="AH51" s="76"/>
      <c r="AI51" s="75"/>
      <c r="AJ51" s="75"/>
      <c r="AK51" s="75"/>
      <c r="AL51" s="76"/>
      <c r="AM51" s="75"/>
      <c r="AN51" s="75"/>
      <c r="AO51" s="75"/>
      <c r="AP51" s="76"/>
      <c r="AQ51" s="75"/>
      <c r="AR51" s="75"/>
      <c r="AS51" s="75"/>
      <c r="AT51" s="76"/>
      <c r="AU51" s="75"/>
      <c r="AV51" s="75"/>
      <c r="AW51" s="75"/>
      <c r="AX51" s="76"/>
      <c r="AY51" s="75"/>
      <c r="AZ51" s="75"/>
      <c r="BA51" s="75"/>
      <c r="BB51" s="76"/>
      <c r="BC51" s="75"/>
      <c r="BD51" s="75"/>
      <c r="BE51" s="75"/>
      <c r="BF51" s="76"/>
      <c r="BG51" s="75"/>
      <c r="BH51" s="75"/>
      <c r="BI51" s="75"/>
      <c r="BJ51" s="76"/>
      <c r="BK51" s="75"/>
      <c r="BL51" s="75"/>
      <c r="BM51" s="75"/>
      <c r="BN51" s="76"/>
    </row>
  </sheetData>
  <mergeCells count="21">
    <mergeCell ref="G22:BN22"/>
    <mergeCell ref="G28:BN28"/>
    <mergeCell ref="G37:BN37"/>
    <mergeCell ref="G45:BN45"/>
    <mergeCell ref="G50:BN50"/>
    <mergeCell ref="BC3:BF3"/>
    <mergeCell ref="BG3:BJ3"/>
    <mergeCell ref="BK3:BN3"/>
    <mergeCell ref="G16:BN16"/>
    <mergeCell ref="AE3:AH3"/>
    <mergeCell ref="AI3:AL3"/>
    <mergeCell ref="AM3:AP3"/>
    <mergeCell ref="AQ3:AT3"/>
    <mergeCell ref="AU3:AX3"/>
    <mergeCell ref="AY3:BB3"/>
    <mergeCell ref="G3:J3"/>
    <mergeCell ref="K3:N3"/>
    <mergeCell ref="O3:R3"/>
    <mergeCell ref="S3:V3"/>
    <mergeCell ref="W3:Z3"/>
    <mergeCell ref="AA3:AD3"/>
  </mergeCells>
  <pageMargins left="0.7" right="0.7" top="0.75" bottom="0.75" header="0.3" footer="0.3"/>
  <pageSetup paperSize="9" scale="6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1"/>
  <sheetViews>
    <sheetView zoomScale="85" zoomScaleNormal="85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21" sqref="E21"/>
    </sheetView>
  </sheetViews>
  <sheetFormatPr baseColWidth="10" defaultRowHeight="15" x14ac:dyDescent="0.25"/>
  <cols>
    <col min="1" max="1" width="6.5703125" customWidth="1"/>
    <col min="2" max="2" width="45.5703125" customWidth="1"/>
    <col min="3" max="3" width="35.5703125" customWidth="1"/>
    <col min="4" max="4" width="34.42578125" customWidth="1"/>
    <col min="5" max="5" width="25.140625" style="92" customWidth="1"/>
    <col min="6" max="6" width="12" customWidth="1"/>
    <col min="7" max="7" width="16" customWidth="1"/>
    <col min="8" max="8" width="13.42578125" customWidth="1"/>
    <col min="9" max="9" width="16.42578125" customWidth="1"/>
    <col min="10" max="10" width="17.42578125" customWidth="1"/>
    <col min="11" max="11" width="16.5703125" customWidth="1"/>
    <col min="12" max="12" width="13.42578125" customWidth="1"/>
    <col min="13" max="13" width="17.28515625" customWidth="1"/>
    <col min="14" max="14" width="16.7109375" customWidth="1"/>
    <col min="15" max="15" width="16.28515625" customWidth="1"/>
    <col min="16" max="16" width="15.28515625" customWidth="1"/>
    <col min="17" max="17" width="16.42578125" customWidth="1"/>
    <col min="23" max="23" width="13.85546875" bestFit="1" customWidth="1"/>
    <col min="24" max="24" width="11.42578125" customWidth="1"/>
    <col min="25" max="25" width="16.140625" customWidth="1"/>
    <col min="27" max="27" width="15" customWidth="1"/>
  </cols>
  <sheetData>
    <row r="1" spans="1:18" ht="18.75" x14ac:dyDescent="0.3">
      <c r="A1" s="1" t="s">
        <v>42</v>
      </c>
      <c r="D1" t="s">
        <v>43</v>
      </c>
      <c r="E1" s="92">
        <v>1.1499999999999999</v>
      </c>
      <c r="G1" t="s">
        <v>44</v>
      </c>
      <c r="I1" t="s">
        <v>45</v>
      </c>
    </row>
    <row r="2" spans="1:18" ht="18.75" x14ac:dyDescent="0.3">
      <c r="A2" s="1" t="s">
        <v>46</v>
      </c>
      <c r="D2" t="s">
        <v>47</v>
      </c>
      <c r="E2" s="92">
        <v>3</v>
      </c>
      <c r="G2" t="s">
        <v>48</v>
      </c>
      <c r="H2">
        <v>15</v>
      </c>
      <c r="I2" t="s">
        <v>49</v>
      </c>
      <c r="J2">
        <v>10</v>
      </c>
    </row>
    <row r="3" spans="1:18" x14ac:dyDescent="0.25">
      <c r="G3" t="s">
        <v>50</v>
      </c>
      <c r="H3">
        <v>5</v>
      </c>
      <c r="I3" t="s">
        <v>51</v>
      </c>
      <c r="J3">
        <v>3</v>
      </c>
    </row>
    <row r="4" spans="1:18" x14ac:dyDescent="0.25">
      <c r="A4" t="s">
        <v>52</v>
      </c>
      <c r="C4" t="s">
        <v>53</v>
      </c>
      <c r="D4">
        <v>1</v>
      </c>
      <c r="G4" t="s">
        <v>54</v>
      </c>
      <c r="H4">
        <v>15</v>
      </c>
      <c r="I4" t="s">
        <v>48</v>
      </c>
      <c r="J4">
        <v>25</v>
      </c>
      <c r="N4" s="93"/>
      <c r="O4" s="93"/>
      <c r="P4" s="93"/>
      <c r="Q4" s="93"/>
    </row>
    <row r="5" spans="1:18" x14ac:dyDescent="0.25">
      <c r="C5" t="s">
        <v>55</v>
      </c>
      <c r="D5">
        <v>0.5</v>
      </c>
      <c r="G5" t="s">
        <v>56</v>
      </c>
      <c r="H5">
        <v>15</v>
      </c>
      <c r="I5" t="s">
        <v>57</v>
      </c>
      <c r="J5">
        <v>3</v>
      </c>
      <c r="P5" s="93"/>
    </row>
    <row r="6" spans="1:18" x14ac:dyDescent="0.25">
      <c r="B6" s="94">
        <v>42139</v>
      </c>
      <c r="C6" t="s">
        <v>58</v>
      </c>
      <c r="D6">
        <v>6</v>
      </c>
      <c r="G6" t="s">
        <v>59</v>
      </c>
      <c r="H6">
        <v>100</v>
      </c>
      <c r="I6" t="s">
        <v>60</v>
      </c>
      <c r="J6">
        <v>45</v>
      </c>
      <c r="L6" t="s">
        <v>61</v>
      </c>
    </row>
    <row r="7" spans="1:18" x14ac:dyDescent="0.25">
      <c r="C7" t="s">
        <v>62</v>
      </c>
      <c r="D7">
        <v>12</v>
      </c>
      <c r="G7" t="s">
        <v>63</v>
      </c>
      <c r="H7">
        <v>5</v>
      </c>
      <c r="I7" t="s">
        <v>64</v>
      </c>
      <c r="J7">
        <v>5</v>
      </c>
      <c r="L7" t="s">
        <v>65</v>
      </c>
    </row>
    <row r="8" spans="1:18" x14ac:dyDescent="0.25">
      <c r="C8" t="s">
        <v>66</v>
      </c>
      <c r="D8">
        <v>90</v>
      </c>
      <c r="E8" s="92" t="s">
        <v>67</v>
      </c>
      <c r="G8" t="s">
        <v>68</v>
      </c>
      <c r="H8">
        <v>50</v>
      </c>
      <c r="I8" t="s">
        <v>69</v>
      </c>
      <c r="J8">
        <v>2</v>
      </c>
      <c r="L8" t="s">
        <v>70</v>
      </c>
      <c r="Q8" s="93"/>
    </row>
    <row r="9" spans="1:18" x14ac:dyDescent="0.25">
      <c r="C9" t="s">
        <v>71</v>
      </c>
      <c r="D9">
        <v>40</v>
      </c>
      <c r="E9" s="92" t="s">
        <v>67</v>
      </c>
      <c r="M9" s="77" t="s">
        <v>72</v>
      </c>
      <c r="N9" s="77" t="s">
        <v>73</v>
      </c>
      <c r="O9" s="77" t="s">
        <v>74</v>
      </c>
      <c r="P9" s="77" t="s">
        <v>75</v>
      </c>
      <c r="Q9" s="77" t="s">
        <v>76</v>
      </c>
    </row>
    <row r="10" spans="1:18" ht="19.5" customHeight="1" x14ac:dyDescent="0.25">
      <c r="A10" s="95" t="s">
        <v>77</v>
      </c>
      <c r="B10" s="95" t="s">
        <v>0</v>
      </c>
      <c r="C10" s="95" t="s">
        <v>78</v>
      </c>
      <c r="D10" s="96" t="s">
        <v>79</v>
      </c>
      <c r="E10" s="97" t="s">
        <v>80</v>
      </c>
      <c r="F10" s="96" t="s">
        <v>81</v>
      </c>
      <c r="G10" s="98" t="s">
        <v>82</v>
      </c>
      <c r="H10" s="99" t="s">
        <v>83</v>
      </c>
      <c r="I10" s="99" t="s">
        <v>84</v>
      </c>
      <c r="J10" s="100" t="s">
        <v>85</v>
      </c>
      <c r="K10" s="101" t="s">
        <v>86</v>
      </c>
      <c r="M10" s="93">
        <f>SUM(M15:M191)</f>
        <v>101121.10833333334</v>
      </c>
      <c r="N10" s="93">
        <f>SUM(N15:N191)</f>
        <v>26521.25</v>
      </c>
      <c r="O10" s="93">
        <f>SUM(O15:O191)</f>
        <v>23051.174999999999</v>
      </c>
      <c r="P10" s="93">
        <f>SUM(P15:P191)</f>
        <v>13747.5</v>
      </c>
      <c r="Q10" s="93">
        <f>SUM(Q15:Q191)</f>
        <v>48079.76666666667</v>
      </c>
    </row>
    <row r="11" spans="1:18" ht="19.5" customHeight="1" x14ac:dyDescent="0.25">
      <c r="A11" s="102"/>
      <c r="B11" s="103" t="s">
        <v>87</v>
      </c>
      <c r="C11" s="103"/>
      <c r="D11" s="104"/>
      <c r="E11" s="105"/>
      <c r="F11" s="104"/>
      <c r="G11" s="106"/>
      <c r="H11" s="107"/>
      <c r="I11" s="99"/>
      <c r="J11" s="100">
        <f>J13+J34+J58+J88+J131+J148+J167+J70+J111</f>
        <v>637562.4</v>
      </c>
      <c r="K11" s="100">
        <f>K13+K34+K58+K88+K131+K148+K167+K70+K111</f>
        <v>212520.8</v>
      </c>
      <c r="M11" s="108">
        <f>M10/$K$11</f>
        <v>0.47581746508263351</v>
      </c>
      <c r="N11" s="109">
        <f t="shared" ref="N11:Q11" si="0">N10/$K$11</f>
        <v>0.12479366725515809</v>
      </c>
      <c r="O11" s="109">
        <f t="shared" si="0"/>
        <v>0.1084655007886287</v>
      </c>
      <c r="P11" s="109">
        <f t="shared" si="0"/>
        <v>6.4687785854372848E-2</v>
      </c>
      <c r="Q11" s="109">
        <f t="shared" si="0"/>
        <v>0.22623558101920693</v>
      </c>
    </row>
    <row r="12" spans="1:18" ht="19.5" customHeight="1" x14ac:dyDescent="0.25">
      <c r="A12" s="102"/>
      <c r="B12" s="103"/>
      <c r="C12" s="103"/>
      <c r="D12" s="104"/>
      <c r="E12" s="105"/>
      <c r="F12" s="104"/>
      <c r="G12" s="106"/>
      <c r="H12" s="107"/>
      <c r="I12" s="99"/>
      <c r="J12" s="100"/>
      <c r="K12" s="101"/>
      <c r="M12">
        <v>101160</v>
      </c>
      <c r="N12">
        <v>30350</v>
      </c>
      <c r="O12">
        <v>22600</v>
      </c>
      <c r="P12" s="110">
        <v>14140</v>
      </c>
      <c r="Q12" s="110">
        <v>35820</v>
      </c>
      <c r="R12">
        <f>SUM(M12:Q12)</f>
        <v>204070</v>
      </c>
    </row>
    <row r="13" spans="1:18" x14ac:dyDescent="0.25">
      <c r="A13" s="111"/>
      <c r="B13" s="112" t="s">
        <v>88</v>
      </c>
      <c r="C13" s="113"/>
      <c r="D13" s="113"/>
      <c r="E13" s="114"/>
      <c r="F13" s="113"/>
      <c r="G13" s="113"/>
      <c r="H13" s="113"/>
      <c r="I13" s="115"/>
      <c r="J13" s="116">
        <f>SUM(J15:J32)</f>
        <v>47843.75</v>
      </c>
      <c r="K13" s="117">
        <f>SUM(K15:K32)</f>
        <v>15947.916666666666</v>
      </c>
      <c r="M13" s="109">
        <f>M12/$R$12</f>
        <v>0.49571225559856913</v>
      </c>
      <c r="N13" s="109">
        <f t="shared" ref="N13:Q13" si="1">N12/$R$12</f>
        <v>0.14872347723820259</v>
      </c>
      <c r="O13" s="109">
        <f t="shared" si="1"/>
        <v>0.11074631253981478</v>
      </c>
      <c r="P13" s="109">
        <f t="shared" si="1"/>
        <v>6.9289949527123043E-2</v>
      </c>
      <c r="Q13" s="109">
        <f t="shared" si="1"/>
        <v>0.17552800509629049</v>
      </c>
    </row>
    <row r="14" spans="1:18" ht="27" customHeight="1" x14ac:dyDescent="0.25">
      <c r="A14" s="118"/>
      <c r="B14" s="119"/>
      <c r="C14" s="120"/>
      <c r="D14" s="121"/>
      <c r="E14" s="120"/>
      <c r="F14" s="121"/>
      <c r="G14" s="118"/>
      <c r="H14" s="118"/>
      <c r="I14" s="118"/>
      <c r="J14" s="118"/>
      <c r="K14" s="118"/>
    </row>
    <row r="15" spans="1:18" ht="27" customHeight="1" x14ac:dyDescent="0.25">
      <c r="A15" s="118">
        <v>1</v>
      </c>
      <c r="B15" s="119" t="s">
        <v>2</v>
      </c>
      <c r="C15" s="120" t="s">
        <v>89</v>
      </c>
      <c r="D15" s="121" t="s">
        <v>90</v>
      </c>
      <c r="E15" s="120" t="s">
        <v>91</v>
      </c>
      <c r="F15" s="121" t="s">
        <v>92</v>
      </c>
      <c r="G15" s="118">
        <v>0.5</v>
      </c>
      <c r="H15" s="122">
        <v>3300</v>
      </c>
      <c r="I15" s="123">
        <f t="shared" ref="I15:I32" si="2">H15/$E$2</f>
        <v>1100</v>
      </c>
      <c r="J15" s="122">
        <f>G15*H15</f>
        <v>1650</v>
      </c>
      <c r="K15" s="123">
        <f>G15*I15</f>
        <v>550</v>
      </c>
      <c r="L15" s="124">
        <f>SUM(M15:Q15)</f>
        <v>550</v>
      </c>
      <c r="M15" s="123">
        <f>K15-SUM(N15:Q15)</f>
        <v>220</v>
      </c>
      <c r="N15" s="123">
        <f>0.6*K15</f>
        <v>330</v>
      </c>
      <c r="O15" s="118"/>
      <c r="P15" s="118"/>
      <c r="Q15" s="118"/>
    </row>
    <row r="16" spans="1:18" ht="27" customHeight="1" x14ac:dyDescent="0.25">
      <c r="A16" s="118">
        <v>1</v>
      </c>
      <c r="B16" s="119" t="s">
        <v>3</v>
      </c>
      <c r="C16" s="120" t="s">
        <v>93</v>
      </c>
      <c r="D16" s="121" t="s">
        <v>94</v>
      </c>
      <c r="E16" s="120" t="s">
        <v>95</v>
      </c>
      <c r="F16" s="121" t="s">
        <v>96</v>
      </c>
      <c r="G16" s="118">
        <v>100</v>
      </c>
      <c r="H16" s="122">
        <v>0.2</v>
      </c>
      <c r="I16" s="123">
        <f t="shared" si="2"/>
        <v>6.6666666666666666E-2</v>
      </c>
      <c r="J16" s="122">
        <f t="shared" ref="J16:J32" si="3">G16*H16</f>
        <v>20</v>
      </c>
      <c r="K16" s="123">
        <f t="shared" ref="K16:K32" si="4">G16*I16</f>
        <v>6.666666666666667</v>
      </c>
      <c r="L16" s="124">
        <f t="shared" ref="L16:L97" si="5">SUM(M16:Q16)</f>
        <v>6.666666666666667</v>
      </c>
      <c r="M16" s="123">
        <f t="shared" ref="M16:M32" si="6">K16-SUM(N16:Q16)</f>
        <v>6.666666666666667</v>
      </c>
      <c r="N16" s="123">
        <v>0</v>
      </c>
      <c r="O16" s="118"/>
      <c r="P16" s="118"/>
      <c r="Q16" s="118"/>
    </row>
    <row r="17" spans="1:17" ht="27" customHeight="1" x14ac:dyDescent="0.25">
      <c r="A17" s="118">
        <v>1</v>
      </c>
      <c r="B17" s="119" t="s">
        <v>3</v>
      </c>
      <c r="C17" s="120" t="s">
        <v>97</v>
      </c>
      <c r="D17" s="121" t="s">
        <v>98</v>
      </c>
      <c r="E17" s="120" t="s">
        <v>99</v>
      </c>
      <c r="F17" s="121" t="s">
        <v>67</v>
      </c>
      <c r="G17" s="118">
        <f>H5*D8</f>
        <v>1350</v>
      </c>
      <c r="H17" s="122">
        <v>1</v>
      </c>
      <c r="I17" s="123">
        <f t="shared" si="2"/>
        <v>0.33333333333333331</v>
      </c>
      <c r="J17" s="122">
        <f t="shared" si="3"/>
        <v>1350</v>
      </c>
      <c r="K17" s="123">
        <f t="shared" si="4"/>
        <v>450</v>
      </c>
      <c r="L17" s="124">
        <f t="shared" si="5"/>
        <v>450</v>
      </c>
      <c r="M17" s="123">
        <f t="shared" si="6"/>
        <v>180</v>
      </c>
      <c r="N17" s="123">
        <f>0.3*K17</f>
        <v>135</v>
      </c>
      <c r="O17" s="123">
        <f>0.3*K17</f>
        <v>135</v>
      </c>
      <c r="P17" s="118"/>
      <c r="Q17" s="118"/>
    </row>
    <row r="18" spans="1:17" ht="27" customHeight="1" x14ac:dyDescent="0.25">
      <c r="A18" s="118">
        <v>1</v>
      </c>
      <c r="B18" s="119" t="s">
        <v>3</v>
      </c>
      <c r="C18" s="120" t="s">
        <v>97</v>
      </c>
      <c r="D18" s="121" t="s">
        <v>98</v>
      </c>
      <c r="E18" s="120" t="s">
        <v>100</v>
      </c>
      <c r="F18" s="121" t="s">
        <v>67</v>
      </c>
      <c r="G18" s="118">
        <f>H5*D8</f>
        <v>1350</v>
      </c>
      <c r="H18" s="122">
        <v>0.5</v>
      </c>
      <c r="I18" s="123">
        <f t="shared" si="2"/>
        <v>0.16666666666666666</v>
      </c>
      <c r="J18" s="122">
        <f t="shared" si="3"/>
        <v>675</v>
      </c>
      <c r="K18" s="123">
        <f t="shared" si="4"/>
        <v>225</v>
      </c>
      <c r="L18" s="124">
        <f t="shared" si="5"/>
        <v>225</v>
      </c>
      <c r="M18" s="123">
        <f t="shared" si="6"/>
        <v>90</v>
      </c>
      <c r="N18" s="123">
        <f>0.3*K18</f>
        <v>67.5</v>
      </c>
      <c r="O18" s="123">
        <f>0.3*K18</f>
        <v>67.5</v>
      </c>
      <c r="P18" s="118"/>
      <c r="Q18" s="118"/>
    </row>
    <row r="19" spans="1:17" ht="27" customHeight="1" x14ac:dyDescent="0.25">
      <c r="A19" s="118">
        <v>1</v>
      </c>
      <c r="B19" s="119" t="s">
        <v>101</v>
      </c>
      <c r="C19" s="120" t="s">
        <v>102</v>
      </c>
      <c r="D19" s="121" t="s">
        <v>90</v>
      </c>
      <c r="E19" s="120" t="s">
        <v>91</v>
      </c>
      <c r="F19" s="121" t="s">
        <v>92</v>
      </c>
      <c r="G19" s="118">
        <f>0.5*H5/20*0.5</f>
        <v>0.1875</v>
      </c>
      <c r="H19" s="122">
        <v>3300</v>
      </c>
      <c r="I19" s="123">
        <f t="shared" si="2"/>
        <v>1100</v>
      </c>
      <c r="J19" s="122">
        <f t="shared" si="3"/>
        <v>618.75</v>
      </c>
      <c r="K19" s="123">
        <f t="shared" si="4"/>
        <v>206.25</v>
      </c>
      <c r="L19" s="124">
        <f t="shared" si="5"/>
        <v>206.25</v>
      </c>
      <c r="M19" s="123">
        <f t="shared" si="6"/>
        <v>206.25</v>
      </c>
      <c r="N19" s="123"/>
      <c r="O19" s="118"/>
      <c r="P19" s="118"/>
      <c r="Q19" s="118"/>
    </row>
    <row r="20" spans="1:17" ht="27" customHeight="1" x14ac:dyDescent="0.25">
      <c r="A20" s="118">
        <v>1</v>
      </c>
      <c r="B20" s="119" t="s">
        <v>101</v>
      </c>
      <c r="C20" s="120" t="s">
        <v>103</v>
      </c>
      <c r="D20" s="121" t="s">
        <v>104</v>
      </c>
      <c r="E20" s="120" t="s">
        <v>105</v>
      </c>
      <c r="F20" s="121" t="s">
        <v>106</v>
      </c>
      <c r="G20" s="118">
        <f>H2*H3*H5</f>
        <v>1125</v>
      </c>
      <c r="H20" s="122">
        <v>5</v>
      </c>
      <c r="I20" s="123">
        <f t="shared" si="2"/>
        <v>1.6666666666666667</v>
      </c>
      <c r="J20" s="122">
        <f t="shared" si="3"/>
        <v>5625</v>
      </c>
      <c r="K20" s="123">
        <f t="shared" si="4"/>
        <v>1875</v>
      </c>
      <c r="L20" s="124">
        <f t="shared" si="5"/>
        <v>1875</v>
      </c>
      <c r="M20" s="123">
        <f t="shared" si="6"/>
        <v>1312.5</v>
      </c>
      <c r="N20" s="123">
        <f>0.3*K20</f>
        <v>562.5</v>
      </c>
      <c r="O20" s="118"/>
      <c r="P20" s="118"/>
      <c r="Q20" s="118"/>
    </row>
    <row r="21" spans="1:17" ht="27" customHeight="1" x14ac:dyDescent="0.25">
      <c r="A21" s="118">
        <v>1</v>
      </c>
      <c r="B21" s="119" t="s">
        <v>101</v>
      </c>
      <c r="C21" s="120" t="s">
        <v>107</v>
      </c>
      <c r="D21" s="121" t="s">
        <v>98</v>
      </c>
      <c r="E21" s="120" t="s">
        <v>99</v>
      </c>
      <c r="F21" s="121" t="s">
        <v>108</v>
      </c>
      <c r="G21" s="118">
        <f>D8*H3*H5*0.5</f>
        <v>3375</v>
      </c>
      <c r="H21" s="118">
        <v>1</v>
      </c>
      <c r="I21" s="123">
        <f t="shared" si="2"/>
        <v>0.33333333333333331</v>
      </c>
      <c r="J21" s="122">
        <f t="shared" si="3"/>
        <v>3375</v>
      </c>
      <c r="K21" s="123">
        <f t="shared" si="4"/>
        <v>1125</v>
      </c>
      <c r="L21" s="124">
        <f t="shared" si="5"/>
        <v>1125</v>
      </c>
      <c r="M21" s="123">
        <f t="shared" si="6"/>
        <v>731.25</v>
      </c>
      <c r="N21" s="123">
        <v>0</v>
      </c>
      <c r="O21" s="123">
        <f>0.35*K21</f>
        <v>393.75</v>
      </c>
      <c r="P21" s="118"/>
      <c r="Q21" s="118"/>
    </row>
    <row r="22" spans="1:17" ht="27" customHeight="1" x14ac:dyDescent="0.25">
      <c r="A22" s="118">
        <v>1</v>
      </c>
      <c r="B22" s="119" t="s">
        <v>101</v>
      </c>
      <c r="C22" s="120" t="s">
        <v>107</v>
      </c>
      <c r="D22" s="121" t="s">
        <v>98</v>
      </c>
      <c r="E22" s="120" t="s">
        <v>100</v>
      </c>
      <c r="F22" s="121" t="s">
        <v>108</v>
      </c>
      <c r="G22" s="118">
        <f>D8*H3*H5*0.5</f>
        <v>3375</v>
      </c>
      <c r="H22" s="118">
        <v>0.5</v>
      </c>
      <c r="I22" s="123">
        <f t="shared" si="2"/>
        <v>0.16666666666666666</v>
      </c>
      <c r="J22" s="122">
        <f t="shared" si="3"/>
        <v>1687.5</v>
      </c>
      <c r="K22" s="123">
        <f t="shared" si="4"/>
        <v>562.5</v>
      </c>
      <c r="L22" s="124">
        <f t="shared" si="5"/>
        <v>562.5</v>
      </c>
      <c r="M22" s="123">
        <f t="shared" si="6"/>
        <v>365.625</v>
      </c>
      <c r="N22" s="123">
        <v>0</v>
      </c>
      <c r="O22" s="123">
        <f>0.35*K22</f>
        <v>196.875</v>
      </c>
      <c r="P22" s="118"/>
      <c r="Q22" s="118"/>
    </row>
    <row r="23" spans="1:17" ht="27" customHeight="1" x14ac:dyDescent="0.25">
      <c r="A23" s="118">
        <v>1</v>
      </c>
      <c r="B23" s="119" t="s">
        <v>101</v>
      </c>
      <c r="C23" s="120" t="s">
        <v>109</v>
      </c>
      <c r="D23" s="121" t="s">
        <v>110</v>
      </c>
      <c r="E23" s="120" t="s">
        <v>111</v>
      </c>
      <c r="F23" s="121" t="s">
        <v>112</v>
      </c>
      <c r="G23" s="118">
        <f>H3</f>
        <v>5</v>
      </c>
      <c r="H23" s="118">
        <v>60</v>
      </c>
      <c r="I23" s="123">
        <f t="shared" si="2"/>
        <v>20</v>
      </c>
      <c r="J23" s="122">
        <f t="shared" si="3"/>
        <v>300</v>
      </c>
      <c r="K23" s="123">
        <f t="shared" si="4"/>
        <v>100</v>
      </c>
      <c r="L23" s="124">
        <f t="shared" si="5"/>
        <v>100</v>
      </c>
      <c r="M23" s="123">
        <f t="shared" si="6"/>
        <v>100</v>
      </c>
      <c r="N23" s="123">
        <v>0</v>
      </c>
      <c r="O23" s="118"/>
      <c r="P23" s="118"/>
      <c r="Q23" s="118"/>
    </row>
    <row r="24" spans="1:17" ht="27" customHeight="1" x14ac:dyDescent="0.25">
      <c r="A24" s="118">
        <v>1</v>
      </c>
      <c r="B24" s="119" t="s">
        <v>101</v>
      </c>
      <c r="C24" s="120" t="s">
        <v>113</v>
      </c>
      <c r="D24" s="121" t="s">
        <v>114</v>
      </c>
      <c r="E24" s="120" t="s">
        <v>115</v>
      </c>
      <c r="F24" s="121" t="s">
        <v>112</v>
      </c>
      <c r="G24" s="118">
        <f>H3*H4*0.5</f>
        <v>37.5</v>
      </c>
      <c r="H24" s="118">
        <v>150</v>
      </c>
      <c r="I24" s="123">
        <f t="shared" si="2"/>
        <v>50</v>
      </c>
      <c r="J24" s="122">
        <f t="shared" si="3"/>
        <v>5625</v>
      </c>
      <c r="K24" s="123">
        <f t="shared" si="4"/>
        <v>1875</v>
      </c>
      <c r="L24" s="124">
        <f t="shared" si="5"/>
        <v>1875</v>
      </c>
      <c r="M24" s="123">
        <f t="shared" si="6"/>
        <v>0</v>
      </c>
      <c r="N24" s="123"/>
      <c r="O24" s="123">
        <f>K24</f>
        <v>1875</v>
      </c>
      <c r="P24" s="118"/>
      <c r="Q24" s="118"/>
    </row>
    <row r="25" spans="1:17" ht="27" customHeight="1" x14ac:dyDescent="0.25">
      <c r="A25" s="118">
        <v>1</v>
      </c>
      <c r="B25" s="119" t="s">
        <v>101</v>
      </c>
      <c r="C25" s="120" t="s">
        <v>113</v>
      </c>
      <c r="D25" s="121" t="s">
        <v>114</v>
      </c>
      <c r="E25" s="120" t="s">
        <v>116</v>
      </c>
      <c r="F25" s="121" t="s">
        <v>112</v>
      </c>
      <c r="G25" s="118">
        <f>H3*H4*0.5</f>
        <v>37.5</v>
      </c>
      <c r="H25" s="118">
        <v>100</v>
      </c>
      <c r="I25" s="123">
        <f t="shared" si="2"/>
        <v>33.333333333333336</v>
      </c>
      <c r="J25" s="122">
        <f t="shared" si="3"/>
        <v>3750</v>
      </c>
      <c r="K25" s="123">
        <f t="shared" si="4"/>
        <v>1250</v>
      </c>
      <c r="L25" s="124">
        <f t="shared" si="5"/>
        <v>1250</v>
      </c>
      <c r="M25" s="123">
        <f t="shared" si="6"/>
        <v>0</v>
      </c>
      <c r="N25" s="123"/>
      <c r="O25" s="123">
        <f>K25</f>
        <v>1250</v>
      </c>
      <c r="P25" s="118"/>
      <c r="Q25" s="118"/>
    </row>
    <row r="26" spans="1:17" ht="27" customHeight="1" x14ac:dyDescent="0.25">
      <c r="A26" s="118">
        <v>1</v>
      </c>
      <c r="B26" s="119" t="s">
        <v>101</v>
      </c>
      <c r="C26" s="120" t="s">
        <v>117</v>
      </c>
      <c r="D26" s="121" t="s">
        <v>114</v>
      </c>
      <c r="E26" s="120" t="s">
        <v>118</v>
      </c>
      <c r="F26" s="121" t="s">
        <v>119</v>
      </c>
      <c r="G26" s="118">
        <f>H3*H4*0.5</f>
        <v>37.5</v>
      </c>
      <c r="H26" s="118">
        <v>250</v>
      </c>
      <c r="I26" s="123">
        <f t="shared" si="2"/>
        <v>83.333333333333329</v>
      </c>
      <c r="J26" s="122">
        <f t="shared" si="3"/>
        <v>9375</v>
      </c>
      <c r="K26" s="123">
        <f t="shared" si="4"/>
        <v>3125</v>
      </c>
      <c r="L26" s="124">
        <f t="shared" si="5"/>
        <v>3125</v>
      </c>
      <c r="M26" s="123">
        <f t="shared" si="6"/>
        <v>0</v>
      </c>
      <c r="N26" s="123"/>
      <c r="O26" s="118"/>
      <c r="P26" s="118"/>
      <c r="Q26" s="123">
        <f>K26</f>
        <v>3125</v>
      </c>
    </row>
    <row r="27" spans="1:17" ht="27" customHeight="1" x14ac:dyDescent="0.25">
      <c r="A27" s="118">
        <v>1</v>
      </c>
      <c r="B27" s="119" t="s">
        <v>120</v>
      </c>
      <c r="C27" s="120" t="s">
        <v>121</v>
      </c>
      <c r="D27" s="121" t="s">
        <v>98</v>
      </c>
      <c r="E27" s="120" t="s">
        <v>99</v>
      </c>
      <c r="F27" s="121" t="s">
        <v>108</v>
      </c>
      <c r="G27" s="118">
        <f>H5*D8</f>
        <v>1350</v>
      </c>
      <c r="H27" s="118">
        <v>1</v>
      </c>
      <c r="I27" s="123">
        <f t="shared" si="2"/>
        <v>0.33333333333333331</v>
      </c>
      <c r="J27" s="122">
        <f t="shared" si="3"/>
        <v>1350</v>
      </c>
      <c r="K27" s="123">
        <f t="shared" si="4"/>
        <v>450</v>
      </c>
      <c r="L27" s="124">
        <f t="shared" si="5"/>
        <v>450</v>
      </c>
      <c r="M27" s="123">
        <f t="shared" si="6"/>
        <v>450</v>
      </c>
      <c r="N27" s="123"/>
      <c r="O27" s="118"/>
      <c r="P27" s="118"/>
      <c r="Q27" s="123"/>
    </row>
    <row r="28" spans="1:17" ht="27" customHeight="1" x14ac:dyDescent="0.25">
      <c r="A28" s="118">
        <v>1</v>
      </c>
      <c r="B28" s="119" t="s">
        <v>120</v>
      </c>
      <c r="C28" s="120" t="s">
        <v>121</v>
      </c>
      <c r="D28" s="121" t="s">
        <v>98</v>
      </c>
      <c r="E28" s="120" t="s">
        <v>100</v>
      </c>
      <c r="F28" s="121" t="s">
        <v>108</v>
      </c>
      <c r="G28" s="118">
        <f>H5*D8</f>
        <v>1350</v>
      </c>
      <c r="H28" s="118">
        <v>0.8</v>
      </c>
      <c r="I28" s="123">
        <f t="shared" si="2"/>
        <v>0.26666666666666666</v>
      </c>
      <c r="J28" s="122">
        <f t="shared" si="3"/>
        <v>1080</v>
      </c>
      <c r="K28" s="123">
        <f t="shared" si="4"/>
        <v>360</v>
      </c>
      <c r="L28" s="124">
        <f t="shared" si="5"/>
        <v>360</v>
      </c>
      <c r="M28" s="123">
        <f t="shared" si="6"/>
        <v>360</v>
      </c>
      <c r="N28" s="123"/>
      <c r="O28" s="118"/>
      <c r="P28" s="118"/>
      <c r="Q28" s="123"/>
    </row>
    <row r="29" spans="1:17" ht="27" customHeight="1" x14ac:dyDescent="0.25">
      <c r="A29" s="118">
        <v>1</v>
      </c>
      <c r="B29" s="119" t="s">
        <v>120</v>
      </c>
      <c r="C29" s="120" t="s">
        <v>122</v>
      </c>
      <c r="D29" s="121" t="s">
        <v>90</v>
      </c>
      <c r="E29" s="120" t="s">
        <v>91</v>
      </c>
      <c r="F29" s="121" t="s">
        <v>92</v>
      </c>
      <c r="G29" s="118">
        <f>H5/3*20/20*1.5/20</f>
        <v>0.375</v>
      </c>
      <c r="H29" s="118">
        <v>3300</v>
      </c>
      <c r="I29" s="123">
        <f t="shared" si="2"/>
        <v>1100</v>
      </c>
      <c r="J29" s="122">
        <f t="shared" si="3"/>
        <v>1237.5</v>
      </c>
      <c r="K29" s="123">
        <f t="shared" si="4"/>
        <v>412.5</v>
      </c>
      <c r="L29" s="124">
        <f t="shared" si="5"/>
        <v>412.5</v>
      </c>
      <c r="M29" s="123">
        <f t="shared" si="6"/>
        <v>412.5</v>
      </c>
      <c r="N29" s="123"/>
      <c r="O29" s="118"/>
      <c r="P29" s="118"/>
      <c r="Q29" s="123"/>
    </row>
    <row r="30" spans="1:17" ht="27" customHeight="1" x14ac:dyDescent="0.25">
      <c r="A30" s="118">
        <v>1</v>
      </c>
      <c r="B30" s="125" t="s">
        <v>101</v>
      </c>
      <c r="C30" s="120" t="s">
        <v>123</v>
      </c>
      <c r="D30" s="121" t="s">
        <v>90</v>
      </c>
      <c r="E30" s="120" t="s">
        <v>91</v>
      </c>
      <c r="F30" s="121" t="s">
        <v>92</v>
      </c>
      <c r="G30" s="118">
        <f>1*H3*H5/20*0.5</f>
        <v>1.875</v>
      </c>
      <c r="H30" s="118">
        <v>3300</v>
      </c>
      <c r="I30" s="123">
        <f t="shared" si="2"/>
        <v>1100</v>
      </c>
      <c r="J30" s="122">
        <f t="shared" si="3"/>
        <v>6187.5</v>
      </c>
      <c r="K30" s="123">
        <f t="shared" si="4"/>
        <v>2062.5</v>
      </c>
      <c r="L30" s="124">
        <f t="shared" si="5"/>
        <v>2062.5</v>
      </c>
      <c r="M30" s="123">
        <f t="shared" si="6"/>
        <v>2062.5</v>
      </c>
      <c r="N30" s="123"/>
      <c r="O30" s="118"/>
      <c r="P30" s="118"/>
      <c r="Q30" s="118"/>
    </row>
    <row r="31" spans="1:17" ht="27" customHeight="1" x14ac:dyDescent="0.25">
      <c r="A31" s="118">
        <v>1</v>
      </c>
      <c r="B31" s="125" t="s">
        <v>101</v>
      </c>
      <c r="C31" s="120" t="s">
        <v>124</v>
      </c>
      <c r="D31" s="121" t="s">
        <v>125</v>
      </c>
      <c r="E31" s="120" t="s">
        <v>126</v>
      </c>
      <c r="F31" s="121" t="s">
        <v>119</v>
      </c>
      <c r="G31" s="118">
        <f>0.6*H3*H5</f>
        <v>45</v>
      </c>
      <c r="H31" s="118">
        <v>60</v>
      </c>
      <c r="I31" s="123">
        <f t="shared" si="2"/>
        <v>20</v>
      </c>
      <c r="J31" s="122">
        <f t="shared" si="3"/>
        <v>2700</v>
      </c>
      <c r="K31" s="123">
        <f t="shared" si="4"/>
        <v>900</v>
      </c>
      <c r="L31" s="124">
        <f t="shared" si="5"/>
        <v>900</v>
      </c>
      <c r="M31" s="123">
        <f t="shared" si="6"/>
        <v>450</v>
      </c>
      <c r="N31" s="123">
        <f>0.5*K31</f>
        <v>450</v>
      </c>
      <c r="O31" s="118"/>
      <c r="P31" s="118"/>
      <c r="Q31" s="118"/>
    </row>
    <row r="32" spans="1:17" ht="27" customHeight="1" x14ac:dyDescent="0.25">
      <c r="A32" s="118">
        <v>1</v>
      </c>
      <c r="B32" s="119" t="s">
        <v>127</v>
      </c>
      <c r="C32" s="120" t="s">
        <v>128</v>
      </c>
      <c r="D32" s="121" t="s">
        <v>90</v>
      </c>
      <c r="E32" s="120" t="s">
        <v>91</v>
      </c>
      <c r="F32" s="121" t="s">
        <v>92</v>
      </c>
      <c r="G32" s="118">
        <f>0.1*H3*H5/20</f>
        <v>0.375</v>
      </c>
      <c r="H32" s="118">
        <v>3300</v>
      </c>
      <c r="I32" s="123">
        <f t="shared" si="2"/>
        <v>1100</v>
      </c>
      <c r="J32" s="122">
        <f t="shared" si="3"/>
        <v>1237.5</v>
      </c>
      <c r="K32" s="123">
        <f t="shared" si="4"/>
        <v>412.5</v>
      </c>
      <c r="L32" s="124">
        <f t="shared" si="5"/>
        <v>412.5</v>
      </c>
      <c r="M32" s="123">
        <f t="shared" si="6"/>
        <v>206.25</v>
      </c>
      <c r="N32" s="123">
        <f>0.5*K32</f>
        <v>206.25</v>
      </c>
      <c r="O32" s="118"/>
      <c r="P32" s="118"/>
      <c r="Q32" s="118"/>
    </row>
    <row r="33" spans="1:19" x14ac:dyDescent="0.25">
      <c r="A33" s="118"/>
      <c r="B33" s="118"/>
      <c r="C33" s="118"/>
      <c r="D33" s="118"/>
      <c r="E33" s="126"/>
      <c r="F33" s="118"/>
      <c r="G33" s="118"/>
      <c r="H33" s="118"/>
      <c r="I33" s="118"/>
      <c r="J33" s="118"/>
      <c r="K33" s="101"/>
      <c r="L33" s="124"/>
    </row>
    <row r="34" spans="1:19" x14ac:dyDescent="0.25">
      <c r="A34" s="111"/>
      <c r="B34" s="112" t="s">
        <v>129</v>
      </c>
      <c r="C34" s="113"/>
      <c r="D34" s="113"/>
      <c r="E34" s="114"/>
      <c r="F34" s="113"/>
      <c r="G34" s="113"/>
      <c r="H34" s="113"/>
      <c r="I34" s="115"/>
      <c r="J34" s="116">
        <f>SUM(J36:J55)</f>
        <v>48162</v>
      </c>
      <c r="K34" s="117">
        <f>SUM(K36:K55)</f>
        <v>16054</v>
      </c>
      <c r="L34" s="124"/>
      <c r="M34" s="127"/>
      <c r="R34" t="s">
        <v>130</v>
      </c>
      <c r="S34" s="122">
        <f>SUM(Q35:Q55)/J6*E2</f>
        <v>250.59555555555551</v>
      </c>
    </row>
    <row r="35" spans="1:19" ht="27" customHeight="1" x14ac:dyDescent="0.25">
      <c r="A35" s="118"/>
      <c r="B35" s="119"/>
      <c r="C35" s="120"/>
      <c r="D35" s="121"/>
      <c r="E35" s="120"/>
      <c r="F35" s="121"/>
      <c r="G35" s="118"/>
      <c r="H35" s="118"/>
      <c r="I35" s="118"/>
      <c r="J35" s="118"/>
      <c r="K35" s="118"/>
      <c r="L35" s="124"/>
    </row>
    <row r="36" spans="1:19" ht="27" customHeight="1" x14ac:dyDescent="0.25">
      <c r="A36" s="118">
        <v>2</v>
      </c>
      <c r="B36" s="119" t="s">
        <v>2</v>
      </c>
      <c r="C36" s="120" t="s">
        <v>89</v>
      </c>
      <c r="D36" s="121" t="s">
        <v>90</v>
      </c>
      <c r="E36" s="120" t="s">
        <v>91</v>
      </c>
      <c r="F36" s="121" t="s">
        <v>92</v>
      </c>
      <c r="G36" s="118">
        <v>2.5</v>
      </c>
      <c r="H36" s="122">
        <v>3300</v>
      </c>
      <c r="I36" s="123">
        <f t="shared" ref="I36:I55" si="7">H36/$E$2</f>
        <v>1100</v>
      </c>
      <c r="J36" s="122">
        <f>G36*H36</f>
        <v>8250</v>
      </c>
      <c r="K36" s="123">
        <f>G36*I36</f>
        <v>2750</v>
      </c>
      <c r="L36" s="124">
        <f t="shared" si="5"/>
        <v>2750</v>
      </c>
      <c r="M36" s="123">
        <f>K36-SUM(N36:Q36)</f>
        <v>0</v>
      </c>
      <c r="N36" s="118"/>
      <c r="O36" s="118"/>
      <c r="P36" s="123">
        <f>K36-Q36</f>
        <v>1650</v>
      </c>
      <c r="Q36" s="123">
        <f>0.4*K36</f>
        <v>1100</v>
      </c>
    </row>
    <row r="37" spans="1:19" ht="27" customHeight="1" x14ac:dyDescent="0.25">
      <c r="A37" s="118">
        <v>2</v>
      </c>
      <c r="B37" s="119" t="s">
        <v>2</v>
      </c>
      <c r="C37" s="120" t="s">
        <v>89</v>
      </c>
      <c r="D37" s="121" t="s">
        <v>131</v>
      </c>
      <c r="E37" s="120" t="s">
        <v>132</v>
      </c>
      <c r="F37" s="121" t="s">
        <v>119</v>
      </c>
      <c r="G37" s="118">
        <v>5</v>
      </c>
      <c r="H37" s="122">
        <v>200</v>
      </c>
      <c r="I37" s="123">
        <f t="shared" si="7"/>
        <v>66.666666666666671</v>
      </c>
      <c r="J37" s="122">
        <f t="shared" ref="J37:J55" si="8">G37*H37</f>
        <v>1000</v>
      </c>
      <c r="K37" s="123">
        <f t="shared" ref="K37:K55" si="9">G37*I37</f>
        <v>333.33333333333337</v>
      </c>
      <c r="L37" s="124">
        <f t="shared" si="5"/>
        <v>333.33333333333337</v>
      </c>
      <c r="M37" s="123">
        <f t="shared" ref="M37:M55" si="10">K37-SUM(N37:Q37)</f>
        <v>333.33333333333337</v>
      </c>
      <c r="N37" s="118"/>
      <c r="O37" s="118"/>
      <c r="P37" s="118"/>
      <c r="Q37" s="123"/>
    </row>
    <row r="38" spans="1:19" ht="27" customHeight="1" x14ac:dyDescent="0.25">
      <c r="A38" s="118">
        <v>2</v>
      </c>
      <c r="B38" s="119" t="s">
        <v>133</v>
      </c>
      <c r="C38" s="120" t="s">
        <v>134</v>
      </c>
      <c r="D38" s="121" t="s">
        <v>94</v>
      </c>
      <c r="E38" s="120" t="s">
        <v>135</v>
      </c>
      <c r="F38" s="121" t="s">
        <v>136</v>
      </c>
      <c r="G38" s="118">
        <v>1</v>
      </c>
      <c r="H38" s="122">
        <v>400</v>
      </c>
      <c r="I38" s="123">
        <f t="shared" si="7"/>
        <v>133.33333333333334</v>
      </c>
      <c r="J38" s="122">
        <f t="shared" si="8"/>
        <v>400</v>
      </c>
      <c r="K38" s="123">
        <f t="shared" si="9"/>
        <v>133.33333333333334</v>
      </c>
      <c r="L38" s="124">
        <f t="shared" si="5"/>
        <v>133.33333333333334</v>
      </c>
      <c r="M38" s="123">
        <f t="shared" si="10"/>
        <v>133.33333333333334</v>
      </c>
      <c r="N38" s="118"/>
      <c r="O38" s="118"/>
      <c r="P38" s="118"/>
      <c r="Q38" s="118"/>
    </row>
    <row r="39" spans="1:19" ht="27" customHeight="1" x14ac:dyDescent="0.25">
      <c r="A39" s="118">
        <v>2</v>
      </c>
      <c r="B39" s="119" t="s">
        <v>133</v>
      </c>
      <c r="C39" s="120" t="s">
        <v>137</v>
      </c>
      <c r="D39" s="121" t="s">
        <v>94</v>
      </c>
      <c r="E39" s="120" t="s">
        <v>95</v>
      </c>
      <c r="F39" s="121" t="s">
        <v>138</v>
      </c>
      <c r="G39" s="118">
        <v>1500</v>
      </c>
      <c r="H39" s="122">
        <v>0.8</v>
      </c>
      <c r="I39" s="123">
        <f t="shared" si="7"/>
        <v>0.26666666666666666</v>
      </c>
      <c r="J39" s="122">
        <f t="shared" si="8"/>
        <v>1200</v>
      </c>
      <c r="K39" s="123">
        <f t="shared" si="9"/>
        <v>400</v>
      </c>
      <c r="L39" s="124">
        <f t="shared" si="5"/>
        <v>400</v>
      </c>
      <c r="M39" s="123">
        <f t="shared" si="10"/>
        <v>400</v>
      </c>
      <c r="N39" s="118"/>
      <c r="O39" s="118"/>
      <c r="P39" s="118"/>
      <c r="Q39" s="118"/>
    </row>
    <row r="40" spans="1:19" ht="27" customHeight="1" x14ac:dyDescent="0.25">
      <c r="A40" s="118">
        <v>2</v>
      </c>
      <c r="B40" s="119" t="s">
        <v>133</v>
      </c>
      <c r="C40" s="120" t="s">
        <v>139</v>
      </c>
      <c r="D40" s="121" t="s">
        <v>94</v>
      </c>
      <c r="E40" s="120" t="s">
        <v>140</v>
      </c>
      <c r="F40" s="121" t="s">
        <v>92</v>
      </c>
      <c r="G40" s="118">
        <v>3</v>
      </c>
      <c r="H40" s="122">
        <v>600</v>
      </c>
      <c r="I40" s="123">
        <f t="shared" si="7"/>
        <v>200</v>
      </c>
      <c r="J40" s="122">
        <f t="shared" si="8"/>
        <v>1800</v>
      </c>
      <c r="K40" s="123">
        <f t="shared" si="9"/>
        <v>600</v>
      </c>
      <c r="L40" s="124">
        <f t="shared" si="5"/>
        <v>600</v>
      </c>
      <c r="M40" s="123">
        <f t="shared" si="10"/>
        <v>600</v>
      </c>
      <c r="N40" s="118"/>
      <c r="O40" s="118"/>
      <c r="P40" s="118"/>
      <c r="Q40" s="118"/>
    </row>
    <row r="41" spans="1:19" ht="27" customHeight="1" x14ac:dyDescent="0.25">
      <c r="A41" s="118">
        <v>2</v>
      </c>
      <c r="B41" s="119" t="s">
        <v>10</v>
      </c>
      <c r="C41" s="120" t="s">
        <v>141</v>
      </c>
      <c r="D41" s="121" t="s">
        <v>98</v>
      </c>
      <c r="E41" s="120" t="s">
        <v>99</v>
      </c>
      <c r="F41" s="121" t="s">
        <v>67</v>
      </c>
      <c r="G41" s="118">
        <v>50</v>
      </c>
      <c r="H41" s="122">
        <v>1</v>
      </c>
      <c r="I41" s="123">
        <f t="shared" si="7"/>
        <v>0.33333333333333331</v>
      </c>
      <c r="J41" s="122">
        <f t="shared" si="8"/>
        <v>50</v>
      </c>
      <c r="K41" s="123">
        <f t="shared" si="9"/>
        <v>16.666666666666664</v>
      </c>
      <c r="L41" s="124">
        <f t="shared" si="5"/>
        <v>16.666666666666664</v>
      </c>
      <c r="M41" s="123">
        <f t="shared" si="10"/>
        <v>16.666666666666664</v>
      </c>
      <c r="N41" s="118"/>
      <c r="O41" s="118"/>
      <c r="P41" s="118"/>
      <c r="Q41" s="118"/>
    </row>
    <row r="42" spans="1:19" ht="27" customHeight="1" x14ac:dyDescent="0.25">
      <c r="A42" s="118">
        <v>2</v>
      </c>
      <c r="B42" s="119" t="s">
        <v>10</v>
      </c>
      <c r="C42" s="120" t="s">
        <v>141</v>
      </c>
      <c r="D42" s="121" t="s">
        <v>98</v>
      </c>
      <c r="E42" s="120" t="s">
        <v>100</v>
      </c>
      <c r="F42" s="121" t="s">
        <v>67</v>
      </c>
      <c r="G42" s="118">
        <v>50</v>
      </c>
      <c r="H42" s="122">
        <v>0.5</v>
      </c>
      <c r="I42" s="123">
        <f t="shared" si="7"/>
        <v>0.16666666666666666</v>
      </c>
      <c r="J42" s="122">
        <f t="shared" si="8"/>
        <v>25</v>
      </c>
      <c r="K42" s="123">
        <f t="shared" si="9"/>
        <v>8.3333333333333321</v>
      </c>
      <c r="L42" s="124">
        <f t="shared" si="5"/>
        <v>8.3333333333333321</v>
      </c>
      <c r="M42" s="123">
        <f t="shared" si="10"/>
        <v>8.3333333333333321</v>
      </c>
      <c r="N42" s="118"/>
      <c r="O42" s="118"/>
      <c r="P42" s="118"/>
      <c r="Q42" s="118"/>
    </row>
    <row r="43" spans="1:19" ht="27" customHeight="1" x14ac:dyDescent="0.25">
      <c r="A43" s="118">
        <v>2</v>
      </c>
      <c r="B43" s="119" t="s">
        <v>10</v>
      </c>
      <c r="C43" s="120" t="s">
        <v>103</v>
      </c>
      <c r="D43" s="121" t="s">
        <v>104</v>
      </c>
      <c r="E43" s="120" t="s">
        <v>105</v>
      </c>
      <c r="F43" s="121" t="s">
        <v>106</v>
      </c>
      <c r="G43" s="118">
        <f>J6*J7*J8</f>
        <v>450</v>
      </c>
      <c r="H43" s="122">
        <f>D6</f>
        <v>6</v>
      </c>
      <c r="I43" s="123">
        <f t="shared" si="7"/>
        <v>2</v>
      </c>
      <c r="J43" s="122">
        <f t="shared" si="8"/>
        <v>2700</v>
      </c>
      <c r="K43" s="123">
        <f t="shared" si="9"/>
        <v>900</v>
      </c>
      <c r="L43" s="124">
        <f t="shared" si="5"/>
        <v>900</v>
      </c>
      <c r="M43" s="123">
        <f t="shared" si="10"/>
        <v>540</v>
      </c>
      <c r="N43" s="118"/>
      <c r="O43" s="118"/>
      <c r="P43" s="118"/>
      <c r="Q43" s="123">
        <f>0.4*K43</f>
        <v>360</v>
      </c>
    </row>
    <row r="44" spans="1:19" ht="27" customHeight="1" x14ac:dyDescent="0.25">
      <c r="A44" s="118">
        <v>2</v>
      </c>
      <c r="B44" s="119" t="s">
        <v>10</v>
      </c>
      <c r="C44" s="120" t="s">
        <v>142</v>
      </c>
      <c r="D44" s="121" t="s">
        <v>98</v>
      </c>
      <c r="E44" s="120" t="s">
        <v>99</v>
      </c>
      <c r="F44" s="121" t="s">
        <v>108</v>
      </c>
      <c r="G44" s="118">
        <v>200</v>
      </c>
      <c r="H44" s="118">
        <v>1</v>
      </c>
      <c r="I44" s="123">
        <f t="shared" si="7"/>
        <v>0.33333333333333331</v>
      </c>
      <c r="J44" s="122">
        <f t="shared" si="8"/>
        <v>200</v>
      </c>
      <c r="K44" s="123">
        <f t="shared" si="9"/>
        <v>66.666666666666657</v>
      </c>
      <c r="L44" s="124">
        <f t="shared" si="5"/>
        <v>66.666666666666657</v>
      </c>
      <c r="M44" s="123">
        <f t="shared" si="10"/>
        <v>39.999999999999993</v>
      </c>
      <c r="N44" s="118"/>
      <c r="O44" s="118"/>
      <c r="P44" s="118"/>
      <c r="Q44" s="123">
        <f t="shared" ref="Q44:Q47" si="11">0.4*K44</f>
        <v>26.666666666666664</v>
      </c>
    </row>
    <row r="45" spans="1:19" ht="27" customHeight="1" x14ac:dyDescent="0.25">
      <c r="A45" s="118">
        <v>2</v>
      </c>
      <c r="B45" s="119" t="s">
        <v>10</v>
      </c>
      <c r="C45" s="120" t="s">
        <v>142</v>
      </c>
      <c r="D45" s="121" t="s">
        <v>98</v>
      </c>
      <c r="E45" s="120" t="s">
        <v>100</v>
      </c>
      <c r="F45" s="121" t="s">
        <v>108</v>
      </c>
      <c r="G45" s="118">
        <v>200</v>
      </c>
      <c r="H45" s="118">
        <v>0.5</v>
      </c>
      <c r="I45" s="123">
        <f t="shared" si="7"/>
        <v>0.16666666666666666</v>
      </c>
      <c r="J45" s="122">
        <f t="shared" si="8"/>
        <v>100</v>
      </c>
      <c r="K45" s="123">
        <f t="shared" si="9"/>
        <v>33.333333333333329</v>
      </c>
      <c r="L45" s="124">
        <f t="shared" si="5"/>
        <v>33.333333333333329</v>
      </c>
      <c r="M45" s="123">
        <f t="shared" si="10"/>
        <v>19.999999999999996</v>
      </c>
      <c r="N45" s="118"/>
      <c r="O45" s="118"/>
      <c r="P45" s="118"/>
      <c r="Q45" s="123">
        <f t="shared" si="11"/>
        <v>13.333333333333332</v>
      </c>
    </row>
    <row r="46" spans="1:19" ht="27" customHeight="1" x14ac:dyDescent="0.25">
      <c r="A46" s="118">
        <v>2</v>
      </c>
      <c r="B46" s="119" t="s">
        <v>10</v>
      </c>
      <c r="C46" s="120" t="s">
        <v>141</v>
      </c>
      <c r="D46" s="121" t="s">
        <v>98</v>
      </c>
      <c r="E46" s="120" t="s">
        <v>143</v>
      </c>
      <c r="F46" s="121" t="s">
        <v>138</v>
      </c>
      <c r="G46" s="118">
        <f>J5*J7*J8</f>
        <v>30</v>
      </c>
      <c r="H46" s="122">
        <v>1.4</v>
      </c>
      <c r="I46" s="123">
        <f t="shared" si="7"/>
        <v>0.46666666666666662</v>
      </c>
      <c r="J46" s="122">
        <f t="shared" si="8"/>
        <v>42</v>
      </c>
      <c r="K46" s="123">
        <f t="shared" si="9"/>
        <v>13.999999999999998</v>
      </c>
      <c r="L46" s="124">
        <f t="shared" si="5"/>
        <v>13.999999999999998</v>
      </c>
      <c r="M46" s="123">
        <f t="shared" si="10"/>
        <v>8.3999999999999986</v>
      </c>
      <c r="N46" s="118"/>
      <c r="O46" s="118"/>
      <c r="P46" s="118"/>
      <c r="Q46" s="123">
        <f t="shared" si="11"/>
        <v>5.6</v>
      </c>
    </row>
    <row r="47" spans="1:19" ht="27" customHeight="1" x14ac:dyDescent="0.25">
      <c r="A47" s="118">
        <v>2</v>
      </c>
      <c r="B47" s="119" t="s">
        <v>10</v>
      </c>
      <c r="C47" s="120" t="s">
        <v>109</v>
      </c>
      <c r="D47" s="121" t="s">
        <v>110</v>
      </c>
      <c r="E47" s="120" t="s">
        <v>111</v>
      </c>
      <c r="F47" s="121" t="s">
        <v>112</v>
      </c>
      <c r="G47" s="118">
        <f>J7*J5</f>
        <v>15</v>
      </c>
      <c r="H47" s="118">
        <v>60</v>
      </c>
      <c r="I47" s="123">
        <f t="shared" si="7"/>
        <v>20</v>
      </c>
      <c r="J47" s="122">
        <f t="shared" si="8"/>
        <v>900</v>
      </c>
      <c r="K47" s="123">
        <f t="shared" si="9"/>
        <v>300</v>
      </c>
      <c r="L47" s="124">
        <f t="shared" si="5"/>
        <v>300</v>
      </c>
      <c r="M47" s="123">
        <f t="shared" si="10"/>
        <v>180</v>
      </c>
      <c r="N47" s="118"/>
      <c r="O47" s="118"/>
      <c r="P47" s="118"/>
      <c r="Q47" s="123">
        <f t="shared" si="11"/>
        <v>120</v>
      </c>
    </row>
    <row r="48" spans="1:19" ht="27" customHeight="1" x14ac:dyDescent="0.25">
      <c r="A48" s="118">
        <v>2</v>
      </c>
      <c r="B48" s="119" t="s">
        <v>10</v>
      </c>
      <c r="C48" s="120" t="s">
        <v>113</v>
      </c>
      <c r="D48" s="121" t="s">
        <v>114</v>
      </c>
      <c r="E48" s="120" t="s">
        <v>115</v>
      </c>
      <c r="F48" s="121" t="s">
        <v>112</v>
      </c>
      <c r="G48" s="118">
        <f>J5*J7*J8</f>
        <v>30</v>
      </c>
      <c r="H48" s="118">
        <v>150</v>
      </c>
      <c r="I48" s="123">
        <f t="shared" si="7"/>
        <v>50</v>
      </c>
      <c r="J48" s="122">
        <f t="shared" si="8"/>
        <v>4500</v>
      </c>
      <c r="K48" s="123">
        <f t="shared" si="9"/>
        <v>1500</v>
      </c>
      <c r="L48" s="124">
        <f t="shared" si="5"/>
        <v>1500</v>
      </c>
      <c r="M48" s="123">
        <f t="shared" si="10"/>
        <v>0</v>
      </c>
      <c r="N48" s="118"/>
      <c r="O48" s="123">
        <f>K48</f>
        <v>1500</v>
      </c>
      <c r="P48" s="118"/>
      <c r="Q48" s="118"/>
    </row>
    <row r="49" spans="1:17" ht="27" customHeight="1" x14ac:dyDescent="0.25">
      <c r="A49" s="118">
        <v>2</v>
      </c>
      <c r="B49" s="119" t="s">
        <v>10</v>
      </c>
      <c r="C49" s="120" t="s">
        <v>144</v>
      </c>
      <c r="D49" s="121" t="s">
        <v>114</v>
      </c>
      <c r="E49" s="120" t="s">
        <v>118</v>
      </c>
      <c r="F49" s="121" t="s">
        <v>119</v>
      </c>
      <c r="G49" s="118">
        <f>J5*J7*J8</f>
        <v>30</v>
      </c>
      <c r="H49" s="118">
        <v>350</v>
      </c>
      <c r="I49" s="123">
        <f t="shared" si="7"/>
        <v>116.66666666666667</v>
      </c>
      <c r="J49" s="122">
        <f t="shared" si="8"/>
        <v>10500</v>
      </c>
      <c r="K49" s="123">
        <f t="shared" si="9"/>
        <v>3500</v>
      </c>
      <c r="L49" s="124">
        <f t="shared" si="5"/>
        <v>3500</v>
      </c>
      <c r="M49" s="123">
        <f t="shared" si="10"/>
        <v>525</v>
      </c>
      <c r="N49" s="118"/>
      <c r="O49" s="123">
        <f>K49*0.85</f>
        <v>2975</v>
      </c>
      <c r="P49" s="118"/>
      <c r="Q49" s="118"/>
    </row>
    <row r="50" spans="1:17" ht="27" customHeight="1" x14ac:dyDescent="0.25">
      <c r="A50" s="118">
        <v>2</v>
      </c>
      <c r="B50" s="119" t="s">
        <v>10</v>
      </c>
      <c r="C50" s="120" t="s">
        <v>123</v>
      </c>
      <c r="D50" s="121" t="s">
        <v>90</v>
      </c>
      <c r="E50" s="120" t="s">
        <v>91</v>
      </c>
      <c r="F50" s="121" t="s">
        <v>92</v>
      </c>
      <c r="G50" s="118">
        <f>1*J5*J7*J8/20</f>
        <v>1.5</v>
      </c>
      <c r="H50" s="118">
        <v>3300</v>
      </c>
      <c r="I50" s="123">
        <f t="shared" si="7"/>
        <v>1100</v>
      </c>
      <c r="J50" s="122">
        <f t="shared" si="8"/>
        <v>4950</v>
      </c>
      <c r="K50" s="123">
        <f t="shared" si="9"/>
        <v>1650</v>
      </c>
      <c r="L50" s="124">
        <f t="shared" si="5"/>
        <v>1650</v>
      </c>
      <c r="M50" s="123">
        <f t="shared" si="10"/>
        <v>0</v>
      </c>
      <c r="N50" s="118"/>
      <c r="O50" s="123"/>
      <c r="P50" s="123">
        <f>K50*0.6</f>
        <v>990</v>
      </c>
      <c r="Q50" s="123">
        <f t="shared" ref="Q50:Q54" si="12">0.4*K50</f>
        <v>660</v>
      </c>
    </row>
    <row r="51" spans="1:17" ht="27" customHeight="1" x14ac:dyDescent="0.25">
      <c r="A51" s="118">
        <v>2</v>
      </c>
      <c r="B51" s="119" t="s">
        <v>10</v>
      </c>
      <c r="C51" s="120" t="s">
        <v>123</v>
      </c>
      <c r="D51" s="121" t="s">
        <v>131</v>
      </c>
      <c r="E51" s="120" t="s">
        <v>132</v>
      </c>
      <c r="F51" s="121" t="s">
        <v>119</v>
      </c>
      <c r="G51" s="118">
        <v>10</v>
      </c>
      <c r="H51" s="118">
        <v>200</v>
      </c>
      <c r="I51" s="123">
        <f t="shared" si="7"/>
        <v>66.666666666666671</v>
      </c>
      <c r="J51" s="122">
        <f t="shared" si="8"/>
        <v>2000</v>
      </c>
      <c r="K51" s="123">
        <f t="shared" si="9"/>
        <v>666.66666666666674</v>
      </c>
      <c r="L51" s="124">
        <f t="shared" si="5"/>
        <v>666.66666666666674</v>
      </c>
      <c r="M51" s="123">
        <f t="shared" si="10"/>
        <v>400.00000000000006</v>
      </c>
      <c r="N51" s="118"/>
      <c r="O51" s="118"/>
      <c r="P51" s="118"/>
      <c r="Q51" s="123">
        <f t="shared" si="12"/>
        <v>266.66666666666669</v>
      </c>
    </row>
    <row r="52" spans="1:17" ht="27" customHeight="1" x14ac:dyDescent="0.25">
      <c r="A52" s="118">
        <v>2</v>
      </c>
      <c r="B52" s="119" t="s">
        <v>10</v>
      </c>
      <c r="C52" s="120" t="s">
        <v>124</v>
      </c>
      <c r="D52" s="121" t="s">
        <v>131</v>
      </c>
      <c r="E52" s="120" t="s">
        <v>145</v>
      </c>
      <c r="F52" s="121" t="s">
        <v>119</v>
      </c>
      <c r="G52" s="118">
        <f>J5*J7*J8</f>
        <v>30</v>
      </c>
      <c r="H52" s="118">
        <v>60</v>
      </c>
      <c r="I52" s="123">
        <f t="shared" si="7"/>
        <v>20</v>
      </c>
      <c r="J52" s="122">
        <f t="shared" si="8"/>
        <v>1800</v>
      </c>
      <c r="K52" s="123">
        <f t="shared" si="9"/>
        <v>600</v>
      </c>
      <c r="L52" s="124">
        <f t="shared" si="5"/>
        <v>600</v>
      </c>
      <c r="M52" s="123">
        <f t="shared" si="10"/>
        <v>360</v>
      </c>
      <c r="N52" s="118"/>
      <c r="O52" s="118"/>
      <c r="P52" s="118"/>
      <c r="Q52" s="123">
        <f t="shared" si="12"/>
        <v>240</v>
      </c>
    </row>
    <row r="53" spans="1:17" ht="27" customHeight="1" x14ac:dyDescent="0.25">
      <c r="A53" s="118">
        <v>2</v>
      </c>
      <c r="B53" s="119" t="s">
        <v>10</v>
      </c>
      <c r="C53" s="120" t="s">
        <v>146</v>
      </c>
      <c r="D53" s="121" t="s">
        <v>125</v>
      </c>
      <c r="E53" s="120" t="s">
        <v>147</v>
      </c>
      <c r="F53" s="121" t="s">
        <v>136</v>
      </c>
      <c r="G53" s="118">
        <f>250*J6</f>
        <v>11250</v>
      </c>
      <c r="H53" s="118">
        <v>0.2</v>
      </c>
      <c r="I53" s="123">
        <f t="shared" si="7"/>
        <v>6.6666666666666666E-2</v>
      </c>
      <c r="J53" s="122">
        <f t="shared" si="8"/>
        <v>2250</v>
      </c>
      <c r="K53" s="123">
        <f t="shared" si="9"/>
        <v>750</v>
      </c>
      <c r="L53" s="124">
        <f t="shared" si="5"/>
        <v>750</v>
      </c>
      <c r="M53" s="123">
        <f t="shared" si="10"/>
        <v>450</v>
      </c>
      <c r="N53" s="118"/>
      <c r="O53" s="118"/>
      <c r="P53" s="118"/>
      <c r="Q53" s="123">
        <f t="shared" si="12"/>
        <v>300</v>
      </c>
    </row>
    <row r="54" spans="1:17" ht="27" customHeight="1" x14ac:dyDescent="0.25">
      <c r="A54" s="118">
        <v>2</v>
      </c>
      <c r="B54" s="119" t="s">
        <v>10</v>
      </c>
      <c r="C54" s="120" t="s">
        <v>148</v>
      </c>
      <c r="D54" s="121" t="s">
        <v>110</v>
      </c>
      <c r="E54" s="120" t="s">
        <v>149</v>
      </c>
      <c r="F54" s="121" t="s">
        <v>136</v>
      </c>
      <c r="G54" s="118">
        <v>5</v>
      </c>
      <c r="H54" s="118">
        <v>1000</v>
      </c>
      <c r="I54" s="123">
        <f t="shared" si="7"/>
        <v>333.33333333333331</v>
      </c>
      <c r="J54" s="122">
        <f t="shared" si="8"/>
        <v>5000</v>
      </c>
      <c r="K54" s="123">
        <f t="shared" si="9"/>
        <v>1666.6666666666665</v>
      </c>
      <c r="L54" s="124">
        <f t="shared" si="5"/>
        <v>1666.6666666666665</v>
      </c>
      <c r="M54" s="123">
        <f t="shared" si="10"/>
        <v>999.99999999999989</v>
      </c>
      <c r="N54" s="118"/>
      <c r="O54" s="118"/>
      <c r="P54" s="118"/>
      <c r="Q54" s="123">
        <f t="shared" si="12"/>
        <v>666.66666666666663</v>
      </c>
    </row>
    <row r="55" spans="1:17" ht="27" customHeight="1" x14ac:dyDescent="0.25">
      <c r="A55" s="118">
        <v>2</v>
      </c>
      <c r="B55" s="119" t="s">
        <v>11</v>
      </c>
      <c r="C55" s="120" t="s">
        <v>128</v>
      </c>
      <c r="D55" s="121" t="s">
        <v>90</v>
      </c>
      <c r="E55" s="120" t="s">
        <v>91</v>
      </c>
      <c r="F55" s="121" t="s">
        <v>92</v>
      </c>
      <c r="G55" s="118">
        <f>0.1*J5*J7*J8/20</f>
        <v>0.15000000000000002</v>
      </c>
      <c r="H55" s="118">
        <v>3300</v>
      </c>
      <c r="I55" s="123">
        <f t="shared" si="7"/>
        <v>1100</v>
      </c>
      <c r="J55" s="122">
        <f t="shared" si="8"/>
        <v>495.00000000000006</v>
      </c>
      <c r="K55" s="123">
        <f t="shared" si="9"/>
        <v>165.00000000000003</v>
      </c>
      <c r="L55" s="124">
        <f t="shared" si="5"/>
        <v>165.00000000000003</v>
      </c>
      <c r="M55" s="123">
        <f t="shared" si="10"/>
        <v>165.00000000000003</v>
      </c>
      <c r="N55" s="118"/>
      <c r="O55" s="118"/>
      <c r="P55" s="118"/>
      <c r="Q55" s="118"/>
    </row>
    <row r="56" spans="1:17" x14ac:dyDescent="0.25">
      <c r="A56" s="118"/>
      <c r="B56" s="118"/>
      <c r="C56" s="118"/>
      <c r="D56" s="118"/>
      <c r="E56" s="126"/>
      <c r="F56" s="118"/>
      <c r="G56" s="118"/>
      <c r="H56" s="118"/>
      <c r="I56" s="118"/>
      <c r="J56" s="118"/>
      <c r="K56" s="118"/>
      <c r="L56" s="124"/>
    </row>
    <row r="57" spans="1:17" x14ac:dyDescent="0.25">
      <c r="A57" s="118"/>
      <c r="B57" s="118"/>
      <c r="C57" s="118"/>
      <c r="D57" s="118"/>
      <c r="E57" s="126"/>
      <c r="F57" s="118"/>
      <c r="G57" s="118"/>
      <c r="H57" s="118"/>
      <c r="I57" s="118"/>
      <c r="J57" s="118"/>
      <c r="K57" s="101"/>
      <c r="L57" s="124"/>
    </row>
    <row r="58" spans="1:17" x14ac:dyDescent="0.25">
      <c r="A58" s="111"/>
      <c r="B58" s="112" t="s">
        <v>14</v>
      </c>
      <c r="C58" s="113"/>
      <c r="D58" s="113"/>
      <c r="E58" s="114"/>
      <c r="F58" s="113"/>
      <c r="G58" s="113"/>
      <c r="H58" s="113"/>
      <c r="I58" s="115"/>
      <c r="J58" s="116">
        <f>SUM(J60:J67)</f>
        <v>8940</v>
      </c>
      <c r="K58" s="117">
        <f>SUM(K60:K67)</f>
        <v>2980</v>
      </c>
      <c r="L58" s="124"/>
    </row>
    <row r="59" spans="1:17" ht="27" customHeight="1" x14ac:dyDescent="0.25">
      <c r="A59" s="118"/>
      <c r="B59" s="119"/>
      <c r="C59" s="120"/>
      <c r="D59" s="121"/>
      <c r="E59" s="120"/>
      <c r="F59" s="121"/>
      <c r="G59" s="118"/>
      <c r="H59" s="118"/>
      <c r="I59" s="118"/>
      <c r="J59" s="118"/>
      <c r="K59" s="118"/>
      <c r="L59" s="124"/>
    </row>
    <row r="60" spans="1:17" ht="27" customHeight="1" x14ac:dyDescent="0.25">
      <c r="A60" s="118">
        <v>3</v>
      </c>
      <c r="B60" s="119" t="s">
        <v>150</v>
      </c>
      <c r="C60" s="120" t="s">
        <v>151</v>
      </c>
      <c r="D60" s="121" t="s">
        <v>90</v>
      </c>
      <c r="E60" s="120" t="s">
        <v>91</v>
      </c>
      <c r="F60" s="121" t="s">
        <v>92</v>
      </c>
      <c r="G60" s="118">
        <v>0.8</v>
      </c>
      <c r="H60" s="122">
        <v>3300</v>
      </c>
      <c r="I60" s="123">
        <f t="shared" ref="I60:I67" si="13">H60/$E$2</f>
        <v>1100</v>
      </c>
      <c r="J60" s="122">
        <f>G60*H60</f>
        <v>2640</v>
      </c>
      <c r="K60" s="123">
        <f>G60*I60</f>
        <v>880</v>
      </c>
      <c r="L60" s="124">
        <f t="shared" si="5"/>
        <v>880</v>
      </c>
      <c r="M60" s="123">
        <f t="shared" ref="M60:M67" si="14">K60-SUM(N60:Q60)</f>
        <v>176</v>
      </c>
      <c r="N60" s="118"/>
      <c r="O60" s="118"/>
      <c r="P60" s="123">
        <f>K60*0.8</f>
        <v>704</v>
      </c>
      <c r="Q60" s="118"/>
    </row>
    <row r="61" spans="1:17" ht="27" customHeight="1" x14ac:dyDescent="0.25">
      <c r="A61" s="118">
        <v>3</v>
      </c>
      <c r="B61" s="119" t="s">
        <v>152</v>
      </c>
      <c r="C61" s="120" t="s">
        <v>93</v>
      </c>
      <c r="D61" s="121" t="s">
        <v>94</v>
      </c>
      <c r="E61" s="120" t="s">
        <v>95</v>
      </c>
      <c r="F61" s="121" t="s">
        <v>96</v>
      </c>
      <c r="G61" s="118">
        <v>1000</v>
      </c>
      <c r="H61" s="122">
        <v>0.2</v>
      </c>
      <c r="I61" s="123">
        <f t="shared" si="13"/>
        <v>6.6666666666666666E-2</v>
      </c>
      <c r="J61" s="122">
        <f t="shared" ref="J61:J67" si="15">G61*H61</f>
        <v>200</v>
      </c>
      <c r="K61" s="123">
        <f t="shared" ref="K61:K67" si="16">G61*I61</f>
        <v>66.666666666666671</v>
      </c>
      <c r="L61" s="124">
        <f t="shared" si="5"/>
        <v>66.666666666666671</v>
      </c>
      <c r="M61" s="123">
        <f t="shared" si="14"/>
        <v>66.666666666666671</v>
      </c>
      <c r="N61" s="118"/>
      <c r="O61" s="118"/>
      <c r="P61" s="118"/>
      <c r="Q61" s="118"/>
    </row>
    <row r="62" spans="1:17" ht="27" customHeight="1" x14ac:dyDescent="0.25">
      <c r="A62" s="118">
        <v>3</v>
      </c>
      <c r="B62" s="119" t="s">
        <v>152</v>
      </c>
      <c r="C62" s="120" t="s">
        <v>153</v>
      </c>
      <c r="D62" s="121" t="s">
        <v>94</v>
      </c>
      <c r="E62" s="120" t="s">
        <v>135</v>
      </c>
      <c r="F62" s="121" t="s">
        <v>136</v>
      </c>
      <c r="G62" s="118">
        <v>5</v>
      </c>
      <c r="H62" s="122">
        <v>200</v>
      </c>
      <c r="I62" s="123">
        <f t="shared" si="13"/>
        <v>66.666666666666671</v>
      </c>
      <c r="J62" s="122">
        <f t="shared" si="15"/>
        <v>1000</v>
      </c>
      <c r="K62" s="123">
        <f t="shared" si="16"/>
        <v>333.33333333333337</v>
      </c>
      <c r="L62" s="124">
        <f t="shared" si="5"/>
        <v>333.33333333333337</v>
      </c>
      <c r="M62" s="123">
        <f t="shared" si="14"/>
        <v>333.33333333333337</v>
      </c>
      <c r="N62" s="118"/>
      <c r="O62" s="118"/>
      <c r="P62" s="118"/>
      <c r="Q62" s="118"/>
    </row>
    <row r="63" spans="1:17" ht="27" customHeight="1" x14ac:dyDescent="0.25">
      <c r="A63" s="118">
        <v>3</v>
      </c>
      <c r="B63" s="119" t="s">
        <v>152</v>
      </c>
      <c r="C63" s="120" t="s">
        <v>154</v>
      </c>
      <c r="D63" s="121" t="s">
        <v>94</v>
      </c>
      <c r="E63" s="120" t="s">
        <v>95</v>
      </c>
      <c r="F63" s="121" t="s">
        <v>138</v>
      </c>
      <c r="G63" s="118">
        <v>2000</v>
      </c>
      <c r="H63" s="122">
        <v>0.5</v>
      </c>
      <c r="I63" s="123">
        <f t="shared" si="13"/>
        <v>0.16666666666666666</v>
      </c>
      <c r="J63" s="122">
        <f t="shared" si="15"/>
        <v>1000</v>
      </c>
      <c r="K63" s="123">
        <f t="shared" si="16"/>
        <v>333.33333333333331</v>
      </c>
      <c r="L63" s="124">
        <f t="shared" si="5"/>
        <v>333.33333333333331</v>
      </c>
      <c r="M63" s="123">
        <f t="shared" si="14"/>
        <v>333.33333333333331</v>
      </c>
      <c r="N63" s="118"/>
      <c r="O63" s="118"/>
      <c r="P63" s="118"/>
      <c r="Q63" s="118"/>
    </row>
    <row r="64" spans="1:17" ht="27" customHeight="1" x14ac:dyDescent="0.25">
      <c r="A64" s="118">
        <v>3</v>
      </c>
      <c r="B64" s="119" t="s">
        <v>155</v>
      </c>
      <c r="C64" s="120" t="s">
        <v>156</v>
      </c>
      <c r="D64" s="121" t="s">
        <v>98</v>
      </c>
      <c r="E64" s="120" t="s">
        <v>99</v>
      </c>
      <c r="F64" s="121" t="s">
        <v>67</v>
      </c>
      <c r="G64" s="118">
        <v>300</v>
      </c>
      <c r="H64" s="122">
        <v>1</v>
      </c>
      <c r="I64" s="123">
        <f t="shared" si="13"/>
        <v>0.33333333333333331</v>
      </c>
      <c r="J64" s="122">
        <f t="shared" si="15"/>
        <v>300</v>
      </c>
      <c r="K64" s="123">
        <f t="shared" si="16"/>
        <v>100</v>
      </c>
      <c r="L64" s="124">
        <f t="shared" si="5"/>
        <v>100</v>
      </c>
      <c r="M64" s="123">
        <f t="shared" si="14"/>
        <v>65</v>
      </c>
      <c r="N64" s="123"/>
      <c r="O64" s="123">
        <f>K64*0.35</f>
        <v>35</v>
      </c>
      <c r="P64" s="118"/>
      <c r="Q64" s="118"/>
    </row>
    <row r="65" spans="1:17" ht="27" customHeight="1" x14ac:dyDescent="0.25">
      <c r="A65" s="118">
        <v>3</v>
      </c>
      <c r="B65" s="119" t="s">
        <v>155</v>
      </c>
      <c r="C65" s="120" t="s">
        <v>157</v>
      </c>
      <c r="D65" s="121" t="s">
        <v>98</v>
      </c>
      <c r="E65" s="120" t="s">
        <v>100</v>
      </c>
      <c r="F65" s="121" t="s">
        <v>67</v>
      </c>
      <c r="G65" s="118">
        <v>300</v>
      </c>
      <c r="H65" s="122">
        <v>0.5</v>
      </c>
      <c r="I65" s="123">
        <f t="shared" si="13"/>
        <v>0.16666666666666666</v>
      </c>
      <c r="J65" s="122">
        <f t="shared" si="15"/>
        <v>150</v>
      </c>
      <c r="K65" s="123">
        <f t="shared" si="16"/>
        <v>50</v>
      </c>
      <c r="L65" s="124">
        <f t="shared" si="5"/>
        <v>50</v>
      </c>
      <c r="M65" s="123">
        <f t="shared" si="14"/>
        <v>32.5</v>
      </c>
      <c r="N65" s="118"/>
      <c r="O65" s="123">
        <f>K65*0.35</f>
        <v>17.5</v>
      </c>
      <c r="P65" s="118"/>
      <c r="Q65" s="118"/>
    </row>
    <row r="66" spans="1:17" ht="27" customHeight="1" x14ac:dyDescent="0.25">
      <c r="A66" s="118">
        <v>3</v>
      </c>
      <c r="B66" s="119" t="s">
        <v>15</v>
      </c>
      <c r="C66" s="120" t="s">
        <v>158</v>
      </c>
      <c r="D66" s="121" t="s">
        <v>110</v>
      </c>
      <c r="E66" s="120" t="s">
        <v>149</v>
      </c>
      <c r="F66" s="121" t="s">
        <v>136</v>
      </c>
      <c r="G66" s="118">
        <v>5</v>
      </c>
      <c r="H66" s="122">
        <v>400</v>
      </c>
      <c r="I66" s="123">
        <f t="shared" si="13"/>
        <v>133.33333333333334</v>
      </c>
      <c r="J66" s="122">
        <f t="shared" si="15"/>
        <v>2000</v>
      </c>
      <c r="K66" s="123">
        <f t="shared" si="16"/>
        <v>666.66666666666674</v>
      </c>
      <c r="L66" s="124">
        <f t="shared" si="5"/>
        <v>666.66666666666674</v>
      </c>
      <c r="M66" s="123">
        <f t="shared" si="14"/>
        <v>666.66666666666674</v>
      </c>
      <c r="N66" s="118"/>
      <c r="O66" s="118"/>
      <c r="P66" s="118"/>
      <c r="Q66" s="118"/>
    </row>
    <row r="67" spans="1:17" ht="27" customHeight="1" x14ac:dyDescent="0.25">
      <c r="A67" s="118">
        <v>3</v>
      </c>
      <c r="B67" s="119" t="s">
        <v>16</v>
      </c>
      <c r="C67" s="120" t="s">
        <v>128</v>
      </c>
      <c r="D67" s="121" t="s">
        <v>90</v>
      </c>
      <c r="E67" s="120" t="s">
        <v>91</v>
      </c>
      <c r="F67" s="121" t="s">
        <v>92</v>
      </c>
      <c r="G67" s="118">
        <v>0.5</v>
      </c>
      <c r="H67" s="118">
        <v>3300</v>
      </c>
      <c r="I67" s="123">
        <f t="shared" si="13"/>
        <v>1100</v>
      </c>
      <c r="J67" s="122">
        <f t="shared" si="15"/>
        <v>1650</v>
      </c>
      <c r="K67" s="123">
        <f t="shared" si="16"/>
        <v>550</v>
      </c>
      <c r="L67" s="124">
        <f t="shared" si="5"/>
        <v>550</v>
      </c>
      <c r="M67" s="123">
        <f t="shared" si="14"/>
        <v>550</v>
      </c>
      <c r="N67" s="118"/>
      <c r="O67" s="118"/>
      <c r="P67" s="118"/>
      <c r="Q67" s="118"/>
    </row>
    <row r="68" spans="1:17" x14ac:dyDescent="0.25">
      <c r="A68" s="118"/>
      <c r="B68" s="118"/>
      <c r="C68" s="118"/>
      <c r="D68" s="118"/>
      <c r="E68" s="126"/>
      <c r="F68" s="118"/>
      <c r="G68" s="118"/>
      <c r="H68" s="118"/>
      <c r="I68" s="118"/>
      <c r="J68" s="118"/>
      <c r="K68" s="118"/>
      <c r="L68" s="124"/>
    </row>
    <row r="69" spans="1:17" x14ac:dyDescent="0.25">
      <c r="A69" s="118"/>
      <c r="B69" s="118"/>
      <c r="C69" s="118"/>
      <c r="D69" s="118"/>
      <c r="E69" s="126"/>
      <c r="F69" s="118"/>
      <c r="G69" s="118"/>
      <c r="H69" s="118"/>
      <c r="I69" s="118"/>
      <c r="J69" s="118"/>
      <c r="K69" s="101"/>
      <c r="L69" s="124"/>
    </row>
    <row r="70" spans="1:17" x14ac:dyDescent="0.25">
      <c r="A70" s="111"/>
      <c r="B70" s="112" t="s">
        <v>159</v>
      </c>
      <c r="C70" s="113"/>
      <c r="D70" s="113"/>
      <c r="E70" s="114"/>
      <c r="F70" s="113"/>
      <c r="G70" s="113"/>
      <c r="H70" s="113"/>
      <c r="I70" s="115"/>
      <c r="J70" s="116">
        <f>SUM(J72:J86)</f>
        <v>7642.5</v>
      </c>
      <c r="K70" s="117">
        <f>SUM(K72:K86)</f>
        <v>2547.5</v>
      </c>
      <c r="L70" s="128"/>
      <c r="M70" s="109">
        <f>M69/$R$12</f>
        <v>0</v>
      </c>
      <c r="N70" s="109">
        <f t="shared" ref="N70:Q70" si="17">N69/$R$12</f>
        <v>0</v>
      </c>
      <c r="O70" s="109">
        <f t="shared" si="17"/>
        <v>0</v>
      </c>
      <c r="P70" s="109">
        <f t="shared" si="17"/>
        <v>0</v>
      </c>
      <c r="Q70" s="109">
        <f t="shared" si="17"/>
        <v>0</v>
      </c>
    </row>
    <row r="71" spans="1:17" ht="27" customHeight="1" x14ac:dyDescent="0.25">
      <c r="A71" s="118"/>
      <c r="B71" s="119"/>
      <c r="C71" s="120"/>
      <c r="D71" s="121"/>
      <c r="E71" s="120"/>
      <c r="F71" s="121"/>
      <c r="G71" s="118"/>
      <c r="H71" s="118"/>
      <c r="I71" s="118"/>
      <c r="J71" s="118"/>
      <c r="K71" s="118"/>
      <c r="L71" s="128"/>
    </row>
    <row r="72" spans="1:17" ht="27" customHeight="1" x14ac:dyDescent="0.25">
      <c r="A72" s="118">
        <v>4</v>
      </c>
      <c r="B72" s="119" t="s">
        <v>20</v>
      </c>
      <c r="C72" s="120" t="s">
        <v>89</v>
      </c>
      <c r="D72" s="121" t="s">
        <v>90</v>
      </c>
      <c r="E72" s="120" t="s">
        <v>91</v>
      </c>
      <c r="F72" s="121" t="s">
        <v>92</v>
      </c>
      <c r="G72" s="118">
        <f>H7/20/2</f>
        <v>0.125</v>
      </c>
      <c r="H72" s="122">
        <v>3300</v>
      </c>
      <c r="I72" s="123">
        <f t="shared" ref="I72:I86" si="18">H72/$E$2</f>
        <v>1100</v>
      </c>
      <c r="J72" s="122">
        <f>G72*H72</f>
        <v>412.5</v>
      </c>
      <c r="K72" s="123">
        <f>G72*I72</f>
        <v>137.5</v>
      </c>
      <c r="L72" s="124">
        <f>SUM(M72:Q72)</f>
        <v>137.5</v>
      </c>
      <c r="M72" s="123">
        <f>K72-SUM(N72:Q72)</f>
        <v>137.5</v>
      </c>
      <c r="N72" s="123"/>
      <c r="O72" s="118"/>
      <c r="P72" s="118"/>
      <c r="Q72" s="118"/>
    </row>
    <row r="73" spans="1:17" ht="27" customHeight="1" x14ac:dyDescent="0.25">
      <c r="A73" s="118">
        <v>4</v>
      </c>
      <c r="B73" s="119" t="s">
        <v>3</v>
      </c>
      <c r="C73" s="120" t="s">
        <v>93</v>
      </c>
      <c r="D73" s="121" t="s">
        <v>94</v>
      </c>
      <c r="E73" s="120" t="s">
        <v>95</v>
      </c>
      <c r="F73" s="121" t="s">
        <v>96</v>
      </c>
      <c r="G73" s="118">
        <v>50</v>
      </c>
      <c r="H73" s="122">
        <v>0.2</v>
      </c>
      <c r="I73" s="123">
        <f t="shared" si="18"/>
        <v>6.6666666666666666E-2</v>
      </c>
      <c r="J73" s="122">
        <f t="shared" ref="J73:J86" si="19">G73*H73</f>
        <v>10</v>
      </c>
      <c r="K73" s="123">
        <f t="shared" ref="K73:K86" si="20">G73*I73</f>
        <v>3.3333333333333335</v>
      </c>
      <c r="L73" s="124">
        <f t="shared" ref="L73:L86" si="21">SUM(M73:Q73)</f>
        <v>3.3333333333333335</v>
      </c>
      <c r="M73" s="123">
        <f t="shared" ref="M73:M86" si="22">K73-SUM(N73:Q73)</f>
        <v>3.3333333333333335</v>
      </c>
      <c r="N73" s="123"/>
      <c r="O73" s="118"/>
      <c r="P73" s="118"/>
      <c r="Q73" s="118"/>
    </row>
    <row r="74" spans="1:17" ht="27" customHeight="1" x14ac:dyDescent="0.25">
      <c r="A74" s="118">
        <v>4</v>
      </c>
      <c r="B74" s="119" t="s">
        <v>3</v>
      </c>
      <c r="C74" s="120" t="s">
        <v>97</v>
      </c>
      <c r="D74" s="121" t="s">
        <v>98</v>
      </c>
      <c r="E74" s="120" t="s">
        <v>99</v>
      </c>
      <c r="F74" s="121" t="s">
        <v>67</v>
      </c>
      <c r="G74" s="118">
        <f>D9*H7/2</f>
        <v>100</v>
      </c>
      <c r="H74" s="122">
        <v>1</v>
      </c>
      <c r="I74" s="123">
        <f t="shared" si="18"/>
        <v>0.33333333333333331</v>
      </c>
      <c r="J74" s="122">
        <f t="shared" si="19"/>
        <v>100</v>
      </c>
      <c r="K74" s="123">
        <f t="shared" si="20"/>
        <v>33.333333333333329</v>
      </c>
      <c r="L74" s="124">
        <f t="shared" si="21"/>
        <v>33.333333333333329</v>
      </c>
      <c r="M74" s="123">
        <f t="shared" si="22"/>
        <v>23.333333333333329</v>
      </c>
      <c r="N74" s="123"/>
      <c r="O74" s="123">
        <f>0.3*K74</f>
        <v>9.9999999999999982</v>
      </c>
      <c r="P74" s="118"/>
      <c r="Q74" s="118"/>
    </row>
    <row r="75" spans="1:17" ht="27" customHeight="1" x14ac:dyDescent="0.25">
      <c r="A75" s="118">
        <v>4</v>
      </c>
      <c r="B75" s="119" t="s">
        <v>3</v>
      </c>
      <c r="C75" s="120" t="s">
        <v>97</v>
      </c>
      <c r="D75" s="121" t="s">
        <v>98</v>
      </c>
      <c r="E75" s="120" t="s">
        <v>100</v>
      </c>
      <c r="F75" s="121" t="s">
        <v>67</v>
      </c>
      <c r="G75" s="118">
        <f>D9*H7/2</f>
        <v>100</v>
      </c>
      <c r="H75" s="122">
        <v>0.5</v>
      </c>
      <c r="I75" s="123">
        <f t="shared" si="18"/>
        <v>0.16666666666666666</v>
      </c>
      <c r="J75" s="122">
        <f t="shared" si="19"/>
        <v>50</v>
      </c>
      <c r="K75" s="123">
        <f t="shared" si="20"/>
        <v>16.666666666666664</v>
      </c>
      <c r="L75" s="124">
        <f t="shared" si="21"/>
        <v>16.666666666666664</v>
      </c>
      <c r="M75" s="123">
        <f t="shared" si="22"/>
        <v>11.666666666666664</v>
      </c>
      <c r="N75" s="123"/>
      <c r="O75" s="123">
        <f>0.3*K75</f>
        <v>4.9999999999999991</v>
      </c>
      <c r="P75" s="118"/>
      <c r="Q75" s="118"/>
    </row>
    <row r="76" spans="1:17" ht="27" customHeight="1" x14ac:dyDescent="0.25">
      <c r="A76" s="118">
        <v>4</v>
      </c>
      <c r="B76" s="119" t="s">
        <v>21</v>
      </c>
      <c r="C76" s="120" t="s">
        <v>103</v>
      </c>
      <c r="D76" s="121" t="s">
        <v>104</v>
      </c>
      <c r="E76" s="120" t="s">
        <v>105</v>
      </c>
      <c r="F76" s="121" t="s">
        <v>106</v>
      </c>
      <c r="G76" s="118">
        <f>H7*50</f>
        <v>250</v>
      </c>
      <c r="H76" s="122">
        <v>3</v>
      </c>
      <c r="I76" s="123">
        <f t="shared" si="18"/>
        <v>1</v>
      </c>
      <c r="J76" s="122">
        <f t="shared" si="19"/>
        <v>750</v>
      </c>
      <c r="K76" s="123">
        <f t="shared" si="20"/>
        <v>250</v>
      </c>
      <c r="L76" s="124">
        <f t="shared" si="21"/>
        <v>250</v>
      </c>
      <c r="M76" s="123">
        <f t="shared" si="22"/>
        <v>250</v>
      </c>
      <c r="N76" s="123"/>
      <c r="O76" s="118"/>
      <c r="P76" s="118"/>
      <c r="Q76" s="118"/>
    </row>
    <row r="77" spans="1:17" ht="27" customHeight="1" x14ac:dyDescent="0.25">
      <c r="A77" s="118">
        <v>4</v>
      </c>
      <c r="B77" s="119" t="s">
        <v>21</v>
      </c>
      <c r="C77" s="120" t="s">
        <v>107</v>
      </c>
      <c r="D77" s="121" t="s">
        <v>98</v>
      </c>
      <c r="E77" s="120" t="s">
        <v>99</v>
      </c>
      <c r="F77" s="121" t="s">
        <v>108</v>
      </c>
      <c r="G77" s="118">
        <f>H7*D9</f>
        <v>200</v>
      </c>
      <c r="H77" s="118">
        <v>1</v>
      </c>
      <c r="I77" s="123">
        <f t="shared" si="18"/>
        <v>0.33333333333333331</v>
      </c>
      <c r="J77" s="122">
        <f t="shared" si="19"/>
        <v>200</v>
      </c>
      <c r="K77" s="123">
        <f t="shared" si="20"/>
        <v>66.666666666666657</v>
      </c>
      <c r="L77" s="124">
        <f t="shared" si="21"/>
        <v>66.666666666666657</v>
      </c>
      <c r="M77" s="123">
        <f t="shared" si="22"/>
        <v>43.333333333333329</v>
      </c>
      <c r="N77" s="123"/>
      <c r="O77" s="123">
        <f>0.35*K77</f>
        <v>23.333333333333329</v>
      </c>
      <c r="P77" s="118"/>
      <c r="Q77" s="118"/>
    </row>
    <row r="78" spans="1:17" ht="27" customHeight="1" x14ac:dyDescent="0.25">
      <c r="A78" s="118">
        <v>4</v>
      </c>
      <c r="B78" s="119" t="s">
        <v>21</v>
      </c>
      <c r="C78" s="120" t="s">
        <v>107</v>
      </c>
      <c r="D78" s="121" t="s">
        <v>98</v>
      </c>
      <c r="E78" s="120" t="s">
        <v>100</v>
      </c>
      <c r="F78" s="121" t="s">
        <v>108</v>
      </c>
      <c r="G78" s="118">
        <f>H7*D9</f>
        <v>200</v>
      </c>
      <c r="H78" s="118">
        <v>0.5</v>
      </c>
      <c r="I78" s="123">
        <f t="shared" si="18"/>
        <v>0.16666666666666666</v>
      </c>
      <c r="J78" s="122">
        <f t="shared" si="19"/>
        <v>100</v>
      </c>
      <c r="K78" s="123">
        <f t="shared" si="20"/>
        <v>33.333333333333329</v>
      </c>
      <c r="L78" s="124">
        <f t="shared" si="21"/>
        <v>33.333333333333329</v>
      </c>
      <c r="M78" s="123">
        <f t="shared" si="22"/>
        <v>21.666666666666664</v>
      </c>
      <c r="N78" s="123"/>
      <c r="O78" s="123">
        <f>0.35*K78</f>
        <v>11.666666666666664</v>
      </c>
      <c r="P78" s="118"/>
      <c r="Q78" s="118"/>
    </row>
    <row r="79" spans="1:17" ht="27" customHeight="1" x14ac:dyDescent="0.25">
      <c r="A79" s="118">
        <v>4</v>
      </c>
      <c r="B79" s="119" t="s">
        <v>21</v>
      </c>
      <c r="C79" s="120" t="s">
        <v>109</v>
      </c>
      <c r="D79" s="121" t="s">
        <v>110</v>
      </c>
      <c r="E79" s="120" t="s">
        <v>111</v>
      </c>
      <c r="F79" s="121" t="s">
        <v>112</v>
      </c>
      <c r="G79" s="118">
        <f>H7</f>
        <v>5</v>
      </c>
      <c r="H79" s="118">
        <v>30</v>
      </c>
      <c r="I79" s="123">
        <f t="shared" si="18"/>
        <v>10</v>
      </c>
      <c r="J79" s="122">
        <f t="shared" si="19"/>
        <v>150</v>
      </c>
      <c r="K79" s="123">
        <f t="shared" si="20"/>
        <v>50</v>
      </c>
      <c r="L79" s="124">
        <f t="shared" si="21"/>
        <v>50</v>
      </c>
      <c r="M79" s="123">
        <f t="shared" si="22"/>
        <v>50</v>
      </c>
      <c r="N79" s="123"/>
      <c r="O79" s="118"/>
      <c r="P79" s="118"/>
      <c r="Q79" s="118"/>
    </row>
    <row r="80" spans="1:17" ht="27" customHeight="1" x14ac:dyDescent="0.25">
      <c r="A80" s="118">
        <v>4</v>
      </c>
      <c r="B80" s="119" t="s">
        <v>21</v>
      </c>
      <c r="C80" s="120" t="s">
        <v>113</v>
      </c>
      <c r="D80" s="121" t="s">
        <v>114</v>
      </c>
      <c r="E80" s="120" t="s">
        <v>115</v>
      </c>
      <c r="F80" s="121" t="s">
        <v>112</v>
      </c>
      <c r="G80" s="118">
        <f>H7</f>
        <v>5</v>
      </c>
      <c r="H80" s="118">
        <v>150</v>
      </c>
      <c r="I80" s="123">
        <f t="shared" si="18"/>
        <v>50</v>
      </c>
      <c r="J80" s="122">
        <f t="shared" si="19"/>
        <v>750</v>
      </c>
      <c r="K80" s="123">
        <f t="shared" si="20"/>
        <v>250</v>
      </c>
      <c r="L80" s="124">
        <f t="shared" si="21"/>
        <v>250</v>
      </c>
      <c r="M80" s="123">
        <f t="shared" si="22"/>
        <v>0</v>
      </c>
      <c r="N80" s="123"/>
      <c r="O80" s="123">
        <f>K80</f>
        <v>250</v>
      </c>
      <c r="P80" s="118"/>
      <c r="Q80" s="118"/>
    </row>
    <row r="81" spans="1:19" ht="27" customHeight="1" x14ac:dyDescent="0.25">
      <c r="A81" s="118">
        <v>4</v>
      </c>
      <c r="B81" s="119" t="s">
        <v>21</v>
      </c>
      <c r="C81" s="120" t="s">
        <v>160</v>
      </c>
      <c r="D81" s="121" t="s">
        <v>114</v>
      </c>
      <c r="E81" s="120" t="s">
        <v>118</v>
      </c>
      <c r="F81" s="121" t="s">
        <v>119</v>
      </c>
      <c r="G81" s="118">
        <f>H7</f>
        <v>5</v>
      </c>
      <c r="H81" s="118">
        <v>125</v>
      </c>
      <c r="I81" s="123">
        <f t="shared" si="18"/>
        <v>41.666666666666664</v>
      </c>
      <c r="J81" s="122">
        <f t="shared" si="19"/>
        <v>625</v>
      </c>
      <c r="K81" s="123">
        <f t="shared" si="20"/>
        <v>208.33333333333331</v>
      </c>
      <c r="L81" s="124">
        <f t="shared" si="21"/>
        <v>208.33333333333331</v>
      </c>
      <c r="M81" s="123">
        <f t="shared" si="22"/>
        <v>0</v>
      </c>
      <c r="N81" s="123"/>
      <c r="O81" s="118"/>
      <c r="P81" s="118"/>
      <c r="Q81" s="123">
        <f>K81</f>
        <v>208.33333333333331</v>
      </c>
    </row>
    <row r="82" spans="1:19" ht="27" customHeight="1" x14ac:dyDescent="0.25">
      <c r="A82" s="118">
        <v>4</v>
      </c>
      <c r="B82" s="119" t="s">
        <v>21</v>
      </c>
      <c r="C82" s="120" t="s">
        <v>123</v>
      </c>
      <c r="D82" s="121" t="s">
        <v>90</v>
      </c>
      <c r="E82" s="120" t="s">
        <v>91</v>
      </c>
      <c r="F82" s="121" t="s">
        <v>92</v>
      </c>
      <c r="G82" s="118">
        <f>H7/20*2</f>
        <v>0.5</v>
      </c>
      <c r="H82" s="118">
        <v>3300</v>
      </c>
      <c r="I82" s="123">
        <f t="shared" si="18"/>
        <v>1100</v>
      </c>
      <c r="J82" s="122">
        <f t="shared" si="19"/>
        <v>1650</v>
      </c>
      <c r="K82" s="123">
        <f t="shared" si="20"/>
        <v>550</v>
      </c>
      <c r="L82" s="124">
        <f t="shared" si="21"/>
        <v>550</v>
      </c>
      <c r="M82" s="123">
        <f t="shared" si="22"/>
        <v>550</v>
      </c>
      <c r="N82" s="123"/>
      <c r="O82" s="118"/>
      <c r="P82" s="118"/>
      <c r="Q82" s="118"/>
    </row>
    <row r="83" spans="1:19" ht="39" x14ac:dyDescent="0.25">
      <c r="A83" s="118">
        <v>4</v>
      </c>
      <c r="B83" s="129" t="s">
        <v>161</v>
      </c>
      <c r="C83" s="120" t="s">
        <v>93</v>
      </c>
      <c r="D83" s="121" t="s">
        <v>125</v>
      </c>
      <c r="E83" s="120" t="s">
        <v>162</v>
      </c>
      <c r="F83" s="121" t="s">
        <v>136</v>
      </c>
      <c r="G83" s="130">
        <f>H7*100</f>
        <v>500</v>
      </c>
      <c r="H83" s="131">
        <v>0.2</v>
      </c>
      <c r="I83" s="123">
        <f t="shared" si="18"/>
        <v>6.6666666666666666E-2</v>
      </c>
      <c r="J83" s="122">
        <f t="shared" si="19"/>
        <v>100</v>
      </c>
      <c r="K83" s="123">
        <f t="shared" si="20"/>
        <v>33.333333333333336</v>
      </c>
      <c r="L83" s="124">
        <f t="shared" si="21"/>
        <v>33.333333333333336</v>
      </c>
      <c r="M83" s="123">
        <f t="shared" si="22"/>
        <v>33.333333333333336</v>
      </c>
      <c r="N83" s="123"/>
      <c r="O83" s="118"/>
      <c r="P83" s="118"/>
      <c r="Q83" s="118"/>
    </row>
    <row r="84" spans="1:19" ht="27" customHeight="1" x14ac:dyDescent="0.25">
      <c r="A84" s="118">
        <v>4</v>
      </c>
      <c r="B84" s="119" t="s">
        <v>21</v>
      </c>
      <c r="C84" s="120" t="s">
        <v>124</v>
      </c>
      <c r="D84" s="121" t="s">
        <v>125</v>
      </c>
      <c r="E84" s="120" t="s">
        <v>126</v>
      </c>
      <c r="F84" s="121" t="s">
        <v>119</v>
      </c>
      <c r="G84" s="118">
        <f>H7/20</f>
        <v>0.25</v>
      </c>
      <c r="H84" s="118">
        <v>60</v>
      </c>
      <c r="I84" s="123">
        <f t="shared" si="18"/>
        <v>20</v>
      </c>
      <c r="J84" s="122">
        <f t="shared" si="19"/>
        <v>15</v>
      </c>
      <c r="K84" s="123">
        <f t="shared" si="20"/>
        <v>5</v>
      </c>
      <c r="L84" s="124">
        <f t="shared" si="21"/>
        <v>5</v>
      </c>
      <c r="M84" s="123">
        <f t="shared" si="22"/>
        <v>5</v>
      </c>
      <c r="N84" s="123"/>
      <c r="O84" s="118"/>
      <c r="P84" s="118"/>
      <c r="Q84" s="118"/>
    </row>
    <row r="85" spans="1:19" ht="27" customHeight="1" x14ac:dyDescent="0.25">
      <c r="A85" s="118">
        <v>4</v>
      </c>
      <c r="B85" s="119" t="s">
        <v>163</v>
      </c>
      <c r="C85" s="120" t="s">
        <v>139</v>
      </c>
      <c r="D85" s="121" t="s">
        <v>94</v>
      </c>
      <c r="E85" s="120" t="s">
        <v>140</v>
      </c>
      <c r="F85" s="121" t="s">
        <v>92</v>
      </c>
      <c r="G85" s="118">
        <v>4</v>
      </c>
      <c r="H85" s="122">
        <v>600</v>
      </c>
      <c r="I85" s="123">
        <f t="shared" si="18"/>
        <v>200</v>
      </c>
      <c r="J85" s="122">
        <f t="shared" si="19"/>
        <v>2400</v>
      </c>
      <c r="K85" s="123">
        <f t="shared" si="20"/>
        <v>800</v>
      </c>
      <c r="L85" s="124">
        <f t="shared" si="21"/>
        <v>800</v>
      </c>
      <c r="M85" s="123">
        <f t="shared" si="22"/>
        <v>800</v>
      </c>
      <c r="N85" s="118"/>
      <c r="O85" s="118"/>
      <c r="P85" s="118"/>
      <c r="Q85" s="118"/>
    </row>
    <row r="86" spans="1:19" ht="27" customHeight="1" x14ac:dyDescent="0.25">
      <c r="A86" s="118">
        <v>4</v>
      </c>
      <c r="B86" s="119" t="s">
        <v>164</v>
      </c>
      <c r="C86" s="120" t="s">
        <v>128</v>
      </c>
      <c r="D86" s="121" t="s">
        <v>90</v>
      </c>
      <c r="E86" s="120" t="s">
        <v>91</v>
      </c>
      <c r="F86" s="121" t="s">
        <v>92</v>
      </c>
      <c r="G86" s="118">
        <f>2/20</f>
        <v>0.1</v>
      </c>
      <c r="H86" s="118">
        <v>3300</v>
      </c>
      <c r="I86" s="123">
        <f t="shared" si="18"/>
        <v>1100</v>
      </c>
      <c r="J86" s="122">
        <f t="shared" si="19"/>
        <v>330</v>
      </c>
      <c r="K86" s="123">
        <f t="shared" si="20"/>
        <v>110</v>
      </c>
      <c r="L86" s="124">
        <f t="shared" si="21"/>
        <v>110</v>
      </c>
      <c r="M86" s="123">
        <f t="shared" si="22"/>
        <v>110</v>
      </c>
      <c r="N86" s="123"/>
      <c r="O86" s="118"/>
      <c r="P86" s="118"/>
      <c r="Q86" s="118"/>
    </row>
    <row r="87" spans="1:19" x14ac:dyDescent="0.25">
      <c r="A87" s="118"/>
      <c r="B87" s="118"/>
      <c r="C87" s="118"/>
      <c r="D87" s="118"/>
      <c r="E87" s="126"/>
      <c r="F87" s="118"/>
      <c r="G87" s="118"/>
      <c r="H87" s="118"/>
      <c r="I87" s="118"/>
      <c r="J87" s="118"/>
      <c r="K87" s="101"/>
      <c r="L87" s="124"/>
    </row>
    <row r="88" spans="1:19" x14ac:dyDescent="0.25">
      <c r="A88" s="111"/>
      <c r="B88" s="112" t="s">
        <v>22</v>
      </c>
      <c r="C88" s="113"/>
      <c r="D88" s="113"/>
      <c r="E88" s="114"/>
      <c r="F88" s="113"/>
      <c r="G88" s="113"/>
      <c r="H88" s="113"/>
      <c r="I88" s="115"/>
      <c r="J88" s="116">
        <f>SUM(J89:J108)</f>
        <v>132925</v>
      </c>
      <c r="K88" s="117">
        <f>SUM(K89:K108)</f>
        <v>44308.333333333336</v>
      </c>
      <c r="L88" s="124"/>
      <c r="R88" t="s">
        <v>165</v>
      </c>
      <c r="S88" s="122">
        <f>(Q92+Q93+Q97+Q98+Q94)/H6*E2</f>
        <v>600</v>
      </c>
    </row>
    <row r="89" spans="1:19" ht="26.25" x14ac:dyDescent="0.25">
      <c r="A89" s="118">
        <v>5</v>
      </c>
      <c r="B89" s="129" t="s">
        <v>23</v>
      </c>
      <c r="C89" s="120" t="s">
        <v>97</v>
      </c>
      <c r="D89" s="121" t="s">
        <v>98</v>
      </c>
      <c r="E89" s="120" t="s">
        <v>99</v>
      </c>
      <c r="F89" s="121" t="s">
        <v>67</v>
      </c>
      <c r="G89" s="130">
        <f>H5*D8</f>
        <v>1350</v>
      </c>
      <c r="H89" s="131">
        <v>1</v>
      </c>
      <c r="I89" s="123">
        <f>H89/$E$2</f>
        <v>0.33333333333333331</v>
      </c>
      <c r="J89" s="122">
        <f t="shared" ref="J89:J105" si="23">G89*H89</f>
        <v>1350</v>
      </c>
      <c r="K89" s="123">
        <f t="shared" ref="K89:K105" si="24">G89*I89</f>
        <v>450</v>
      </c>
      <c r="L89" s="124">
        <f t="shared" si="5"/>
        <v>450</v>
      </c>
      <c r="M89" s="123">
        <f t="shared" ref="M89:M108" si="25">K89-SUM(N89:Q89)</f>
        <v>67.5</v>
      </c>
      <c r="N89" s="123">
        <f>K89*0.5</f>
        <v>225</v>
      </c>
      <c r="O89" s="123">
        <f>0.35*K89</f>
        <v>157.5</v>
      </c>
      <c r="P89" s="118"/>
      <c r="Q89" s="118"/>
    </row>
    <row r="90" spans="1:19" ht="26.25" x14ac:dyDescent="0.25">
      <c r="A90" s="118">
        <v>5</v>
      </c>
      <c r="B90" s="129" t="s">
        <v>23</v>
      </c>
      <c r="C90" s="120" t="s">
        <v>97</v>
      </c>
      <c r="D90" s="121" t="s">
        <v>98</v>
      </c>
      <c r="E90" s="120" t="s">
        <v>100</v>
      </c>
      <c r="F90" s="121" t="s">
        <v>67</v>
      </c>
      <c r="G90" s="130">
        <f>H5*D8</f>
        <v>1350</v>
      </c>
      <c r="H90" s="131">
        <v>0.5</v>
      </c>
      <c r="I90" s="123">
        <f t="shared" ref="I90:I105" si="26">H90/$E$2</f>
        <v>0.16666666666666666</v>
      </c>
      <c r="J90" s="122">
        <f t="shared" si="23"/>
        <v>675</v>
      </c>
      <c r="K90" s="123">
        <f t="shared" si="24"/>
        <v>225</v>
      </c>
      <c r="L90" s="124">
        <f t="shared" si="5"/>
        <v>225</v>
      </c>
      <c r="M90" s="123">
        <f t="shared" si="25"/>
        <v>33.75</v>
      </c>
      <c r="N90" s="123">
        <f t="shared" ref="N90:N91" si="27">K90*0.5</f>
        <v>112.5</v>
      </c>
      <c r="O90" s="123">
        <f>0.35*K90</f>
        <v>78.75</v>
      </c>
      <c r="P90" s="118"/>
      <c r="Q90" s="118"/>
    </row>
    <row r="91" spans="1:19" ht="26.25" x14ac:dyDescent="0.25">
      <c r="A91" s="118">
        <v>5</v>
      </c>
      <c r="B91" s="129" t="s">
        <v>23</v>
      </c>
      <c r="C91" s="120" t="s">
        <v>166</v>
      </c>
      <c r="D91" s="121" t="s">
        <v>90</v>
      </c>
      <c r="E91" s="120" t="s">
        <v>91</v>
      </c>
      <c r="F91" s="121" t="s">
        <v>92</v>
      </c>
      <c r="G91" s="130">
        <v>1</v>
      </c>
      <c r="H91" s="131">
        <v>3300</v>
      </c>
      <c r="I91" s="123">
        <f t="shared" si="26"/>
        <v>1100</v>
      </c>
      <c r="J91" s="122">
        <f t="shared" si="23"/>
        <v>3300</v>
      </c>
      <c r="K91" s="123">
        <f t="shared" si="24"/>
        <v>1100</v>
      </c>
      <c r="L91" s="124">
        <f t="shared" si="5"/>
        <v>1100</v>
      </c>
      <c r="M91" s="123">
        <f t="shared" si="25"/>
        <v>550</v>
      </c>
      <c r="N91" s="123">
        <f t="shared" si="27"/>
        <v>550</v>
      </c>
      <c r="O91" s="118"/>
      <c r="P91" s="118"/>
      <c r="Q91" s="118"/>
    </row>
    <row r="92" spans="1:19" ht="26.25" x14ac:dyDescent="0.25">
      <c r="A92" s="118">
        <v>5</v>
      </c>
      <c r="B92" s="129" t="s">
        <v>24</v>
      </c>
      <c r="C92" s="120" t="s">
        <v>167</v>
      </c>
      <c r="D92" s="121" t="s">
        <v>131</v>
      </c>
      <c r="E92" s="120" t="s">
        <v>132</v>
      </c>
      <c r="F92" s="121" t="s">
        <v>136</v>
      </c>
      <c r="G92" s="130">
        <f>H6</f>
        <v>100</v>
      </c>
      <c r="H92" s="131">
        <v>160</v>
      </c>
      <c r="I92" s="123">
        <f t="shared" si="26"/>
        <v>53.333333333333336</v>
      </c>
      <c r="J92" s="122">
        <f t="shared" si="23"/>
        <v>16000</v>
      </c>
      <c r="K92" s="123">
        <f t="shared" si="24"/>
        <v>5333.3333333333339</v>
      </c>
      <c r="L92" s="124">
        <f t="shared" si="5"/>
        <v>5333.3333333333339</v>
      </c>
      <c r="M92" s="123">
        <f t="shared" si="25"/>
        <v>0</v>
      </c>
      <c r="N92" s="123">
        <f>0*K92</f>
        <v>0</v>
      </c>
      <c r="O92" s="118"/>
      <c r="P92" s="118"/>
      <c r="Q92" s="123">
        <f>K92*1</f>
        <v>5333.3333333333339</v>
      </c>
    </row>
    <row r="93" spans="1:19" x14ac:dyDescent="0.25">
      <c r="A93" s="118">
        <v>5</v>
      </c>
      <c r="B93" s="129" t="s">
        <v>24</v>
      </c>
      <c r="C93" s="120" t="s">
        <v>168</v>
      </c>
      <c r="D93" s="121" t="s">
        <v>110</v>
      </c>
      <c r="E93" s="120" t="s">
        <v>169</v>
      </c>
      <c r="F93" s="121" t="s">
        <v>136</v>
      </c>
      <c r="G93" s="132">
        <f>H6</f>
        <v>100</v>
      </c>
      <c r="H93" s="132">
        <v>415</v>
      </c>
      <c r="I93" s="123">
        <f t="shared" si="26"/>
        <v>138.33333333333334</v>
      </c>
      <c r="J93" s="122">
        <f t="shared" si="23"/>
        <v>41500</v>
      </c>
      <c r="K93" s="123">
        <f t="shared" si="24"/>
        <v>13833.333333333334</v>
      </c>
      <c r="L93" s="124">
        <f t="shared" si="5"/>
        <v>13833.333333333334</v>
      </c>
      <c r="M93" s="123">
        <f t="shared" si="25"/>
        <v>0</v>
      </c>
      <c r="N93" s="123">
        <f>0*K93</f>
        <v>0</v>
      </c>
      <c r="O93" s="118"/>
      <c r="P93" s="118"/>
      <c r="Q93" s="123">
        <f>K93*1</f>
        <v>13833.333333333334</v>
      </c>
    </row>
    <row r="94" spans="1:19" ht="26.25" x14ac:dyDescent="0.25">
      <c r="A94" s="118">
        <v>5</v>
      </c>
      <c r="B94" s="129" t="s">
        <v>24</v>
      </c>
      <c r="C94" s="120" t="s">
        <v>170</v>
      </c>
      <c r="D94" s="121" t="s">
        <v>90</v>
      </c>
      <c r="E94" s="120" t="s">
        <v>91</v>
      </c>
      <c r="F94" s="121" t="s">
        <v>92</v>
      </c>
      <c r="G94" s="132">
        <f>2500/3300</f>
        <v>0.75757575757575757</v>
      </c>
      <c r="H94" s="132">
        <v>3300</v>
      </c>
      <c r="I94" s="123">
        <f t="shared" si="26"/>
        <v>1100</v>
      </c>
      <c r="J94" s="122">
        <f t="shared" si="23"/>
        <v>2500</v>
      </c>
      <c r="K94" s="123">
        <f t="shared" si="24"/>
        <v>833.33333333333337</v>
      </c>
      <c r="L94" s="124">
        <f t="shared" si="5"/>
        <v>833.33333333333337</v>
      </c>
      <c r="M94" s="123">
        <f t="shared" ref="M94" si="28">K94-SUM(N94:Q94)</f>
        <v>0</v>
      </c>
      <c r="N94" s="123">
        <f>0*K94</f>
        <v>0</v>
      </c>
      <c r="O94" s="118"/>
      <c r="P94" s="118"/>
      <c r="Q94" s="123">
        <f>K94*1</f>
        <v>833.33333333333337</v>
      </c>
    </row>
    <row r="95" spans="1:19" ht="26.25" x14ac:dyDescent="0.25">
      <c r="A95" s="118">
        <v>5</v>
      </c>
      <c r="B95" s="129" t="s">
        <v>25</v>
      </c>
      <c r="C95" s="120" t="s">
        <v>97</v>
      </c>
      <c r="D95" s="121" t="s">
        <v>98</v>
      </c>
      <c r="E95" s="120" t="s">
        <v>99</v>
      </c>
      <c r="F95" s="121" t="s">
        <v>67</v>
      </c>
      <c r="G95" s="130">
        <f>5*H5*D8</f>
        <v>6750</v>
      </c>
      <c r="H95" s="131">
        <v>1</v>
      </c>
      <c r="I95" s="123">
        <f t="shared" si="26"/>
        <v>0.33333333333333331</v>
      </c>
      <c r="J95" s="122">
        <f t="shared" si="23"/>
        <v>6750</v>
      </c>
      <c r="K95" s="123">
        <f t="shared" si="24"/>
        <v>2250</v>
      </c>
      <c r="L95" s="124">
        <f t="shared" si="5"/>
        <v>2250</v>
      </c>
      <c r="M95" s="123">
        <f t="shared" si="25"/>
        <v>562.5</v>
      </c>
      <c r="N95" s="123">
        <f>0.4*K95</f>
        <v>900</v>
      </c>
      <c r="O95" s="123">
        <f>0.35*K95</f>
        <v>787.5</v>
      </c>
      <c r="P95" s="118"/>
      <c r="Q95" s="118"/>
    </row>
    <row r="96" spans="1:19" ht="26.25" x14ac:dyDescent="0.25">
      <c r="A96" s="118">
        <v>5</v>
      </c>
      <c r="B96" s="129" t="s">
        <v>25</v>
      </c>
      <c r="C96" s="120" t="s">
        <v>97</v>
      </c>
      <c r="D96" s="133" t="s">
        <v>98</v>
      </c>
      <c r="E96" s="120" t="s">
        <v>100</v>
      </c>
      <c r="F96" s="121" t="s">
        <v>67</v>
      </c>
      <c r="G96" s="130">
        <f>5*H5*D8</f>
        <v>6750</v>
      </c>
      <c r="H96" s="131">
        <v>0.5</v>
      </c>
      <c r="I96" s="123">
        <f t="shared" si="26"/>
        <v>0.16666666666666666</v>
      </c>
      <c r="J96" s="122">
        <f t="shared" si="23"/>
        <v>3375</v>
      </c>
      <c r="K96" s="123">
        <f t="shared" si="24"/>
        <v>1125</v>
      </c>
      <c r="L96" s="124">
        <f t="shared" si="5"/>
        <v>1125</v>
      </c>
      <c r="M96" s="123">
        <f t="shared" si="25"/>
        <v>281.25</v>
      </c>
      <c r="N96" s="123">
        <f t="shared" ref="N96" si="29">0.4*K96</f>
        <v>450</v>
      </c>
      <c r="O96" s="123">
        <f>0.35*K96</f>
        <v>393.75</v>
      </c>
      <c r="P96" s="118"/>
      <c r="Q96" s="118"/>
    </row>
    <row r="97" spans="1:19" ht="26.25" x14ac:dyDescent="0.25">
      <c r="A97" s="118">
        <v>5</v>
      </c>
      <c r="B97" s="129" t="s">
        <v>25</v>
      </c>
      <c r="C97" s="120" t="s">
        <v>171</v>
      </c>
      <c r="D97" s="121" t="s">
        <v>131</v>
      </c>
      <c r="E97" s="120" t="s">
        <v>132</v>
      </c>
      <c r="F97" s="121" t="s">
        <v>119</v>
      </c>
      <c r="G97" s="132">
        <f>H6</f>
        <v>100</v>
      </c>
      <c r="H97" s="132">
        <v>100</v>
      </c>
      <c r="I97" s="123">
        <f t="shared" si="26"/>
        <v>33.333333333333336</v>
      </c>
      <c r="J97" s="122">
        <f t="shared" si="23"/>
        <v>10000</v>
      </c>
      <c r="K97" s="123">
        <f t="shared" si="24"/>
        <v>3333.3333333333335</v>
      </c>
      <c r="L97" s="124">
        <f t="shared" si="5"/>
        <v>3333.3333333333335</v>
      </c>
      <c r="M97" s="123">
        <f t="shared" si="25"/>
        <v>1666.6666666666667</v>
      </c>
      <c r="N97" s="123">
        <f>0.5*K97</f>
        <v>1666.6666666666667</v>
      </c>
      <c r="O97" s="118"/>
      <c r="P97" s="118"/>
      <c r="Q97" s="123"/>
    </row>
    <row r="98" spans="1:19" x14ac:dyDescent="0.25">
      <c r="A98" s="118">
        <v>5</v>
      </c>
      <c r="B98" s="129" t="s">
        <v>25</v>
      </c>
      <c r="C98" s="120" t="s">
        <v>172</v>
      </c>
      <c r="D98" s="121" t="s">
        <v>110</v>
      </c>
      <c r="E98" s="120" t="s">
        <v>169</v>
      </c>
      <c r="F98" s="121" t="s">
        <v>136</v>
      </c>
      <c r="G98" s="132">
        <f>H6</f>
        <v>100</v>
      </c>
      <c r="H98" s="132">
        <v>65</v>
      </c>
      <c r="I98" s="123">
        <f t="shared" si="26"/>
        <v>21.666666666666668</v>
      </c>
      <c r="J98" s="122">
        <f t="shared" si="23"/>
        <v>6500</v>
      </c>
      <c r="K98" s="123">
        <f t="shared" si="24"/>
        <v>2166.666666666667</v>
      </c>
      <c r="L98" s="124">
        <f t="shared" ref="L98:L164" si="30">SUM(M98:Q98)</f>
        <v>2166.666666666667</v>
      </c>
      <c r="M98" s="123">
        <f t="shared" si="25"/>
        <v>1083.3333333333335</v>
      </c>
      <c r="N98" s="123">
        <f t="shared" ref="N98:N108" si="31">0.5*K98</f>
        <v>1083.3333333333335</v>
      </c>
      <c r="O98" s="118"/>
      <c r="P98" s="118"/>
      <c r="Q98" s="123"/>
    </row>
    <row r="99" spans="1:19" ht="26.25" x14ac:dyDescent="0.25">
      <c r="A99" s="118">
        <v>5</v>
      </c>
      <c r="B99" s="129" t="s">
        <v>26</v>
      </c>
      <c r="C99" s="120" t="s">
        <v>171</v>
      </c>
      <c r="D99" s="121" t="s">
        <v>131</v>
      </c>
      <c r="E99" s="120" t="s">
        <v>132</v>
      </c>
      <c r="F99" s="121" t="s">
        <v>119</v>
      </c>
      <c r="G99" s="132">
        <f>H6/2</f>
        <v>50</v>
      </c>
      <c r="H99" s="132">
        <v>100</v>
      </c>
      <c r="I99" s="123">
        <f t="shared" si="26"/>
        <v>33.333333333333336</v>
      </c>
      <c r="J99" s="122">
        <f t="shared" si="23"/>
        <v>5000</v>
      </c>
      <c r="K99" s="123">
        <f t="shared" si="24"/>
        <v>1666.6666666666667</v>
      </c>
      <c r="L99" s="124">
        <f t="shared" si="30"/>
        <v>1666.6666666666667</v>
      </c>
      <c r="M99" s="123">
        <f t="shared" ref="M99:M100" si="32">K99-SUM(N99:Q99)</f>
        <v>750</v>
      </c>
      <c r="N99" s="123">
        <f>0.3*K99</f>
        <v>500</v>
      </c>
      <c r="O99" s="118"/>
      <c r="P99" s="118"/>
      <c r="Q99" s="123">
        <f>K99*0.25</f>
        <v>416.66666666666669</v>
      </c>
    </row>
    <row r="100" spans="1:19" x14ac:dyDescent="0.25">
      <c r="A100" s="118">
        <v>5</v>
      </c>
      <c r="B100" s="129" t="s">
        <v>26</v>
      </c>
      <c r="C100" s="120" t="s">
        <v>172</v>
      </c>
      <c r="D100" s="121" t="s">
        <v>110</v>
      </c>
      <c r="E100" s="120" t="s">
        <v>169</v>
      </c>
      <c r="F100" s="121" t="s">
        <v>136</v>
      </c>
      <c r="G100" s="132">
        <f>H6/2</f>
        <v>50</v>
      </c>
      <c r="H100" s="132">
        <v>250</v>
      </c>
      <c r="I100" s="123">
        <f t="shared" si="26"/>
        <v>83.333333333333329</v>
      </c>
      <c r="J100" s="122">
        <f t="shared" si="23"/>
        <v>12500</v>
      </c>
      <c r="K100" s="123">
        <f t="shared" si="24"/>
        <v>4166.6666666666661</v>
      </c>
      <c r="L100" s="124">
        <f t="shared" si="30"/>
        <v>4166.6666666666661</v>
      </c>
      <c r="M100" s="123">
        <f t="shared" si="32"/>
        <v>1875</v>
      </c>
      <c r="N100" s="123">
        <f>0.3*K100</f>
        <v>1249.9999999999998</v>
      </c>
      <c r="O100" s="118"/>
      <c r="P100" s="118"/>
      <c r="Q100" s="123">
        <f>K100*0.25</f>
        <v>1041.6666666666665</v>
      </c>
    </row>
    <row r="101" spans="1:19" ht="51.75" x14ac:dyDescent="0.25">
      <c r="A101" s="118">
        <v>5</v>
      </c>
      <c r="B101" s="129" t="s">
        <v>25</v>
      </c>
      <c r="C101" s="120" t="s">
        <v>158</v>
      </c>
      <c r="D101" s="121" t="s">
        <v>110</v>
      </c>
      <c r="E101" s="120" t="s">
        <v>149</v>
      </c>
      <c r="F101" s="121" t="s">
        <v>136</v>
      </c>
      <c r="G101" s="132">
        <v>1</v>
      </c>
      <c r="H101" s="132">
        <v>1500</v>
      </c>
      <c r="I101" s="123">
        <f t="shared" si="26"/>
        <v>500</v>
      </c>
      <c r="J101" s="122">
        <f t="shared" si="23"/>
        <v>1500</v>
      </c>
      <c r="K101" s="123">
        <f t="shared" si="24"/>
        <v>500</v>
      </c>
      <c r="L101" s="124">
        <f t="shared" si="30"/>
        <v>500</v>
      </c>
      <c r="M101" s="123">
        <f t="shared" si="25"/>
        <v>250</v>
      </c>
      <c r="N101" s="123">
        <f t="shared" si="31"/>
        <v>250</v>
      </c>
      <c r="O101" s="118"/>
      <c r="P101" s="118"/>
      <c r="Q101" s="123"/>
    </row>
    <row r="102" spans="1:19" ht="26.25" x14ac:dyDescent="0.25">
      <c r="A102" s="118">
        <v>5</v>
      </c>
      <c r="B102" s="129" t="s">
        <v>25</v>
      </c>
      <c r="C102" s="120" t="s">
        <v>173</v>
      </c>
      <c r="D102" s="121" t="s">
        <v>90</v>
      </c>
      <c r="E102" s="120" t="s">
        <v>91</v>
      </c>
      <c r="F102" s="121" t="s">
        <v>92</v>
      </c>
      <c r="G102" s="130">
        <f>4*H5/20</f>
        <v>3</v>
      </c>
      <c r="H102" s="131">
        <v>3300</v>
      </c>
      <c r="I102" s="123">
        <f t="shared" si="26"/>
        <v>1100</v>
      </c>
      <c r="J102" s="122">
        <f t="shared" si="23"/>
        <v>9900</v>
      </c>
      <c r="K102" s="123">
        <f t="shared" si="24"/>
        <v>3300</v>
      </c>
      <c r="L102" s="124">
        <f t="shared" si="30"/>
        <v>3300</v>
      </c>
      <c r="M102" s="123">
        <f t="shared" si="25"/>
        <v>330</v>
      </c>
      <c r="N102" s="123">
        <f t="shared" si="31"/>
        <v>1650</v>
      </c>
      <c r="O102" s="118"/>
      <c r="P102" s="123">
        <f>K102*0.4</f>
        <v>1320</v>
      </c>
      <c r="Q102" s="118"/>
    </row>
    <row r="103" spans="1:19" ht="26.25" x14ac:dyDescent="0.25">
      <c r="A103" s="118">
        <v>5</v>
      </c>
      <c r="B103" s="129" t="s">
        <v>174</v>
      </c>
      <c r="C103" s="120" t="s">
        <v>175</v>
      </c>
      <c r="D103" s="121" t="s">
        <v>94</v>
      </c>
      <c r="E103" s="120" t="s">
        <v>135</v>
      </c>
      <c r="F103" s="121" t="s">
        <v>136</v>
      </c>
      <c r="G103" s="130">
        <v>1</v>
      </c>
      <c r="H103" s="131">
        <v>500</v>
      </c>
      <c r="I103" s="123">
        <f t="shared" si="26"/>
        <v>166.66666666666666</v>
      </c>
      <c r="J103" s="122">
        <f t="shared" si="23"/>
        <v>500</v>
      </c>
      <c r="K103" s="123">
        <f t="shared" si="24"/>
        <v>166.66666666666666</v>
      </c>
      <c r="L103" s="124">
        <f t="shared" si="30"/>
        <v>166.66666666666666</v>
      </c>
      <c r="M103" s="123">
        <f t="shared" si="25"/>
        <v>83.333333333333329</v>
      </c>
      <c r="N103" s="123">
        <f t="shared" si="31"/>
        <v>83.333333333333329</v>
      </c>
      <c r="O103" s="118"/>
      <c r="P103" s="118"/>
      <c r="Q103" s="118"/>
    </row>
    <row r="104" spans="1:19" ht="51.75" x14ac:dyDescent="0.25">
      <c r="A104" s="118">
        <v>5</v>
      </c>
      <c r="B104" s="129" t="s">
        <v>176</v>
      </c>
      <c r="C104" s="120" t="s">
        <v>93</v>
      </c>
      <c r="D104" s="121" t="s">
        <v>94</v>
      </c>
      <c r="E104" s="120" t="s">
        <v>95</v>
      </c>
      <c r="F104" s="121" t="s">
        <v>136</v>
      </c>
      <c r="G104" s="130">
        <f>H6*2</f>
        <v>200</v>
      </c>
      <c r="H104" s="131">
        <v>5</v>
      </c>
      <c r="I104" s="123">
        <f t="shared" si="26"/>
        <v>1.6666666666666667</v>
      </c>
      <c r="J104" s="122">
        <f t="shared" si="23"/>
        <v>1000</v>
      </c>
      <c r="K104" s="123">
        <f t="shared" si="24"/>
        <v>333.33333333333337</v>
      </c>
      <c r="L104" s="124">
        <f t="shared" si="30"/>
        <v>333.33333333333337</v>
      </c>
      <c r="M104" s="123">
        <f t="shared" si="25"/>
        <v>166.66666666666669</v>
      </c>
      <c r="N104" s="123">
        <f t="shared" si="31"/>
        <v>166.66666666666669</v>
      </c>
      <c r="O104" s="118"/>
      <c r="P104" s="118"/>
      <c r="Q104" s="118"/>
    </row>
    <row r="105" spans="1:19" ht="39" x14ac:dyDescent="0.25">
      <c r="A105" s="118">
        <v>5</v>
      </c>
      <c r="B105" s="129" t="s">
        <v>161</v>
      </c>
      <c r="C105" s="120" t="s">
        <v>93</v>
      </c>
      <c r="D105" s="121" t="s">
        <v>125</v>
      </c>
      <c r="E105" s="120" t="s">
        <v>162</v>
      </c>
      <c r="F105" s="121" t="s">
        <v>136</v>
      </c>
      <c r="G105" s="130">
        <f>H6*15</f>
        <v>1500</v>
      </c>
      <c r="H105" s="131">
        <v>0.2</v>
      </c>
      <c r="I105" s="123">
        <f t="shared" si="26"/>
        <v>6.6666666666666666E-2</v>
      </c>
      <c r="J105" s="122">
        <f t="shared" si="23"/>
        <v>300</v>
      </c>
      <c r="K105" s="123">
        <f t="shared" si="24"/>
        <v>100</v>
      </c>
      <c r="L105" s="124">
        <f t="shared" si="30"/>
        <v>100</v>
      </c>
      <c r="M105" s="123">
        <f t="shared" si="25"/>
        <v>50</v>
      </c>
      <c r="N105" s="123">
        <f t="shared" si="31"/>
        <v>50</v>
      </c>
      <c r="O105" s="118"/>
      <c r="P105" s="118"/>
      <c r="Q105" s="118"/>
    </row>
    <row r="106" spans="1:19" ht="26.25" x14ac:dyDescent="0.25">
      <c r="A106" s="118">
        <v>5</v>
      </c>
      <c r="B106" s="129" t="s">
        <v>27</v>
      </c>
      <c r="C106" s="120" t="s">
        <v>97</v>
      </c>
      <c r="D106" s="121" t="s">
        <v>98</v>
      </c>
      <c r="E106" s="120" t="s">
        <v>99</v>
      </c>
      <c r="F106" s="121" t="s">
        <v>67</v>
      </c>
      <c r="G106" s="130">
        <f>H5*D8</f>
        <v>1350</v>
      </c>
      <c r="H106" s="131">
        <v>1</v>
      </c>
      <c r="I106" s="123">
        <f>H106/$E$2</f>
        <v>0.33333333333333331</v>
      </c>
      <c r="J106" s="122">
        <f>G106*H106</f>
        <v>1350</v>
      </c>
      <c r="K106" s="123">
        <f>G106*I106</f>
        <v>450</v>
      </c>
      <c r="L106" s="124">
        <f t="shared" si="30"/>
        <v>450</v>
      </c>
      <c r="M106" s="123">
        <f t="shared" si="25"/>
        <v>225</v>
      </c>
      <c r="N106" s="123">
        <f t="shared" si="31"/>
        <v>225</v>
      </c>
      <c r="O106" s="118"/>
      <c r="P106" s="118"/>
      <c r="Q106" s="118"/>
    </row>
    <row r="107" spans="1:19" ht="26.25" x14ac:dyDescent="0.25">
      <c r="A107" s="118">
        <v>5</v>
      </c>
      <c r="B107" s="129" t="s">
        <v>27</v>
      </c>
      <c r="C107" s="120" t="s">
        <v>97</v>
      </c>
      <c r="D107" s="121" t="s">
        <v>98</v>
      </c>
      <c r="E107" s="120" t="s">
        <v>100</v>
      </c>
      <c r="F107" s="121" t="s">
        <v>67</v>
      </c>
      <c r="G107" s="130">
        <f>H5*D8</f>
        <v>1350</v>
      </c>
      <c r="H107" s="131">
        <v>0.5</v>
      </c>
      <c r="I107" s="123">
        <f>H107/$E$2</f>
        <v>0.16666666666666666</v>
      </c>
      <c r="J107" s="122">
        <f>G107*H107</f>
        <v>675</v>
      </c>
      <c r="K107" s="123">
        <f>G107*I107</f>
        <v>225</v>
      </c>
      <c r="L107" s="124">
        <f t="shared" si="30"/>
        <v>225</v>
      </c>
      <c r="M107" s="123">
        <f t="shared" si="25"/>
        <v>112.5</v>
      </c>
      <c r="N107" s="123">
        <f t="shared" si="31"/>
        <v>112.5</v>
      </c>
      <c r="O107" s="118"/>
      <c r="P107" s="118"/>
      <c r="Q107" s="118"/>
    </row>
    <row r="108" spans="1:19" ht="26.25" x14ac:dyDescent="0.25">
      <c r="A108" s="118">
        <v>5</v>
      </c>
      <c r="B108" s="129" t="s">
        <v>27</v>
      </c>
      <c r="C108" s="120" t="s">
        <v>177</v>
      </c>
      <c r="D108" s="121" t="s">
        <v>90</v>
      </c>
      <c r="E108" s="120" t="s">
        <v>91</v>
      </c>
      <c r="F108" s="121" t="s">
        <v>92</v>
      </c>
      <c r="G108" s="130">
        <f>0.5*H6/20</f>
        <v>2.5</v>
      </c>
      <c r="H108" s="131">
        <v>3300</v>
      </c>
      <c r="I108" s="123">
        <f>H108/$E$2</f>
        <v>1100</v>
      </c>
      <c r="J108" s="122">
        <f>G108*H108</f>
        <v>8250</v>
      </c>
      <c r="K108" s="123">
        <f>G108*I108</f>
        <v>2750</v>
      </c>
      <c r="L108" s="124">
        <f t="shared" si="30"/>
        <v>2750</v>
      </c>
      <c r="M108" s="123">
        <f t="shared" si="25"/>
        <v>1375</v>
      </c>
      <c r="N108" s="123">
        <f t="shared" si="31"/>
        <v>1375</v>
      </c>
      <c r="O108" s="118"/>
      <c r="P108" s="118"/>
      <c r="Q108" s="118"/>
    </row>
    <row r="109" spans="1:19" x14ac:dyDescent="0.25">
      <c r="B109" s="134"/>
      <c r="C109" s="135"/>
      <c r="D109" s="136"/>
      <c r="E109" s="135"/>
      <c r="F109" s="136"/>
      <c r="G109" s="137"/>
      <c r="H109" s="138"/>
      <c r="I109" s="139"/>
      <c r="J109" s="140"/>
      <c r="K109" s="139"/>
      <c r="L109" s="124"/>
    </row>
    <row r="110" spans="1:19" x14ac:dyDescent="0.25">
      <c r="K110" s="101"/>
      <c r="L110" s="124"/>
    </row>
    <row r="111" spans="1:19" x14ac:dyDescent="0.25">
      <c r="A111" s="111"/>
      <c r="B111" s="112" t="s">
        <v>30</v>
      </c>
      <c r="C111" s="113"/>
      <c r="D111" s="113"/>
      <c r="E111" s="114"/>
      <c r="F111" s="113"/>
      <c r="G111" s="113"/>
      <c r="H111" s="113"/>
      <c r="I111" s="115"/>
      <c r="J111" s="116">
        <f>SUM(J112:J129)</f>
        <v>51597.5</v>
      </c>
      <c r="K111" s="117">
        <f>SUM(K112:K129)</f>
        <v>17199.166666666668</v>
      </c>
      <c r="L111" s="124"/>
      <c r="R111" t="s">
        <v>165</v>
      </c>
      <c r="S111" s="122">
        <f>(Q115+Q116+Q117+Q122+Q123)/H8*E2</f>
        <v>635.75</v>
      </c>
    </row>
    <row r="112" spans="1:19" ht="26.25" x14ac:dyDescent="0.25">
      <c r="A112" s="118">
        <v>6</v>
      </c>
      <c r="B112" s="129" t="s">
        <v>31</v>
      </c>
      <c r="C112" s="120" t="s">
        <v>97</v>
      </c>
      <c r="D112" s="121" t="s">
        <v>98</v>
      </c>
      <c r="E112" s="120" t="s">
        <v>99</v>
      </c>
      <c r="F112" s="121" t="s">
        <v>67</v>
      </c>
      <c r="G112" s="130">
        <f>H8*D9/5</f>
        <v>400</v>
      </c>
      <c r="H112" s="131">
        <v>1</v>
      </c>
      <c r="I112" s="123">
        <f>H112/$E$2</f>
        <v>0.33333333333333331</v>
      </c>
      <c r="J112" s="122">
        <f t="shared" ref="J112:J126" si="33">G112*H112</f>
        <v>400</v>
      </c>
      <c r="K112" s="123">
        <f t="shared" ref="K112:K126" si="34">G112*I112</f>
        <v>133.33333333333331</v>
      </c>
      <c r="L112" s="124">
        <f t="shared" ref="L112:L129" si="35">SUM(M112:Q112)</f>
        <v>133.33333333333331</v>
      </c>
      <c r="M112" s="123">
        <f t="shared" ref="M112:M116" si="36">K112-SUM(N112:Q112)</f>
        <v>86.666666666666657</v>
      </c>
      <c r="N112" s="123"/>
      <c r="O112" s="123">
        <f>0.35*K112</f>
        <v>46.666666666666657</v>
      </c>
      <c r="P112" s="118"/>
      <c r="Q112" s="118"/>
    </row>
    <row r="113" spans="1:17" ht="26.25" x14ac:dyDescent="0.25">
      <c r="A113" s="118">
        <v>6</v>
      </c>
      <c r="B113" s="129" t="s">
        <v>31</v>
      </c>
      <c r="C113" s="120" t="s">
        <v>97</v>
      </c>
      <c r="D113" s="121" t="s">
        <v>98</v>
      </c>
      <c r="E113" s="120" t="s">
        <v>100</v>
      </c>
      <c r="F113" s="121" t="s">
        <v>67</v>
      </c>
      <c r="G113" s="130">
        <f>H8*D9/5</f>
        <v>400</v>
      </c>
      <c r="H113" s="131">
        <v>0.5</v>
      </c>
      <c r="I113" s="123">
        <f t="shared" ref="I113:I126" si="37">H113/$E$2</f>
        <v>0.16666666666666666</v>
      </c>
      <c r="J113" s="122">
        <f t="shared" si="33"/>
        <v>200</v>
      </c>
      <c r="K113" s="123">
        <f t="shared" si="34"/>
        <v>66.666666666666657</v>
      </c>
      <c r="L113" s="124">
        <f t="shared" si="35"/>
        <v>66.666666666666657</v>
      </c>
      <c r="M113" s="123">
        <f t="shared" si="36"/>
        <v>43.333333333333329</v>
      </c>
      <c r="N113" s="123"/>
      <c r="O113" s="123">
        <f>0.35*K113</f>
        <v>23.333333333333329</v>
      </c>
      <c r="P113" s="118"/>
      <c r="Q113" s="118"/>
    </row>
    <row r="114" spans="1:17" ht="26.25" x14ac:dyDescent="0.25">
      <c r="A114" s="118">
        <v>6</v>
      </c>
      <c r="B114" s="129" t="s">
        <v>31</v>
      </c>
      <c r="C114" s="120" t="s">
        <v>166</v>
      </c>
      <c r="D114" s="121" t="s">
        <v>90</v>
      </c>
      <c r="E114" s="120" t="s">
        <v>91</v>
      </c>
      <c r="F114" s="121" t="s">
        <v>92</v>
      </c>
      <c r="G114" s="130">
        <f>H8/5/20</f>
        <v>0.5</v>
      </c>
      <c r="H114" s="131">
        <v>3300</v>
      </c>
      <c r="I114" s="123">
        <f t="shared" si="37"/>
        <v>1100</v>
      </c>
      <c r="J114" s="122">
        <f t="shared" si="33"/>
        <v>1650</v>
      </c>
      <c r="K114" s="123">
        <f t="shared" si="34"/>
        <v>550</v>
      </c>
      <c r="L114" s="124">
        <f t="shared" si="35"/>
        <v>550</v>
      </c>
      <c r="M114" s="123">
        <f t="shared" si="36"/>
        <v>550</v>
      </c>
      <c r="N114" s="123"/>
      <c r="O114" s="118"/>
      <c r="P114" s="118"/>
      <c r="Q114" s="118"/>
    </row>
    <row r="115" spans="1:17" ht="26.25" x14ac:dyDescent="0.25">
      <c r="A115" s="118">
        <v>6</v>
      </c>
      <c r="B115" s="129" t="s">
        <v>32</v>
      </c>
      <c r="C115" s="120" t="s">
        <v>167</v>
      </c>
      <c r="D115" s="121" t="s">
        <v>131</v>
      </c>
      <c r="E115" s="120" t="s">
        <v>132</v>
      </c>
      <c r="F115" s="121" t="s">
        <v>136</v>
      </c>
      <c r="G115" s="130">
        <f>H8</f>
        <v>50</v>
      </c>
      <c r="H115" s="131">
        <v>160</v>
      </c>
      <c r="I115" s="123">
        <f t="shared" si="37"/>
        <v>53.333333333333336</v>
      </c>
      <c r="J115" s="122">
        <f t="shared" si="33"/>
        <v>8000</v>
      </c>
      <c r="K115" s="123">
        <f t="shared" si="34"/>
        <v>2666.666666666667</v>
      </c>
      <c r="L115" s="124">
        <f t="shared" si="35"/>
        <v>2666.666666666667</v>
      </c>
      <c r="M115" s="123">
        <f t="shared" si="36"/>
        <v>0</v>
      </c>
      <c r="N115" s="123"/>
      <c r="O115" s="118"/>
      <c r="P115" s="118"/>
      <c r="Q115" s="123">
        <f>K115*1</f>
        <v>2666.666666666667</v>
      </c>
    </row>
    <row r="116" spans="1:17" x14ac:dyDescent="0.25">
      <c r="A116" s="118">
        <v>6</v>
      </c>
      <c r="B116" s="129" t="s">
        <v>32</v>
      </c>
      <c r="C116" s="120" t="s">
        <v>168</v>
      </c>
      <c r="D116" s="121" t="s">
        <v>110</v>
      </c>
      <c r="E116" s="120" t="s">
        <v>169</v>
      </c>
      <c r="F116" s="121" t="s">
        <v>136</v>
      </c>
      <c r="G116" s="132">
        <f>H8</f>
        <v>50</v>
      </c>
      <c r="H116" s="132">
        <v>415</v>
      </c>
      <c r="I116" s="123">
        <f t="shared" si="37"/>
        <v>138.33333333333334</v>
      </c>
      <c r="J116" s="122">
        <f t="shared" si="33"/>
        <v>20750</v>
      </c>
      <c r="K116" s="123">
        <f t="shared" si="34"/>
        <v>6916.666666666667</v>
      </c>
      <c r="L116" s="124">
        <f t="shared" si="35"/>
        <v>6916.666666666667</v>
      </c>
      <c r="M116" s="123">
        <f t="shared" si="36"/>
        <v>0</v>
      </c>
      <c r="N116" s="123"/>
      <c r="O116" s="118"/>
      <c r="P116" s="118"/>
      <c r="Q116" s="123">
        <f>K116*1</f>
        <v>6916.666666666667</v>
      </c>
    </row>
    <row r="117" spans="1:17" ht="26.25" x14ac:dyDescent="0.25">
      <c r="A117" s="118">
        <v>6</v>
      </c>
      <c r="B117" s="129" t="s">
        <v>32</v>
      </c>
      <c r="C117" s="120" t="s">
        <v>170</v>
      </c>
      <c r="D117" s="121" t="s">
        <v>90</v>
      </c>
      <c r="E117" s="120" t="s">
        <v>91</v>
      </c>
      <c r="F117" s="121" t="s">
        <v>92</v>
      </c>
      <c r="G117" s="132">
        <f>(H8/10)*0.5/20</f>
        <v>0.125</v>
      </c>
      <c r="H117" s="132">
        <v>3300</v>
      </c>
      <c r="I117" s="123">
        <f t="shared" si="37"/>
        <v>1100</v>
      </c>
      <c r="J117" s="122">
        <f t="shared" si="33"/>
        <v>412.5</v>
      </c>
      <c r="K117" s="123">
        <f t="shared" si="34"/>
        <v>137.5</v>
      </c>
      <c r="L117" s="124">
        <f t="shared" si="35"/>
        <v>137.5</v>
      </c>
      <c r="M117" s="123">
        <f t="shared" ref="M117" si="38">K117-SUM(N117:Q117)</f>
        <v>0</v>
      </c>
      <c r="N117" s="123"/>
      <c r="O117" s="118"/>
      <c r="P117" s="118"/>
      <c r="Q117" s="123">
        <f>K117*1</f>
        <v>137.5</v>
      </c>
    </row>
    <row r="118" spans="1:17" ht="26.25" x14ac:dyDescent="0.25">
      <c r="A118" s="118">
        <v>6</v>
      </c>
      <c r="B118" s="129" t="s">
        <v>33</v>
      </c>
      <c r="C118" s="120" t="s">
        <v>97</v>
      </c>
      <c r="D118" s="121" t="s">
        <v>98</v>
      </c>
      <c r="E118" s="120" t="s">
        <v>99</v>
      </c>
      <c r="F118" s="121" t="s">
        <v>67</v>
      </c>
      <c r="G118" s="130">
        <f>H8/2*D9*0.5</f>
        <v>500</v>
      </c>
      <c r="H118" s="131">
        <v>1</v>
      </c>
      <c r="I118" s="123">
        <f t="shared" si="37"/>
        <v>0.33333333333333331</v>
      </c>
      <c r="J118" s="122">
        <f t="shared" si="33"/>
        <v>500</v>
      </c>
      <c r="K118" s="123">
        <f t="shared" si="34"/>
        <v>166.66666666666666</v>
      </c>
      <c r="L118" s="124">
        <f t="shared" si="35"/>
        <v>166.66666666666666</v>
      </c>
      <c r="M118" s="123">
        <f t="shared" ref="M118:M129" si="39">K118-SUM(N118:Q118)</f>
        <v>108.33333333333333</v>
      </c>
      <c r="N118" s="123"/>
      <c r="O118" s="123">
        <f>0.35*K118</f>
        <v>58.333333333333329</v>
      </c>
      <c r="P118" s="118"/>
      <c r="Q118" s="118"/>
    </row>
    <row r="119" spans="1:17" ht="26.25" x14ac:dyDescent="0.25">
      <c r="A119" s="118">
        <v>6</v>
      </c>
      <c r="B119" s="129" t="s">
        <v>33</v>
      </c>
      <c r="C119" s="120" t="s">
        <v>97</v>
      </c>
      <c r="D119" s="133" t="s">
        <v>98</v>
      </c>
      <c r="E119" s="120" t="s">
        <v>100</v>
      </c>
      <c r="F119" s="121" t="s">
        <v>67</v>
      </c>
      <c r="G119" s="130">
        <f>H8/2*D9*0.5</f>
        <v>500</v>
      </c>
      <c r="H119" s="131">
        <v>0.5</v>
      </c>
      <c r="I119" s="123">
        <f t="shared" si="37"/>
        <v>0.16666666666666666</v>
      </c>
      <c r="J119" s="122">
        <f t="shared" si="33"/>
        <v>250</v>
      </c>
      <c r="K119" s="123">
        <f t="shared" si="34"/>
        <v>83.333333333333329</v>
      </c>
      <c r="L119" s="124">
        <f t="shared" si="35"/>
        <v>83.333333333333329</v>
      </c>
      <c r="M119" s="123">
        <f t="shared" si="39"/>
        <v>54.166666666666664</v>
      </c>
      <c r="N119" s="123"/>
      <c r="O119" s="123">
        <f>0.35*K119</f>
        <v>29.166666666666664</v>
      </c>
      <c r="P119" s="118"/>
      <c r="Q119" s="118"/>
    </row>
    <row r="120" spans="1:17" ht="26.25" x14ac:dyDescent="0.25">
      <c r="A120" s="118">
        <v>6</v>
      </c>
      <c r="B120" s="129" t="s">
        <v>33</v>
      </c>
      <c r="C120" s="120" t="s">
        <v>171</v>
      </c>
      <c r="D120" s="121" t="s">
        <v>131</v>
      </c>
      <c r="E120" s="120" t="s">
        <v>132</v>
      </c>
      <c r="F120" s="121" t="s">
        <v>119</v>
      </c>
      <c r="G120" s="132">
        <f>H8</f>
        <v>50</v>
      </c>
      <c r="H120" s="132">
        <v>100</v>
      </c>
      <c r="I120" s="123">
        <f t="shared" si="37"/>
        <v>33.333333333333336</v>
      </c>
      <c r="J120" s="122">
        <f t="shared" si="33"/>
        <v>5000</v>
      </c>
      <c r="K120" s="123">
        <f t="shared" si="34"/>
        <v>1666.6666666666667</v>
      </c>
      <c r="L120" s="124">
        <f t="shared" si="35"/>
        <v>1666.6666666666667</v>
      </c>
      <c r="M120" s="123">
        <f t="shared" si="39"/>
        <v>1666.6666666666667</v>
      </c>
      <c r="N120" s="123"/>
      <c r="O120" s="118"/>
      <c r="P120" s="118"/>
      <c r="Q120" s="123"/>
    </row>
    <row r="121" spans="1:17" x14ac:dyDescent="0.25">
      <c r="A121" s="118">
        <v>6</v>
      </c>
      <c r="B121" s="129" t="s">
        <v>33</v>
      </c>
      <c r="C121" s="120" t="s">
        <v>172</v>
      </c>
      <c r="D121" s="121" t="s">
        <v>110</v>
      </c>
      <c r="E121" s="120" t="s">
        <v>169</v>
      </c>
      <c r="F121" s="121" t="s">
        <v>136</v>
      </c>
      <c r="G121" s="132">
        <f>H8</f>
        <v>50</v>
      </c>
      <c r="H121" s="132">
        <v>65</v>
      </c>
      <c r="I121" s="123">
        <f t="shared" si="37"/>
        <v>21.666666666666668</v>
      </c>
      <c r="J121" s="122">
        <f t="shared" si="33"/>
        <v>3250</v>
      </c>
      <c r="K121" s="123">
        <f t="shared" si="34"/>
        <v>1083.3333333333335</v>
      </c>
      <c r="L121" s="124">
        <f t="shared" si="35"/>
        <v>1083.3333333333335</v>
      </c>
      <c r="M121" s="123">
        <f t="shared" si="39"/>
        <v>1083.3333333333335</v>
      </c>
      <c r="N121" s="123"/>
      <c r="O121" s="118"/>
      <c r="P121" s="118"/>
      <c r="Q121" s="123"/>
    </row>
    <row r="122" spans="1:17" ht="26.25" x14ac:dyDescent="0.25">
      <c r="A122" s="118">
        <v>6</v>
      </c>
      <c r="B122" s="129" t="s">
        <v>26</v>
      </c>
      <c r="C122" s="120" t="s">
        <v>171</v>
      </c>
      <c r="D122" s="121" t="s">
        <v>131</v>
      </c>
      <c r="E122" s="120" t="s">
        <v>132</v>
      </c>
      <c r="F122" s="121" t="s">
        <v>119</v>
      </c>
      <c r="G122" s="132">
        <f>H8/2</f>
        <v>25</v>
      </c>
      <c r="H122" s="132">
        <v>100</v>
      </c>
      <c r="I122" s="123">
        <f t="shared" si="37"/>
        <v>33.333333333333336</v>
      </c>
      <c r="J122" s="122">
        <f t="shared" si="33"/>
        <v>2500</v>
      </c>
      <c r="K122" s="123">
        <f t="shared" si="34"/>
        <v>833.33333333333337</v>
      </c>
      <c r="L122" s="124">
        <f t="shared" ref="L122:L123" si="40">SUM(M122:Q122)</f>
        <v>833.33333333333337</v>
      </c>
      <c r="M122" s="123">
        <f t="shared" si="39"/>
        <v>583.33333333333337</v>
      </c>
      <c r="N122" s="123"/>
      <c r="O122" s="118"/>
      <c r="P122" s="118"/>
      <c r="Q122" s="123">
        <f>K122*0.3</f>
        <v>250</v>
      </c>
    </row>
    <row r="123" spans="1:17" x14ac:dyDescent="0.25">
      <c r="A123" s="118">
        <v>6</v>
      </c>
      <c r="B123" s="129" t="s">
        <v>26</v>
      </c>
      <c r="C123" s="120" t="s">
        <v>172</v>
      </c>
      <c r="D123" s="121" t="s">
        <v>110</v>
      </c>
      <c r="E123" s="120" t="s">
        <v>169</v>
      </c>
      <c r="F123" s="121" t="s">
        <v>136</v>
      </c>
      <c r="G123" s="132">
        <f>H8/2</f>
        <v>25</v>
      </c>
      <c r="H123" s="132">
        <v>250</v>
      </c>
      <c r="I123" s="123">
        <f t="shared" si="37"/>
        <v>83.333333333333329</v>
      </c>
      <c r="J123" s="122">
        <f t="shared" si="33"/>
        <v>6250</v>
      </c>
      <c r="K123" s="123">
        <f t="shared" si="34"/>
        <v>2083.333333333333</v>
      </c>
      <c r="L123" s="124">
        <f t="shared" si="40"/>
        <v>2083.333333333333</v>
      </c>
      <c r="M123" s="123">
        <f t="shared" si="39"/>
        <v>1458.333333333333</v>
      </c>
      <c r="N123" s="123"/>
      <c r="O123" s="118"/>
      <c r="P123" s="118"/>
      <c r="Q123" s="123">
        <f>K123*0.3</f>
        <v>624.99999999999989</v>
      </c>
    </row>
    <row r="124" spans="1:17" ht="26.25" x14ac:dyDescent="0.25">
      <c r="A124" s="118">
        <v>6</v>
      </c>
      <c r="B124" s="129" t="s">
        <v>33</v>
      </c>
      <c r="C124" s="120" t="s">
        <v>173</v>
      </c>
      <c r="D124" s="121" t="s">
        <v>90</v>
      </c>
      <c r="E124" s="120" t="s">
        <v>91</v>
      </c>
      <c r="F124" s="121" t="s">
        <v>92</v>
      </c>
      <c r="G124" s="130">
        <f>H8/10/20</f>
        <v>0.25</v>
      </c>
      <c r="H124" s="131">
        <v>3300</v>
      </c>
      <c r="I124" s="123">
        <f t="shared" si="37"/>
        <v>1100</v>
      </c>
      <c r="J124" s="122">
        <f t="shared" si="33"/>
        <v>825</v>
      </c>
      <c r="K124" s="123">
        <f t="shared" si="34"/>
        <v>275</v>
      </c>
      <c r="L124" s="124">
        <f t="shared" si="35"/>
        <v>275</v>
      </c>
      <c r="M124" s="123">
        <f t="shared" si="39"/>
        <v>165</v>
      </c>
      <c r="N124" s="123"/>
      <c r="O124" s="118"/>
      <c r="P124" s="123">
        <f>K124*0.4</f>
        <v>110</v>
      </c>
      <c r="Q124" s="118"/>
    </row>
    <row r="125" spans="1:17" ht="51.75" x14ac:dyDescent="0.25">
      <c r="A125" s="118">
        <v>6</v>
      </c>
      <c r="B125" s="129" t="s">
        <v>176</v>
      </c>
      <c r="C125" s="120" t="s">
        <v>93</v>
      </c>
      <c r="D125" s="121" t="s">
        <v>94</v>
      </c>
      <c r="E125" s="120" t="s">
        <v>95</v>
      </c>
      <c r="F125" s="121" t="s">
        <v>136</v>
      </c>
      <c r="G125" s="130">
        <f>H8*2</f>
        <v>100</v>
      </c>
      <c r="H125" s="131">
        <v>5</v>
      </c>
      <c r="I125" s="123">
        <f t="shared" si="37"/>
        <v>1.6666666666666667</v>
      </c>
      <c r="J125" s="122">
        <f t="shared" si="33"/>
        <v>500</v>
      </c>
      <c r="K125" s="123">
        <f t="shared" si="34"/>
        <v>166.66666666666669</v>
      </c>
      <c r="L125" s="124">
        <f t="shared" si="35"/>
        <v>166.66666666666669</v>
      </c>
      <c r="M125" s="123">
        <f t="shared" si="39"/>
        <v>166.66666666666669</v>
      </c>
      <c r="N125" s="123"/>
      <c r="O125" s="118"/>
      <c r="P125" s="118"/>
      <c r="Q125" s="118"/>
    </row>
    <row r="126" spans="1:17" ht="39" x14ac:dyDescent="0.25">
      <c r="A126" s="118">
        <v>6</v>
      </c>
      <c r="B126" s="129" t="s">
        <v>161</v>
      </c>
      <c r="C126" s="120" t="s">
        <v>93</v>
      </c>
      <c r="D126" s="121" t="s">
        <v>125</v>
      </c>
      <c r="E126" s="120" t="s">
        <v>162</v>
      </c>
      <c r="F126" s="121" t="s">
        <v>136</v>
      </c>
      <c r="G126" s="130">
        <f>H8*15</f>
        <v>750</v>
      </c>
      <c r="H126" s="131">
        <v>0.2</v>
      </c>
      <c r="I126" s="123">
        <f t="shared" si="37"/>
        <v>6.6666666666666666E-2</v>
      </c>
      <c r="J126" s="122">
        <f t="shared" si="33"/>
        <v>150</v>
      </c>
      <c r="K126" s="123">
        <f t="shared" si="34"/>
        <v>50</v>
      </c>
      <c r="L126" s="124">
        <f t="shared" si="35"/>
        <v>50</v>
      </c>
      <c r="M126" s="123">
        <f t="shared" si="39"/>
        <v>50</v>
      </c>
      <c r="N126" s="123"/>
      <c r="O126" s="118"/>
      <c r="P126" s="118"/>
      <c r="Q126" s="118"/>
    </row>
    <row r="127" spans="1:17" ht="26.25" x14ac:dyDescent="0.25">
      <c r="A127" s="118">
        <v>6</v>
      </c>
      <c r="B127" s="129" t="s">
        <v>34</v>
      </c>
      <c r="C127" s="120" t="s">
        <v>97</v>
      </c>
      <c r="D127" s="121" t="s">
        <v>98</v>
      </c>
      <c r="E127" s="120" t="s">
        <v>99</v>
      </c>
      <c r="F127" s="121" t="s">
        <v>67</v>
      </c>
      <c r="G127" s="130">
        <f>H8/10*D9</f>
        <v>200</v>
      </c>
      <c r="H127" s="131">
        <v>1</v>
      </c>
      <c r="I127" s="123">
        <f>H127/$E$2</f>
        <v>0.33333333333333331</v>
      </c>
      <c r="J127" s="122">
        <f>G127*H127</f>
        <v>200</v>
      </c>
      <c r="K127" s="123">
        <f>G127*I127</f>
        <v>66.666666666666657</v>
      </c>
      <c r="L127" s="124">
        <f t="shared" si="35"/>
        <v>66.666666666666657</v>
      </c>
      <c r="M127" s="123">
        <f t="shared" si="39"/>
        <v>66.666666666666657</v>
      </c>
      <c r="N127" s="123"/>
      <c r="O127" s="118"/>
      <c r="P127" s="118"/>
      <c r="Q127" s="118"/>
    </row>
    <row r="128" spans="1:17" ht="26.25" x14ac:dyDescent="0.25">
      <c r="A128" s="118">
        <v>6</v>
      </c>
      <c r="B128" s="129" t="s">
        <v>34</v>
      </c>
      <c r="C128" s="120" t="s">
        <v>97</v>
      </c>
      <c r="D128" s="121" t="s">
        <v>98</v>
      </c>
      <c r="E128" s="120" t="s">
        <v>100</v>
      </c>
      <c r="F128" s="121" t="s">
        <v>67</v>
      </c>
      <c r="G128" s="130">
        <f>H8/10*D9</f>
        <v>200</v>
      </c>
      <c r="H128" s="131">
        <v>0.5</v>
      </c>
      <c r="I128" s="123">
        <f>H128/$E$2</f>
        <v>0.16666666666666666</v>
      </c>
      <c r="J128" s="122">
        <f>G128*H128</f>
        <v>100</v>
      </c>
      <c r="K128" s="123">
        <f>G128*I128</f>
        <v>33.333333333333329</v>
      </c>
      <c r="L128" s="124">
        <f t="shared" si="35"/>
        <v>33.333333333333329</v>
      </c>
      <c r="M128" s="123">
        <f t="shared" si="39"/>
        <v>33.333333333333329</v>
      </c>
      <c r="N128" s="123"/>
      <c r="O128" s="118"/>
      <c r="P128" s="118"/>
      <c r="Q128" s="118"/>
    </row>
    <row r="129" spans="1:19" ht="26.25" x14ac:dyDescent="0.25">
      <c r="A129" s="118">
        <v>6</v>
      </c>
      <c r="B129" s="129" t="s">
        <v>34</v>
      </c>
      <c r="C129" s="120" t="s">
        <v>177</v>
      </c>
      <c r="D129" s="121" t="s">
        <v>90</v>
      </c>
      <c r="E129" s="120" t="s">
        <v>91</v>
      </c>
      <c r="F129" s="121" t="s">
        <v>92</v>
      </c>
      <c r="G129" s="130">
        <f>4/20</f>
        <v>0.2</v>
      </c>
      <c r="H129" s="131">
        <v>3300</v>
      </c>
      <c r="I129" s="123">
        <f>H129/$E$2</f>
        <v>1100</v>
      </c>
      <c r="J129" s="122">
        <f>G129*H129</f>
        <v>660</v>
      </c>
      <c r="K129" s="123">
        <f>G129*I129</f>
        <v>220</v>
      </c>
      <c r="L129" s="124">
        <f t="shared" si="35"/>
        <v>220</v>
      </c>
      <c r="M129" s="123">
        <f t="shared" si="39"/>
        <v>220</v>
      </c>
      <c r="N129" s="123"/>
      <c r="O129" s="118"/>
      <c r="P129" s="118"/>
      <c r="Q129" s="118"/>
    </row>
    <row r="130" spans="1:19" x14ac:dyDescent="0.25">
      <c r="B130" s="134"/>
      <c r="C130" s="135"/>
      <c r="D130" s="136"/>
      <c r="E130" s="135"/>
      <c r="F130" s="136"/>
      <c r="G130" s="137"/>
      <c r="H130" s="138"/>
      <c r="I130" s="139"/>
      <c r="J130" s="140"/>
      <c r="K130" s="139"/>
      <c r="L130" s="124"/>
    </row>
    <row r="131" spans="1:19" x14ac:dyDescent="0.25">
      <c r="A131" s="111"/>
      <c r="B131" s="112" t="s">
        <v>178</v>
      </c>
      <c r="C131" s="113"/>
      <c r="D131" s="113"/>
      <c r="E131" s="114"/>
      <c r="F131" s="113"/>
      <c r="G131" s="113"/>
      <c r="H131" s="113"/>
      <c r="I131" s="115"/>
      <c r="J131" s="116">
        <f>SUM(J132:J145)</f>
        <v>64067.5</v>
      </c>
      <c r="K131" s="117">
        <f>SUM(K132:K145)</f>
        <v>21355.833333333332</v>
      </c>
      <c r="L131" s="124"/>
      <c r="R131" t="s">
        <v>165</v>
      </c>
      <c r="S131">
        <f>(Q138+Q140)/J2*E2</f>
        <v>1620</v>
      </c>
    </row>
    <row r="132" spans="1:19" ht="26.25" x14ac:dyDescent="0.25">
      <c r="A132" s="118">
        <v>7</v>
      </c>
      <c r="B132" s="129" t="s">
        <v>36</v>
      </c>
      <c r="C132" s="120" t="s">
        <v>179</v>
      </c>
      <c r="D132" s="121" t="s">
        <v>98</v>
      </c>
      <c r="E132" s="120" t="s">
        <v>180</v>
      </c>
      <c r="F132" s="121" t="s">
        <v>136</v>
      </c>
      <c r="G132" s="130">
        <f>2*J2</f>
        <v>20</v>
      </c>
      <c r="H132" s="131">
        <v>10</v>
      </c>
      <c r="I132" s="123">
        <f>H132/$E$2</f>
        <v>3.3333333333333335</v>
      </c>
      <c r="J132" s="122">
        <f t="shared" ref="J132:J143" si="41">G132*H132</f>
        <v>200</v>
      </c>
      <c r="K132" s="123">
        <f t="shared" ref="K132:K143" si="42">G132*I132</f>
        <v>66.666666666666671</v>
      </c>
      <c r="L132" s="124">
        <f t="shared" si="30"/>
        <v>66.666666666666671</v>
      </c>
      <c r="M132" s="123">
        <f t="shared" ref="M132:M145" si="43">K132-SUM(N132:Q132)</f>
        <v>66.666666666666671</v>
      </c>
      <c r="N132" s="118"/>
      <c r="O132" s="118"/>
      <c r="P132" s="118"/>
      <c r="Q132" s="118"/>
    </row>
    <row r="133" spans="1:19" ht="30" customHeight="1" x14ac:dyDescent="0.25">
      <c r="A133" s="118">
        <v>7</v>
      </c>
      <c r="B133" s="129" t="s">
        <v>36</v>
      </c>
      <c r="C133" s="120" t="s">
        <v>181</v>
      </c>
      <c r="D133" s="121" t="s">
        <v>90</v>
      </c>
      <c r="E133" s="120" t="s">
        <v>91</v>
      </c>
      <c r="F133" s="121" t="s">
        <v>92</v>
      </c>
      <c r="G133" s="130">
        <f>0.75*J2/20</f>
        <v>0.375</v>
      </c>
      <c r="H133" s="131">
        <v>3300</v>
      </c>
      <c r="I133" s="123">
        <f t="shared" ref="I133:I143" si="44">H133/$E$2</f>
        <v>1100</v>
      </c>
      <c r="J133" s="122">
        <f t="shared" si="41"/>
        <v>1237.5</v>
      </c>
      <c r="K133" s="123">
        <f t="shared" si="42"/>
        <v>412.5</v>
      </c>
      <c r="L133" s="124">
        <f t="shared" si="30"/>
        <v>412.5</v>
      </c>
      <c r="M133" s="123">
        <f t="shared" si="43"/>
        <v>165</v>
      </c>
      <c r="N133" s="118"/>
      <c r="O133" s="118"/>
      <c r="P133" s="123">
        <f>K133*0.6</f>
        <v>247.5</v>
      </c>
      <c r="Q133" s="118"/>
    </row>
    <row r="134" spans="1:19" ht="26.25" x14ac:dyDescent="0.25">
      <c r="A134" s="118">
        <v>7</v>
      </c>
      <c r="B134" s="129" t="s">
        <v>37</v>
      </c>
      <c r="C134" s="120" t="s">
        <v>182</v>
      </c>
      <c r="D134" s="121" t="s">
        <v>90</v>
      </c>
      <c r="E134" s="120" t="s">
        <v>91</v>
      </c>
      <c r="F134" s="121" t="s">
        <v>92</v>
      </c>
      <c r="G134" s="132">
        <f>J2/20</f>
        <v>0.5</v>
      </c>
      <c r="H134" s="132">
        <v>3300</v>
      </c>
      <c r="I134" s="123">
        <f t="shared" si="44"/>
        <v>1100</v>
      </c>
      <c r="J134" s="122">
        <f t="shared" si="41"/>
        <v>1650</v>
      </c>
      <c r="K134" s="123">
        <f t="shared" si="42"/>
        <v>550</v>
      </c>
      <c r="L134" s="124">
        <f t="shared" si="30"/>
        <v>550</v>
      </c>
      <c r="M134" s="123">
        <f t="shared" si="43"/>
        <v>220</v>
      </c>
      <c r="N134" s="118"/>
      <c r="O134" s="118"/>
      <c r="P134" s="123">
        <f>K134*0.6</f>
        <v>330</v>
      </c>
      <c r="Q134" s="118"/>
    </row>
    <row r="135" spans="1:19" ht="26.25" x14ac:dyDescent="0.25">
      <c r="A135" s="118">
        <v>7</v>
      </c>
      <c r="B135" s="129" t="s">
        <v>37</v>
      </c>
      <c r="C135" s="120" t="s">
        <v>183</v>
      </c>
      <c r="D135" s="121" t="s">
        <v>131</v>
      </c>
      <c r="E135" s="120" t="s">
        <v>184</v>
      </c>
      <c r="F135" s="121" t="s">
        <v>119</v>
      </c>
      <c r="G135" s="132">
        <v>5</v>
      </c>
      <c r="H135" s="132">
        <v>300</v>
      </c>
      <c r="I135" s="123">
        <f t="shared" si="44"/>
        <v>100</v>
      </c>
      <c r="J135" s="122">
        <f t="shared" si="41"/>
        <v>1500</v>
      </c>
      <c r="K135" s="123">
        <f t="shared" si="42"/>
        <v>500</v>
      </c>
      <c r="L135" s="124">
        <f t="shared" si="30"/>
        <v>500</v>
      </c>
      <c r="M135" s="123">
        <f t="shared" si="43"/>
        <v>500</v>
      </c>
      <c r="N135" s="118"/>
      <c r="O135" s="118"/>
      <c r="P135" s="123"/>
      <c r="Q135" s="118"/>
    </row>
    <row r="136" spans="1:19" x14ac:dyDescent="0.25">
      <c r="A136" s="118">
        <v>7</v>
      </c>
      <c r="B136" s="129" t="s">
        <v>37</v>
      </c>
      <c r="C136" s="120" t="s">
        <v>185</v>
      </c>
      <c r="D136" s="121" t="s">
        <v>98</v>
      </c>
      <c r="E136" s="120" t="s">
        <v>99</v>
      </c>
      <c r="F136" s="121" t="s">
        <v>67</v>
      </c>
      <c r="G136" s="130">
        <f>J2*30</f>
        <v>300</v>
      </c>
      <c r="H136" s="131">
        <v>1</v>
      </c>
      <c r="I136" s="123">
        <f t="shared" si="44"/>
        <v>0.33333333333333331</v>
      </c>
      <c r="J136" s="122">
        <f t="shared" si="41"/>
        <v>300</v>
      </c>
      <c r="K136" s="123">
        <f t="shared" si="42"/>
        <v>100</v>
      </c>
      <c r="L136" s="124">
        <f t="shared" si="30"/>
        <v>100</v>
      </c>
      <c r="M136" s="123">
        <f t="shared" si="43"/>
        <v>65</v>
      </c>
      <c r="N136" s="118"/>
      <c r="O136" s="123">
        <f>0.35*K136</f>
        <v>35</v>
      </c>
      <c r="P136" s="118"/>
      <c r="Q136" s="118"/>
    </row>
    <row r="137" spans="1:19" ht="26.25" x14ac:dyDescent="0.25">
      <c r="A137" s="118">
        <v>7</v>
      </c>
      <c r="B137" s="129" t="s">
        <v>37</v>
      </c>
      <c r="C137" s="120" t="s">
        <v>185</v>
      </c>
      <c r="D137" s="121" t="s">
        <v>98</v>
      </c>
      <c r="E137" s="120" t="s">
        <v>100</v>
      </c>
      <c r="F137" s="121" t="s">
        <v>67</v>
      </c>
      <c r="G137" s="130">
        <f>J2*30</f>
        <v>300</v>
      </c>
      <c r="H137" s="131">
        <v>0.5</v>
      </c>
      <c r="I137" s="123">
        <f t="shared" si="44"/>
        <v>0.16666666666666666</v>
      </c>
      <c r="J137" s="122">
        <f t="shared" si="41"/>
        <v>150</v>
      </c>
      <c r="K137" s="123">
        <f t="shared" si="42"/>
        <v>50</v>
      </c>
      <c r="L137" s="124">
        <f t="shared" si="30"/>
        <v>50</v>
      </c>
      <c r="M137" s="123">
        <f t="shared" si="43"/>
        <v>32.5</v>
      </c>
      <c r="N137" s="118"/>
      <c r="O137" s="123">
        <f>0.35*K137</f>
        <v>17.5</v>
      </c>
      <c r="P137" s="118"/>
      <c r="Q137" s="118"/>
    </row>
    <row r="138" spans="1:19" ht="26.25" x14ac:dyDescent="0.25">
      <c r="A138" s="118">
        <v>7</v>
      </c>
      <c r="B138" s="129" t="s">
        <v>37</v>
      </c>
      <c r="C138" s="120" t="s">
        <v>171</v>
      </c>
      <c r="D138" s="121" t="s">
        <v>131</v>
      </c>
      <c r="E138" s="120" t="s">
        <v>132</v>
      </c>
      <c r="F138" s="121" t="s">
        <v>119</v>
      </c>
      <c r="G138" s="132">
        <f>4*J2</f>
        <v>40</v>
      </c>
      <c r="H138" s="132">
        <v>100</v>
      </c>
      <c r="I138" s="123">
        <f t="shared" si="44"/>
        <v>33.333333333333336</v>
      </c>
      <c r="J138" s="122">
        <f t="shared" si="41"/>
        <v>4000</v>
      </c>
      <c r="K138" s="123">
        <f t="shared" si="42"/>
        <v>1333.3333333333335</v>
      </c>
      <c r="L138" s="124">
        <f t="shared" si="30"/>
        <v>1333.3333333333335</v>
      </c>
      <c r="M138" s="123">
        <f t="shared" si="43"/>
        <v>933.33333333333348</v>
      </c>
      <c r="N138" s="118"/>
      <c r="O138" s="118"/>
      <c r="P138" s="118"/>
      <c r="Q138" s="123">
        <f>K138*0.3</f>
        <v>400.00000000000006</v>
      </c>
    </row>
    <row r="139" spans="1:19" x14ac:dyDescent="0.25">
      <c r="A139" s="118">
        <v>7</v>
      </c>
      <c r="B139" s="129" t="s">
        <v>37</v>
      </c>
      <c r="C139" s="120" t="s">
        <v>186</v>
      </c>
      <c r="D139" s="121" t="s">
        <v>110</v>
      </c>
      <c r="E139" s="120" t="s">
        <v>169</v>
      </c>
      <c r="F139" s="121" t="s">
        <v>136</v>
      </c>
      <c r="G139" s="132">
        <f>J2/2</f>
        <v>5</v>
      </c>
      <c r="H139" s="132">
        <v>2300</v>
      </c>
      <c r="I139" s="123">
        <f t="shared" si="44"/>
        <v>766.66666666666663</v>
      </c>
      <c r="J139" s="122">
        <f t="shared" si="41"/>
        <v>11500</v>
      </c>
      <c r="K139" s="123">
        <f t="shared" si="42"/>
        <v>3833.333333333333</v>
      </c>
      <c r="L139" s="124">
        <f t="shared" si="30"/>
        <v>3833.333333333333</v>
      </c>
      <c r="M139" s="123">
        <f t="shared" si="43"/>
        <v>2300</v>
      </c>
      <c r="N139" s="118"/>
      <c r="O139" s="118"/>
      <c r="P139" s="118"/>
      <c r="Q139" s="123">
        <f t="shared" ref="Q139:Q140" si="45">K139*0.4</f>
        <v>1533.3333333333333</v>
      </c>
    </row>
    <row r="140" spans="1:19" x14ac:dyDescent="0.25">
      <c r="A140" s="118">
        <v>7</v>
      </c>
      <c r="B140" s="129" t="s">
        <v>37</v>
      </c>
      <c r="C140" s="120" t="s">
        <v>187</v>
      </c>
      <c r="D140" s="121" t="s">
        <v>110</v>
      </c>
      <c r="E140" s="120" t="s">
        <v>169</v>
      </c>
      <c r="F140" s="121" t="s">
        <v>136</v>
      </c>
      <c r="G140" s="132">
        <f>J2/2</f>
        <v>5</v>
      </c>
      <c r="H140" s="132">
        <v>7500</v>
      </c>
      <c r="I140" s="123">
        <f t="shared" si="44"/>
        <v>2500</v>
      </c>
      <c r="J140" s="122">
        <f t="shared" si="41"/>
        <v>37500</v>
      </c>
      <c r="K140" s="123">
        <f t="shared" si="42"/>
        <v>12500</v>
      </c>
      <c r="L140" s="124">
        <f t="shared" si="30"/>
        <v>12500</v>
      </c>
      <c r="M140" s="123">
        <f t="shared" si="43"/>
        <v>7500</v>
      </c>
      <c r="N140" s="118"/>
      <c r="O140" s="118"/>
      <c r="P140" s="118"/>
      <c r="Q140" s="123">
        <f t="shared" si="45"/>
        <v>5000</v>
      </c>
    </row>
    <row r="141" spans="1:19" ht="51.75" x14ac:dyDescent="0.25">
      <c r="A141" s="118">
        <v>7</v>
      </c>
      <c r="B141" s="129" t="s">
        <v>37</v>
      </c>
      <c r="C141" s="120" t="s">
        <v>188</v>
      </c>
      <c r="D141" s="121" t="s">
        <v>110</v>
      </c>
      <c r="E141" s="120" t="s">
        <v>149</v>
      </c>
      <c r="F141" s="121" t="s">
        <v>136</v>
      </c>
      <c r="G141" s="132">
        <v>1</v>
      </c>
      <c r="H141" s="132">
        <v>2000</v>
      </c>
      <c r="I141" s="123">
        <f t="shared" si="44"/>
        <v>666.66666666666663</v>
      </c>
      <c r="J141" s="122">
        <f t="shared" si="41"/>
        <v>2000</v>
      </c>
      <c r="K141" s="123">
        <f t="shared" si="42"/>
        <v>666.66666666666663</v>
      </c>
      <c r="L141" s="124">
        <f t="shared" si="30"/>
        <v>666.66666666666663</v>
      </c>
      <c r="M141" s="123">
        <f t="shared" si="43"/>
        <v>666.66666666666663</v>
      </c>
      <c r="N141" s="118"/>
      <c r="O141" s="118"/>
      <c r="P141" s="118"/>
      <c r="Q141" s="123"/>
    </row>
    <row r="142" spans="1:19" ht="26.25" x14ac:dyDescent="0.25">
      <c r="A142" s="118">
        <v>7</v>
      </c>
      <c r="B142" s="129" t="s">
        <v>37</v>
      </c>
      <c r="C142" s="120" t="s">
        <v>173</v>
      </c>
      <c r="D142" s="121" t="s">
        <v>90</v>
      </c>
      <c r="E142" s="120" t="s">
        <v>91</v>
      </c>
      <c r="F142" s="121" t="s">
        <v>92</v>
      </c>
      <c r="G142" s="130">
        <f>1.2*J2/20</f>
        <v>0.6</v>
      </c>
      <c r="H142" s="131">
        <v>3300</v>
      </c>
      <c r="I142" s="123">
        <f t="shared" si="44"/>
        <v>1100</v>
      </c>
      <c r="J142" s="122">
        <f t="shared" si="41"/>
        <v>1980</v>
      </c>
      <c r="K142" s="123">
        <f t="shared" si="42"/>
        <v>660</v>
      </c>
      <c r="L142" s="124">
        <f t="shared" si="30"/>
        <v>660</v>
      </c>
      <c r="M142" s="123">
        <f t="shared" si="43"/>
        <v>264</v>
      </c>
      <c r="N142" s="118"/>
      <c r="O142" s="118"/>
      <c r="P142" s="123">
        <f>K142*0.6</f>
        <v>396</v>
      </c>
      <c r="Q142" s="118"/>
    </row>
    <row r="143" spans="1:19" ht="39" x14ac:dyDescent="0.25">
      <c r="A143" s="118">
        <v>7</v>
      </c>
      <c r="B143" s="129" t="s">
        <v>161</v>
      </c>
      <c r="C143" s="120" t="s">
        <v>93</v>
      </c>
      <c r="D143" s="121" t="s">
        <v>125</v>
      </c>
      <c r="E143" s="120" t="s">
        <v>162</v>
      </c>
      <c r="F143" s="121" t="s">
        <v>136</v>
      </c>
      <c r="G143" s="130">
        <f>50*J2</f>
        <v>500</v>
      </c>
      <c r="H143" s="131">
        <v>0.2</v>
      </c>
      <c r="I143" s="123">
        <f t="shared" si="44"/>
        <v>6.6666666666666666E-2</v>
      </c>
      <c r="J143" s="122">
        <f t="shared" si="41"/>
        <v>100</v>
      </c>
      <c r="K143" s="123">
        <f t="shared" si="42"/>
        <v>33.333333333333336</v>
      </c>
      <c r="L143" s="124">
        <f t="shared" si="30"/>
        <v>33.333333333333336</v>
      </c>
      <c r="M143" s="123">
        <f t="shared" si="43"/>
        <v>33.333333333333336</v>
      </c>
      <c r="N143" s="118"/>
      <c r="O143" s="118"/>
      <c r="P143" s="118"/>
      <c r="Q143" s="118"/>
    </row>
    <row r="144" spans="1:19" ht="26.25" x14ac:dyDescent="0.25">
      <c r="A144" s="118">
        <v>7</v>
      </c>
      <c r="B144" s="129" t="s">
        <v>38</v>
      </c>
      <c r="C144" s="120" t="s">
        <v>97</v>
      </c>
      <c r="D144" s="121" t="s">
        <v>98</v>
      </c>
      <c r="E144" s="120" t="s">
        <v>180</v>
      </c>
      <c r="F144" s="121" t="s">
        <v>136</v>
      </c>
      <c r="G144" s="130">
        <f>3*J2</f>
        <v>30</v>
      </c>
      <c r="H144" s="131">
        <v>10</v>
      </c>
      <c r="I144" s="123">
        <f>H144/$E$2</f>
        <v>3.3333333333333335</v>
      </c>
      <c r="J144" s="122">
        <f>G144*H144</f>
        <v>300</v>
      </c>
      <c r="K144" s="123">
        <f>G144*I144</f>
        <v>100</v>
      </c>
      <c r="L144" s="124">
        <f t="shared" si="30"/>
        <v>100</v>
      </c>
      <c r="M144" s="123">
        <f t="shared" si="43"/>
        <v>100</v>
      </c>
      <c r="N144" s="118"/>
      <c r="O144" s="118"/>
      <c r="P144" s="118"/>
      <c r="Q144" s="118"/>
    </row>
    <row r="145" spans="1:28" ht="26.25" x14ac:dyDescent="0.25">
      <c r="A145" s="118">
        <v>7</v>
      </c>
      <c r="B145" s="129" t="s">
        <v>38</v>
      </c>
      <c r="C145" s="120" t="s">
        <v>177</v>
      </c>
      <c r="D145" s="121" t="s">
        <v>90</v>
      </c>
      <c r="E145" s="120" t="s">
        <v>91</v>
      </c>
      <c r="F145" s="121" t="s">
        <v>92</v>
      </c>
      <c r="G145" s="130">
        <f>1*J2/20</f>
        <v>0.5</v>
      </c>
      <c r="H145" s="131">
        <v>3300</v>
      </c>
      <c r="I145" s="123">
        <f>H145/$E$2</f>
        <v>1100</v>
      </c>
      <c r="J145" s="122">
        <f>G145*H145</f>
        <v>1650</v>
      </c>
      <c r="K145" s="123">
        <f>G145*I145</f>
        <v>550</v>
      </c>
      <c r="L145" s="124">
        <f t="shared" si="30"/>
        <v>550</v>
      </c>
      <c r="M145" s="123">
        <f t="shared" si="43"/>
        <v>550</v>
      </c>
      <c r="N145" s="118"/>
      <c r="O145" s="118"/>
      <c r="P145" s="118"/>
      <c r="Q145" s="118"/>
    </row>
    <row r="146" spans="1:28" x14ac:dyDescent="0.25">
      <c r="L146" s="124"/>
    </row>
    <row r="147" spans="1:28" x14ac:dyDescent="0.25">
      <c r="K147" s="101"/>
      <c r="L147" s="124"/>
    </row>
    <row r="148" spans="1:28" x14ac:dyDescent="0.25">
      <c r="A148" s="111"/>
      <c r="B148" s="112" t="s">
        <v>39</v>
      </c>
      <c r="C148" s="113"/>
      <c r="D148" s="113"/>
      <c r="E148" s="114"/>
      <c r="F148" s="113"/>
      <c r="G148" s="113"/>
      <c r="H148" s="113"/>
      <c r="I148" s="115"/>
      <c r="J148" s="116">
        <f>SUM(J149:J164)</f>
        <v>232350</v>
      </c>
      <c r="K148" s="117">
        <f>SUM(K149:K164)</f>
        <v>77450.000000000015</v>
      </c>
      <c r="L148" s="124"/>
      <c r="S148" s="141" t="s">
        <v>189</v>
      </c>
      <c r="T148" s="141" t="s">
        <v>190</v>
      </c>
      <c r="U148" s="141" t="s">
        <v>191</v>
      </c>
      <c r="W148" s="142" t="s">
        <v>189</v>
      </c>
      <c r="X148" s="143"/>
      <c r="Y148" s="142" t="s">
        <v>190</v>
      </c>
      <c r="Z148" s="143"/>
      <c r="AA148" s="142" t="s">
        <v>192</v>
      </c>
      <c r="AB148" s="143"/>
    </row>
    <row r="149" spans="1:28" ht="30" customHeight="1" x14ac:dyDescent="0.25">
      <c r="A149" s="118">
        <v>8</v>
      </c>
      <c r="B149" s="129" t="s">
        <v>193</v>
      </c>
      <c r="C149" s="120" t="s">
        <v>194</v>
      </c>
      <c r="D149" s="121" t="s">
        <v>90</v>
      </c>
      <c r="E149" s="120" t="s">
        <v>91</v>
      </c>
      <c r="F149" s="121" t="s">
        <v>92</v>
      </c>
      <c r="G149" s="130">
        <v>9</v>
      </c>
      <c r="H149" s="131">
        <v>3300</v>
      </c>
      <c r="I149" s="123">
        <f t="shared" ref="I149:I179" si="46">H149/$E$2</f>
        <v>1100</v>
      </c>
      <c r="J149" s="122">
        <f t="shared" ref="J149:J164" si="47">G149*H149</f>
        <v>29700</v>
      </c>
      <c r="K149" s="123">
        <f t="shared" ref="K149:K179" si="48">G149*I149</f>
        <v>9900</v>
      </c>
      <c r="L149" s="124">
        <f t="shared" si="30"/>
        <v>9900</v>
      </c>
      <c r="M149" s="123">
        <f t="shared" ref="M149:M179" si="49">K149-SUM(N149:Q149)</f>
        <v>5940</v>
      </c>
      <c r="N149" s="123">
        <f>0.4*K149</f>
        <v>3960</v>
      </c>
      <c r="O149" s="118"/>
      <c r="P149" s="118"/>
      <c r="Q149" s="118"/>
      <c r="S149" s="144">
        <v>0.75</v>
      </c>
      <c r="T149" s="144">
        <v>0.15</v>
      </c>
      <c r="U149" s="144">
        <f>1-(S149+T149)</f>
        <v>9.9999999999999978E-2</v>
      </c>
      <c r="W149" s="145">
        <f>S149*K149</f>
        <v>7425</v>
      </c>
      <c r="X149" s="146">
        <f>S149*G149</f>
        <v>6.75</v>
      </c>
      <c r="Y149" s="145">
        <f>T149*K149</f>
        <v>1485</v>
      </c>
      <c r="Z149" s="146">
        <f>T149*G149</f>
        <v>1.3499999999999999</v>
      </c>
      <c r="AA149" s="145">
        <f>U149*K149</f>
        <v>989.99999999999977</v>
      </c>
      <c r="AB149" s="146">
        <f>U149*G149</f>
        <v>0.8999999999999998</v>
      </c>
    </row>
    <row r="150" spans="1:28" ht="51.75" x14ac:dyDescent="0.25">
      <c r="A150" s="118">
        <v>8</v>
      </c>
      <c r="B150" s="129" t="s">
        <v>195</v>
      </c>
      <c r="C150" s="120" t="s">
        <v>196</v>
      </c>
      <c r="D150" s="121" t="s">
        <v>90</v>
      </c>
      <c r="E150" s="120" t="s">
        <v>197</v>
      </c>
      <c r="F150" s="121" t="s">
        <v>92</v>
      </c>
      <c r="G150" s="132">
        <v>15</v>
      </c>
      <c r="H150" s="132">
        <v>4000</v>
      </c>
      <c r="I150" s="123">
        <f t="shared" si="46"/>
        <v>1333.3333333333333</v>
      </c>
      <c r="J150" s="122">
        <f t="shared" si="47"/>
        <v>60000</v>
      </c>
      <c r="K150" s="123">
        <f t="shared" si="48"/>
        <v>20000</v>
      </c>
      <c r="L150" s="124">
        <f t="shared" si="30"/>
        <v>20000</v>
      </c>
      <c r="M150" s="123">
        <f t="shared" si="49"/>
        <v>16000</v>
      </c>
      <c r="N150" s="123">
        <f>0.2*K150</f>
        <v>4000</v>
      </c>
      <c r="O150" s="118"/>
      <c r="P150" s="118"/>
      <c r="Q150" s="118"/>
      <c r="S150" s="144">
        <v>0.4</v>
      </c>
      <c r="T150" s="144">
        <v>0.3</v>
      </c>
      <c r="U150" s="144">
        <f t="shared" ref="U150:U158" si="50">1-(S150+T150)</f>
        <v>0.30000000000000004</v>
      </c>
      <c r="W150" s="145">
        <f t="shared" ref="W150:W158" si="51">S150*K150</f>
        <v>8000</v>
      </c>
      <c r="X150" s="146">
        <f t="shared" ref="X150:X157" si="52">S150*G150</f>
        <v>6</v>
      </c>
      <c r="Y150" s="145">
        <f t="shared" ref="Y150:Y158" si="53">T150*K150</f>
        <v>6000</v>
      </c>
      <c r="Z150" s="146">
        <f t="shared" ref="Z150:Z157" si="54">T150*G150</f>
        <v>4.5</v>
      </c>
      <c r="AA150" s="145">
        <f t="shared" ref="AA150:AA158" si="55">U150*K150</f>
        <v>6000.0000000000009</v>
      </c>
      <c r="AB150" s="146">
        <f t="shared" ref="AB150:AB158" si="56">U150*G150</f>
        <v>4.5000000000000009</v>
      </c>
    </row>
    <row r="151" spans="1:28" ht="26.25" x14ac:dyDescent="0.25">
      <c r="A151" s="118">
        <v>8</v>
      </c>
      <c r="B151" s="129" t="s">
        <v>198</v>
      </c>
      <c r="C151" s="120" t="s">
        <v>199</v>
      </c>
      <c r="D151" s="121" t="s">
        <v>90</v>
      </c>
      <c r="E151" s="120" t="s">
        <v>91</v>
      </c>
      <c r="F151" s="121" t="s">
        <v>92</v>
      </c>
      <c r="G151" s="130">
        <v>12</v>
      </c>
      <c r="H151" s="131">
        <v>2400</v>
      </c>
      <c r="I151" s="123">
        <f t="shared" si="46"/>
        <v>800</v>
      </c>
      <c r="J151" s="122">
        <f t="shared" si="47"/>
        <v>28800</v>
      </c>
      <c r="K151" s="123">
        <f t="shared" si="48"/>
        <v>9600</v>
      </c>
      <c r="L151" s="124">
        <f t="shared" si="30"/>
        <v>9600</v>
      </c>
      <c r="M151" s="123">
        <f t="shared" si="49"/>
        <v>7680</v>
      </c>
      <c r="N151" s="123">
        <f>0.2*K151</f>
        <v>1920</v>
      </c>
      <c r="O151" s="118"/>
      <c r="P151" s="118"/>
      <c r="Q151" s="118"/>
      <c r="S151" s="144">
        <v>0.5</v>
      </c>
      <c r="T151" s="144">
        <v>0.2</v>
      </c>
      <c r="U151" s="144">
        <f t="shared" si="50"/>
        <v>0.30000000000000004</v>
      </c>
      <c r="W151" s="145">
        <f t="shared" si="51"/>
        <v>4800</v>
      </c>
      <c r="X151" s="146">
        <f t="shared" si="52"/>
        <v>6</v>
      </c>
      <c r="Y151" s="145">
        <f t="shared" si="53"/>
        <v>1920</v>
      </c>
      <c r="Z151" s="146">
        <f t="shared" si="54"/>
        <v>2.4000000000000004</v>
      </c>
      <c r="AA151" s="145">
        <f t="shared" si="55"/>
        <v>2880.0000000000005</v>
      </c>
      <c r="AB151" s="146">
        <f t="shared" si="56"/>
        <v>3.6000000000000005</v>
      </c>
    </row>
    <row r="152" spans="1:28" ht="26.25" x14ac:dyDescent="0.25">
      <c r="A152" s="118">
        <v>8</v>
      </c>
      <c r="B152" s="129" t="s">
        <v>200</v>
      </c>
      <c r="C152" s="120" t="s">
        <v>201</v>
      </c>
      <c r="D152" s="121" t="s">
        <v>90</v>
      </c>
      <c r="E152" s="120" t="s">
        <v>91</v>
      </c>
      <c r="F152" s="121" t="s">
        <v>92</v>
      </c>
      <c r="G152" s="130">
        <v>4</v>
      </c>
      <c r="H152" s="131">
        <v>4000</v>
      </c>
      <c r="I152" s="123">
        <f t="shared" si="46"/>
        <v>1333.3333333333333</v>
      </c>
      <c r="J152" s="122">
        <f t="shared" si="47"/>
        <v>16000</v>
      </c>
      <c r="K152" s="123">
        <f t="shared" si="48"/>
        <v>5333.333333333333</v>
      </c>
      <c r="L152" s="124">
        <f t="shared" si="30"/>
        <v>5333.333333333333</v>
      </c>
      <c r="M152" s="123">
        <f t="shared" si="49"/>
        <v>4213.333333333333</v>
      </c>
      <c r="N152" s="123">
        <f>0.21*K152</f>
        <v>1120</v>
      </c>
      <c r="O152" s="118"/>
      <c r="P152" s="118"/>
      <c r="Q152" s="118"/>
      <c r="S152" s="144">
        <v>0.6</v>
      </c>
      <c r="T152" s="144">
        <v>0.2</v>
      </c>
      <c r="U152" s="144">
        <f t="shared" si="50"/>
        <v>0.19999999999999996</v>
      </c>
      <c r="W152" s="145">
        <f t="shared" si="51"/>
        <v>3199.9999999999995</v>
      </c>
      <c r="X152" s="146">
        <f t="shared" si="52"/>
        <v>2.4</v>
      </c>
      <c r="Y152" s="145">
        <f t="shared" si="53"/>
        <v>1066.6666666666667</v>
      </c>
      <c r="Z152" s="146">
        <f t="shared" si="54"/>
        <v>0.8</v>
      </c>
      <c r="AA152" s="145">
        <f t="shared" si="55"/>
        <v>1066.6666666666663</v>
      </c>
      <c r="AB152" s="146">
        <f t="shared" si="56"/>
        <v>0.79999999999999982</v>
      </c>
    </row>
    <row r="153" spans="1:28" ht="26.25" x14ac:dyDescent="0.25">
      <c r="A153" s="118">
        <v>8</v>
      </c>
      <c r="B153" s="129" t="s">
        <v>202</v>
      </c>
      <c r="C153" s="120" t="s">
        <v>203</v>
      </c>
      <c r="D153" s="121" t="s">
        <v>90</v>
      </c>
      <c r="E153" s="120" t="s">
        <v>91</v>
      </c>
      <c r="F153" s="121" t="s">
        <v>92</v>
      </c>
      <c r="G153" s="130">
        <v>8</v>
      </c>
      <c r="H153" s="131">
        <v>3300</v>
      </c>
      <c r="I153" s="123">
        <f t="shared" si="46"/>
        <v>1100</v>
      </c>
      <c r="J153" s="122">
        <f t="shared" si="47"/>
        <v>26400</v>
      </c>
      <c r="K153" s="123">
        <f t="shared" si="48"/>
        <v>8800</v>
      </c>
      <c r="L153" s="124">
        <f t="shared" si="30"/>
        <v>8800</v>
      </c>
      <c r="M153" s="123">
        <f t="shared" si="49"/>
        <v>800</v>
      </c>
      <c r="N153" s="123"/>
      <c r="O153" s="118"/>
      <c r="P153" s="123">
        <v>8000</v>
      </c>
      <c r="Q153" s="118"/>
      <c r="S153" s="144">
        <v>0.3</v>
      </c>
      <c r="T153" s="144">
        <v>0.5</v>
      </c>
      <c r="U153" s="144">
        <f t="shared" si="50"/>
        <v>0.19999999999999996</v>
      </c>
      <c r="W153" s="145">
        <f t="shared" si="51"/>
        <v>2640</v>
      </c>
      <c r="X153" s="146">
        <f t="shared" si="52"/>
        <v>2.4</v>
      </c>
      <c r="Y153" s="145">
        <f t="shared" si="53"/>
        <v>4400</v>
      </c>
      <c r="Z153" s="146">
        <f t="shared" si="54"/>
        <v>4</v>
      </c>
      <c r="AA153" s="145">
        <f t="shared" si="55"/>
        <v>1759.9999999999995</v>
      </c>
      <c r="AB153" s="146">
        <f t="shared" si="56"/>
        <v>1.5999999999999996</v>
      </c>
    </row>
    <row r="154" spans="1:28" ht="26.25" x14ac:dyDescent="0.25">
      <c r="A154" s="118">
        <v>8</v>
      </c>
      <c r="B154" s="129" t="s">
        <v>204</v>
      </c>
      <c r="C154" s="120" t="s">
        <v>204</v>
      </c>
      <c r="D154" s="121" t="s">
        <v>90</v>
      </c>
      <c r="E154" s="120" t="s">
        <v>91</v>
      </c>
      <c r="F154" s="121" t="s">
        <v>92</v>
      </c>
      <c r="G154" s="132">
        <v>4</v>
      </c>
      <c r="H154" s="132">
        <v>3300</v>
      </c>
      <c r="I154" s="123">
        <f t="shared" si="46"/>
        <v>1100</v>
      </c>
      <c r="J154" s="122">
        <f t="shared" si="47"/>
        <v>13200</v>
      </c>
      <c r="K154" s="123">
        <f t="shared" si="48"/>
        <v>4400</v>
      </c>
      <c r="L154" s="124">
        <f t="shared" si="30"/>
        <v>4400</v>
      </c>
      <c r="M154" s="123">
        <f t="shared" si="49"/>
        <v>1980</v>
      </c>
      <c r="N154" s="123">
        <f>K154*0.55</f>
        <v>2420</v>
      </c>
      <c r="O154" s="118"/>
      <c r="P154" s="118"/>
      <c r="Q154" s="118"/>
      <c r="S154" s="144">
        <v>0.8</v>
      </c>
      <c r="T154" s="144">
        <v>0</v>
      </c>
      <c r="U154" s="144">
        <f t="shared" si="50"/>
        <v>0.19999999999999996</v>
      </c>
      <c r="W154" s="145">
        <f t="shared" si="51"/>
        <v>3520</v>
      </c>
      <c r="X154" s="146">
        <f t="shared" si="52"/>
        <v>3.2</v>
      </c>
      <c r="Y154" s="145">
        <f t="shared" si="53"/>
        <v>0</v>
      </c>
      <c r="Z154" s="146">
        <f t="shared" si="54"/>
        <v>0</v>
      </c>
      <c r="AA154" s="145">
        <f t="shared" si="55"/>
        <v>879.99999999999977</v>
      </c>
      <c r="AB154" s="146">
        <f t="shared" si="56"/>
        <v>0.79999999999999982</v>
      </c>
    </row>
    <row r="155" spans="1:28" ht="26.25" x14ac:dyDescent="0.25">
      <c r="A155" s="118">
        <v>8</v>
      </c>
      <c r="B155" s="129" t="s">
        <v>205</v>
      </c>
      <c r="C155" s="120" t="s">
        <v>206</v>
      </c>
      <c r="D155" s="121" t="s">
        <v>90</v>
      </c>
      <c r="E155" s="120" t="s">
        <v>91</v>
      </c>
      <c r="F155" s="121" t="s">
        <v>92</v>
      </c>
      <c r="G155" s="132">
        <v>2.5</v>
      </c>
      <c r="H155" s="132">
        <v>3300</v>
      </c>
      <c r="I155" s="123">
        <f t="shared" si="46"/>
        <v>1100</v>
      </c>
      <c r="J155" s="122">
        <f t="shared" si="47"/>
        <v>8250</v>
      </c>
      <c r="K155" s="123">
        <f t="shared" si="48"/>
        <v>2750</v>
      </c>
      <c r="L155" s="124">
        <f t="shared" si="30"/>
        <v>2750</v>
      </c>
      <c r="M155" s="123">
        <f t="shared" si="49"/>
        <v>2750</v>
      </c>
      <c r="N155" s="118"/>
      <c r="O155" s="118"/>
      <c r="P155" s="118"/>
      <c r="Q155" s="118"/>
      <c r="S155" s="144">
        <v>0</v>
      </c>
      <c r="T155" s="144">
        <v>0.95</v>
      </c>
      <c r="U155" s="144">
        <f t="shared" si="50"/>
        <v>5.0000000000000044E-2</v>
      </c>
      <c r="W155" s="145">
        <f t="shared" si="51"/>
        <v>0</v>
      </c>
      <c r="X155" s="146">
        <f t="shared" si="52"/>
        <v>0</v>
      </c>
      <c r="Y155" s="145">
        <f t="shared" si="53"/>
        <v>2612.5</v>
      </c>
      <c r="Z155" s="146">
        <f t="shared" si="54"/>
        <v>2.375</v>
      </c>
      <c r="AA155" s="145">
        <f t="shared" si="55"/>
        <v>137.50000000000011</v>
      </c>
      <c r="AB155" s="146">
        <f t="shared" si="56"/>
        <v>0.12500000000000011</v>
      </c>
    </row>
    <row r="156" spans="1:28" ht="26.25" x14ac:dyDescent="0.25">
      <c r="A156" s="118">
        <v>8</v>
      </c>
      <c r="B156" s="129" t="s">
        <v>207</v>
      </c>
      <c r="C156" s="120" t="s">
        <v>208</v>
      </c>
      <c r="D156" s="121" t="s">
        <v>90</v>
      </c>
      <c r="E156" s="120" t="s">
        <v>91</v>
      </c>
      <c r="F156" s="121" t="s">
        <v>92</v>
      </c>
      <c r="G156" s="132">
        <v>1</v>
      </c>
      <c r="H156" s="132">
        <v>3300</v>
      </c>
      <c r="I156" s="123">
        <f t="shared" si="46"/>
        <v>1100</v>
      </c>
      <c r="J156" s="122">
        <f t="shared" si="47"/>
        <v>3300</v>
      </c>
      <c r="K156" s="123">
        <f t="shared" si="48"/>
        <v>1100</v>
      </c>
      <c r="L156" s="124">
        <f t="shared" si="30"/>
        <v>1100</v>
      </c>
      <c r="M156" s="123">
        <f t="shared" si="49"/>
        <v>1100</v>
      </c>
      <c r="N156" s="118"/>
      <c r="O156" s="118"/>
      <c r="P156" s="118"/>
      <c r="Q156" s="118"/>
      <c r="S156" s="144">
        <v>0</v>
      </c>
      <c r="T156" s="144">
        <v>0.95</v>
      </c>
      <c r="U156" s="144">
        <f t="shared" si="50"/>
        <v>5.0000000000000044E-2</v>
      </c>
      <c r="W156" s="145">
        <f t="shared" si="51"/>
        <v>0</v>
      </c>
      <c r="X156" s="146">
        <f t="shared" si="52"/>
        <v>0</v>
      </c>
      <c r="Y156" s="145">
        <f t="shared" si="53"/>
        <v>1045</v>
      </c>
      <c r="Z156" s="146">
        <f t="shared" si="54"/>
        <v>0.95</v>
      </c>
      <c r="AA156" s="145">
        <f t="shared" si="55"/>
        <v>55.00000000000005</v>
      </c>
      <c r="AB156" s="146">
        <f t="shared" si="56"/>
        <v>5.0000000000000044E-2</v>
      </c>
    </row>
    <row r="157" spans="1:28" ht="26.25" x14ac:dyDescent="0.25">
      <c r="A157" s="118">
        <v>8</v>
      </c>
      <c r="B157" s="129" t="s">
        <v>209</v>
      </c>
      <c r="C157" s="120" t="s">
        <v>209</v>
      </c>
      <c r="D157" s="121" t="s">
        <v>90</v>
      </c>
      <c r="E157" s="120" t="s">
        <v>91</v>
      </c>
      <c r="F157" s="121" t="s">
        <v>92</v>
      </c>
      <c r="G157" s="132">
        <v>11</v>
      </c>
      <c r="H157" s="132">
        <v>2100</v>
      </c>
      <c r="I157" s="123">
        <f t="shared" si="46"/>
        <v>700</v>
      </c>
      <c r="J157" s="122">
        <f t="shared" si="47"/>
        <v>23100</v>
      </c>
      <c r="K157" s="123">
        <f t="shared" si="48"/>
        <v>7700</v>
      </c>
      <c r="L157" s="124">
        <f t="shared" si="30"/>
        <v>7700</v>
      </c>
      <c r="M157" s="123">
        <f t="shared" si="49"/>
        <v>7700</v>
      </c>
      <c r="N157" s="118"/>
      <c r="O157" s="118"/>
      <c r="P157" s="118"/>
      <c r="Q157" s="118"/>
      <c r="S157" s="144">
        <v>0.65</v>
      </c>
      <c r="T157" s="144">
        <v>0.35</v>
      </c>
      <c r="U157" s="144">
        <f t="shared" si="50"/>
        <v>0</v>
      </c>
      <c r="W157" s="145">
        <f t="shared" si="51"/>
        <v>5005</v>
      </c>
      <c r="X157" s="146">
        <f t="shared" si="52"/>
        <v>7.15</v>
      </c>
      <c r="Y157" s="145">
        <f t="shared" si="53"/>
        <v>2695</v>
      </c>
      <c r="Z157" s="146">
        <f t="shared" si="54"/>
        <v>3.8499999999999996</v>
      </c>
      <c r="AA157" s="145">
        <f t="shared" si="55"/>
        <v>0</v>
      </c>
      <c r="AB157" s="146">
        <f t="shared" si="56"/>
        <v>0</v>
      </c>
    </row>
    <row r="158" spans="1:28" ht="39" x14ac:dyDescent="0.25">
      <c r="A158" s="118">
        <v>8</v>
      </c>
      <c r="B158" s="129" t="s">
        <v>210</v>
      </c>
      <c r="C158" s="129" t="s">
        <v>211</v>
      </c>
      <c r="D158" s="121" t="s">
        <v>125</v>
      </c>
      <c r="E158" s="120" t="s">
        <v>126</v>
      </c>
      <c r="F158" s="121" t="s">
        <v>119</v>
      </c>
      <c r="G158" s="132">
        <v>50</v>
      </c>
      <c r="H158" s="132">
        <v>60</v>
      </c>
      <c r="I158" s="123">
        <f t="shared" si="46"/>
        <v>20</v>
      </c>
      <c r="J158" s="122">
        <f t="shared" si="47"/>
        <v>3000</v>
      </c>
      <c r="K158" s="123">
        <f t="shared" si="48"/>
        <v>1000</v>
      </c>
      <c r="L158" s="124">
        <f t="shared" si="30"/>
        <v>1000</v>
      </c>
      <c r="M158" s="123">
        <f t="shared" si="49"/>
        <v>300</v>
      </c>
      <c r="N158" s="123">
        <f>K158*0.7</f>
        <v>700</v>
      </c>
      <c r="O158" s="118"/>
      <c r="P158" s="118"/>
      <c r="Q158" s="118"/>
      <c r="S158" s="147">
        <v>0.9</v>
      </c>
      <c r="T158" s="147">
        <f t="shared" ref="T158" si="57">1-S158</f>
        <v>9.9999999999999978E-2</v>
      </c>
      <c r="U158" s="147">
        <f t="shared" si="50"/>
        <v>0</v>
      </c>
      <c r="W158" s="148">
        <f t="shared" si="51"/>
        <v>900</v>
      </c>
      <c r="X158" s="149">
        <f>S158*G158/20</f>
        <v>2.25</v>
      </c>
      <c r="Y158" s="148">
        <f t="shared" si="53"/>
        <v>99.999999999999972</v>
      </c>
      <c r="Z158" s="149">
        <f>T158*G158/20</f>
        <v>0.24999999999999994</v>
      </c>
      <c r="AA158" s="148">
        <f t="shared" si="55"/>
        <v>0</v>
      </c>
      <c r="AB158" s="149">
        <f t="shared" si="56"/>
        <v>0</v>
      </c>
    </row>
    <row r="159" spans="1:28" ht="26.25" x14ac:dyDescent="0.25">
      <c r="A159" s="118">
        <v>8</v>
      </c>
      <c r="B159" s="129" t="s">
        <v>212</v>
      </c>
      <c r="C159" s="120" t="s">
        <v>213</v>
      </c>
      <c r="D159" s="121" t="s">
        <v>98</v>
      </c>
      <c r="E159" s="120" t="s">
        <v>180</v>
      </c>
      <c r="F159" s="121"/>
      <c r="G159" s="132">
        <v>2</v>
      </c>
      <c r="H159" s="132">
        <v>600</v>
      </c>
      <c r="I159" s="123">
        <f t="shared" si="46"/>
        <v>200</v>
      </c>
      <c r="J159" s="122">
        <f t="shared" si="47"/>
        <v>1200</v>
      </c>
      <c r="K159" s="123">
        <f t="shared" si="48"/>
        <v>400</v>
      </c>
      <c r="L159" s="124">
        <f t="shared" si="30"/>
        <v>400</v>
      </c>
      <c r="M159" s="123">
        <f t="shared" si="49"/>
        <v>400</v>
      </c>
      <c r="N159" s="118"/>
      <c r="O159" s="118"/>
      <c r="P159" s="118"/>
      <c r="Q159" s="118"/>
    </row>
    <row r="160" spans="1:28" ht="39" x14ac:dyDescent="0.25">
      <c r="A160" s="118">
        <v>8</v>
      </c>
      <c r="B160" s="129" t="s">
        <v>214</v>
      </c>
      <c r="C160" s="120"/>
      <c r="D160" s="121" t="s">
        <v>98</v>
      </c>
      <c r="E160" s="120" t="s">
        <v>143</v>
      </c>
      <c r="F160" s="121" t="s">
        <v>136</v>
      </c>
      <c r="G160" s="132">
        <v>20</v>
      </c>
      <c r="H160" s="132">
        <v>20</v>
      </c>
      <c r="I160" s="123">
        <f t="shared" si="46"/>
        <v>6.666666666666667</v>
      </c>
      <c r="J160" s="122">
        <f t="shared" si="47"/>
        <v>400</v>
      </c>
      <c r="K160" s="123">
        <f t="shared" si="48"/>
        <v>133.33333333333334</v>
      </c>
      <c r="L160" s="124">
        <f t="shared" si="30"/>
        <v>133.33333333333334</v>
      </c>
      <c r="M160" s="123">
        <f t="shared" si="49"/>
        <v>133.33333333333334</v>
      </c>
      <c r="N160" s="118"/>
      <c r="O160" s="118"/>
      <c r="P160" s="118"/>
      <c r="Q160" s="118"/>
      <c r="W160" s="150">
        <f>SUM(W149:W159)</f>
        <v>35490</v>
      </c>
      <c r="X160" s="151">
        <f>SUM(X149:X159)</f>
        <v>36.15</v>
      </c>
      <c r="Y160" s="152">
        <f t="shared" ref="Y160:AB160" si="58">SUM(Y149:Y159)</f>
        <v>21324.166666666664</v>
      </c>
      <c r="Z160" s="151">
        <f t="shared" si="58"/>
        <v>20.475000000000001</v>
      </c>
      <c r="AA160" s="152">
        <f t="shared" si="58"/>
        <v>13769.166666666668</v>
      </c>
      <c r="AB160" s="153">
        <f t="shared" si="58"/>
        <v>12.375</v>
      </c>
    </row>
    <row r="161" spans="1:28" ht="26.25" x14ac:dyDescent="0.25">
      <c r="A161" s="118">
        <v>8</v>
      </c>
      <c r="B161" s="129" t="s">
        <v>215</v>
      </c>
      <c r="C161" s="120"/>
      <c r="D161" s="121" t="s">
        <v>216</v>
      </c>
      <c r="E161" s="120" t="s">
        <v>217</v>
      </c>
      <c r="F161" s="121" t="s">
        <v>136</v>
      </c>
      <c r="G161" s="132">
        <v>6</v>
      </c>
      <c r="H161" s="132">
        <v>1000</v>
      </c>
      <c r="I161" s="123">
        <f t="shared" si="46"/>
        <v>333.33333333333331</v>
      </c>
      <c r="J161" s="122">
        <f t="shared" si="47"/>
        <v>6000</v>
      </c>
      <c r="K161" s="123">
        <f t="shared" si="48"/>
        <v>2000</v>
      </c>
      <c r="L161" s="124">
        <f t="shared" si="30"/>
        <v>2000</v>
      </c>
      <c r="M161" s="123">
        <f t="shared" si="49"/>
        <v>2000</v>
      </c>
      <c r="N161" s="118"/>
      <c r="O161" s="118"/>
      <c r="P161" s="118"/>
      <c r="Q161" s="118"/>
      <c r="W161" s="154"/>
      <c r="X161" s="155" t="s">
        <v>218</v>
      </c>
      <c r="Y161" s="155"/>
      <c r="Z161" s="155" t="s">
        <v>218</v>
      </c>
      <c r="AA161" s="155"/>
      <c r="AB161" s="149" t="s">
        <v>218</v>
      </c>
    </row>
    <row r="162" spans="1:28" ht="26.25" x14ac:dyDescent="0.25">
      <c r="A162" s="118">
        <v>8</v>
      </c>
      <c r="B162" s="129" t="s">
        <v>219</v>
      </c>
      <c r="C162" s="120" t="s">
        <v>220</v>
      </c>
      <c r="D162" s="121" t="s">
        <v>125</v>
      </c>
      <c r="E162" s="120" t="s">
        <v>221</v>
      </c>
      <c r="F162" s="121" t="s">
        <v>136</v>
      </c>
      <c r="G162" s="132">
        <v>10000</v>
      </c>
      <c r="H162" s="132">
        <v>0.2</v>
      </c>
      <c r="I162" s="123">
        <f t="shared" si="46"/>
        <v>6.6666666666666666E-2</v>
      </c>
      <c r="J162" s="122">
        <f t="shared" si="47"/>
        <v>2000</v>
      </c>
      <c r="K162" s="123">
        <f t="shared" si="48"/>
        <v>666.66666666666663</v>
      </c>
      <c r="L162" s="124">
        <f t="shared" si="30"/>
        <v>666.66666666666663</v>
      </c>
      <c r="M162" s="123">
        <f t="shared" si="49"/>
        <v>666.66666666666663</v>
      </c>
      <c r="N162" s="118"/>
      <c r="O162" s="118"/>
      <c r="P162" s="118"/>
      <c r="Q162" s="118"/>
    </row>
    <row r="163" spans="1:28" ht="26.25" x14ac:dyDescent="0.25">
      <c r="A163" s="118">
        <v>8</v>
      </c>
      <c r="B163" s="129" t="s">
        <v>222</v>
      </c>
      <c r="C163" s="120" t="s">
        <v>223</v>
      </c>
      <c r="D163" s="121" t="s">
        <v>94</v>
      </c>
      <c r="E163" s="120" t="s">
        <v>135</v>
      </c>
      <c r="F163" s="121" t="s">
        <v>136</v>
      </c>
      <c r="G163" s="132">
        <v>1</v>
      </c>
      <c r="H163" s="132">
        <v>5000</v>
      </c>
      <c r="I163" s="123">
        <f t="shared" si="46"/>
        <v>1666.6666666666667</v>
      </c>
      <c r="J163" s="122">
        <f t="shared" si="47"/>
        <v>5000</v>
      </c>
      <c r="K163" s="123">
        <f t="shared" si="48"/>
        <v>1666.6666666666667</v>
      </c>
      <c r="L163" s="124">
        <f t="shared" si="30"/>
        <v>1666.6666666666667</v>
      </c>
      <c r="M163" s="123">
        <f t="shared" si="49"/>
        <v>1666.6666666666667</v>
      </c>
      <c r="N163" s="118"/>
      <c r="O163" s="118"/>
      <c r="P163" s="118"/>
      <c r="Q163" s="118"/>
    </row>
    <row r="164" spans="1:28" ht="51.75" x14ac:dyDescent="0.25">
      <c r="A164" s="118">
        <v>8</v>
      </c>
      <c r="B164" s="129" t="s">
        <v>222</v>
      </c>
      <c r="C164" s="120" t="s">
        <v>223</v>
      </c>
      <c r="D164" s="121" t="s">
        <v>94</v>
      </c>
      <c r="E164" s="120" t="s">
        <v>224</v>
      </c>
      <c r="F164" s="121" t="s">
        <v>136</v>
      </c>
      <c r="G164" s="132">
        <v>1</v>
      </c>
      <c r="H164" s="132">
        <v>6000</v>
      </c>
      <c r="I164" s="123">
        <f t="shared" si="46"/>
        <v>2000</v>
      </c>
      <c r="J164" s="122">
        <f t="shared" si="47"/>
        <v>6000</v>
      </c>
      <c r="K164" s="123">
        <f t="shared" si="48"/>
        <v>2000</v>
      </c>
      <c r="L164" s="124">
        <f t="shared" si="30"/>
        <v>2000</v>
      </c>
      <c r="M164" s="123">
        <f t="shared" si="49"/>
        <v>2000</v>
      </c>
      <c r="N164" s="118"/>
      <c r="O164" s="118"/>
      <c r="P164" s="118"/>
      <c r="Q164" s="118"/>
    </row>
    <row r="165" spans="1:28" x14ac:dyDescent="0.25">
      <c r="A165" s="118"/>
      <c r="B165" s="129"/>
      <c r="C165" s="156"/>
      <c r="D165" s="121"/>
      <c r="E165" s="120"/>
      <c r="F165" s="121"/>
      <c r="G165" s="132"/>
      <c r="H165" s="132"/>
      <c r="I165" s="123"/>
      <c r="J165" s="122"/>
      <c r="K165" s="123"/>
      <c r="M165" s="139"/>
      <c r="N165" s="157"/>
      <c r="O165" s="157"/>
      <c r="P165" s="157"/>
      <c r="Q165" s="157"/>
    </row>
    <row r="166" spans="1:28" x14ac:dyDescent="0.25">
      <c r="A166" s="118"/>
      <c r="B166" s="129"/>
      <c r="C166" s="156"/>
      <c r="D166" s="121"/>
      <c r="E166" s="120"/>
      <c r="F166" s="121"/>
      <c r="G166" s="132"/>
      <c r="H166" s="132"/>
      <c r="I166" s="123"/>
      <c r="J166" s="122"/>
      <c r="K166" s="101"/>
      <c r="M166" s="139"/>
      <c r="N166" s="157"/>
      <c r="O166" s="157"/>
      <c r="P166" s="157"/>
      <c r="Q166" s="157"/>
    </row>
    <row r="167" spans="1:28" x14ac:dyDescent="0.25">
      <c r="A167" s="158"/>
      <c r="B167" s="159" t="s">
        <v>39</v>
      </c>
      <c r="C167" s="160"/>
      <c r="D167" s="160"/>
      <c r="E167" s="161"/>
      <c r="F167" s="160"/>
      <c r="G167" s="160"/>
      <c r="H167" s="160"/>
      <c r="I167" s="162"/>
      <c r="J167" s="163">
        <f>SUM(J168:J208)</f>
        <v>44034.15</v>
      </c>
      <c r="K167" s="164">
        <f>SUM(K168:K191)</f>
        <v>14678.05</v>
      </c>
    </row>
    <row r="168" spans="1:28" x14ac:dyDescent="0.25">
      <c r="A168" s="118"/>
      <c r="B168" s="129"/>
      <c r="C168" s="156"/>
      <c r="D168" s="121"/>
      <c r="E168" s="120"/>
      <c r="F168" s="121"/>
      <c r="G168" s="132"/>
      <c r="H168" s="132"/>
      <c r="I168" s="123"/>
      <c r="J168" s="122"/>
      <c r="K168" s="123"/>
      <c r="M168" s="139"/>
      <c r="N168" s="157"/>
      <c r="O168" s="157"/>
      <c r="P168" s="157"/>
      <c r="Q168" s="157"/>
    </row>
    <row r="169" spans="1:28" x14ac:dyDescent="0.25">
      <c r="A169" s="118">
        <v>9</v>
      </c>
      <c r="B169" s="118" t="s">
        <v>225</v>
      </c>
      <c r="C169" s="156"/>
      <c r="D169" s="121"/>
      <c r="E169" s="120"/>
      <c r="F169" s="121"/>
      <c r="G169" s="132"/>
      <c r="H169" s="132"/>
      <c r="I169" s="123">
        <f t="shared" si="46"/>
        <v>0</v>
      </c>
      <c r="J169" s="122">
        <f t="shared" ref="J169:J179" si="59">G169*H169</f>
        <v>0</v>
      </c>
      <c r="K169" s="123">
        <f t="shared" si="48"/>
        <v>0</v>
      </c>
      <c r="M169" s="123">
        <f>K169-SUM(N169:Q169)</f>
        <v>0</v>
      </c>
      <c r="N169" s="118"/>
      <c r="O169" s="123">
        <f>K169</f>
        <v>0</v>
      </c>
      <c r="P169" s="118"/>
      <c r="Q169" s="118"/>
    </row>
    <row r="170" spans="1:28" x14ac:dyDescent="0.25">
      <c r="A170" s="118">
        <v>9</v>
      </c>
      <c r="B170" t="s">
        <v>226</v>
      </c>
      <c r="C170" s="120"/>
      <c r="D170" s="121" t="s">
        <v>227</v>
      </c>
      <c r="E170" s="120"/>
      <c r="F170" s="121" t="s">
        <v>92</v>
      </c>
      <c r="G170" s="132">
        <v>15</v>
      </c>
      <c r="H170" s="132">
        <v>450</v>
      </c>
      <c r="I170" s="123">
        <f t="shared" si="46"/>
        <v>150</v>
      </c>
      <c r="J170" s="122">
        <f t="shared" si="59"/>
        <v>6750</v>
      </c>
      <c r="K170" s="123">
        <f t="shared" si="48"/>
        <v>2250</v>
      </c>
      <c r="M170" s="123">
        <f t="shared" si="49"/>
        <v>0</v>
      </c>
      <c r="N170" s="118"/>
      <c r="O170" s="123">
        <f t="shared" ref="O170:O179" si="60">K170</f>
        <v>2250</v>
      </c>
      <c r="P170" s="118"/>
      <c r="Q170" s="118"/>
    </row>
    <row r="171" spans="1:28" x14ac:dyDescent="0.25">
      <c r="A171" s="118">
        <v>9</v>
      </c>
      <c r="B171" t="s">
        <v>228</v>
      </c>
      <c r="C171" s="120"/>
      <c r="D171" s="121" t="s">
        <v>229</v>
      </c>
      <c r="E171" s="120"/>
      <c r="F171" s="121" t="s">
        <v>92</v>
      </c>
      <c r="G171" s="132">
        <v>5.7</v>
      </c>
      <c r="H171" s="132">
        <v>300</v>
      </c>
      <c r="I171" s="123">
        <f t="shared" si="46"/>
        <v>100</v>
      </c>
      <c r="J171" s="122">
        <f t="shared" si="59"/>
        <v>1710</v>
      </c>
      <c r="K171" s="123">
        <f t="shared" si="48"/>
        <v>570</v>
      </c>
      <c r="M171" s="123">
        <f t="shared" si="49"/>
        <v>0</v>
      </c>
      <c r="N171" s="118"/>
      <c r="O171" s="123">
        <f t="shared" si="60"/>
        <v>570</v>
      </c>
      <c r="P171" s="118"/>
      <c r="Q171" s="118"/>
    </row>
    <row r="172" spans="1:28" x14ac:dyDescent="0.25">
      <c r="A172" s="118">
        <v>9</v>
      </c>
      <c r="B172" t="s">
        <v>230</v>
      </c>
      <c r="C172" s="120"/>
      <c r="D172" s="121"/>
      <c r="E172" s="120"/>
      <c r="F172" s="121" t="s">
        <v>119</v>
      </c>
      <c r="G172" s="132">
        <v>100</v>
      </c>
      <c r="H172" s="132">
        <v>60</v>
      </c>
      <c r="I172" s="123">
        <f t="shared" si="46"/>
        <v>20</v>
      </c>
      <c r="J172" s="122">
        <f t="shared" si="59"/>
        <v>6000</v>
      </c>
      <c r="K172" s="123">
        <f t="shared" si="48"/>
        <v>2000</v>
      </c>
      <c r="M172" s="123">
        <f t="shared" si="49"/>
        <v>0</v>
      </c>
      <c r="N172" s="118"/>
      <c r="O172" s="123"/>
      <c r="P172" s="118"/>
      <c r="Q172" s="123">
        <f>K172</f>
        <v>2000</v>
      </c>
    </row>
    <row r="173" spans="1:28" x14ac:dyDescent="0.25">
      <c r="A173" s="118">
        <v>9</v>
      </c>
      <c r="B173" t="s">
        <v>231</v>
      </c>
      <c r="C173" s="120"/>
      <c r="D173" s="121"/>
      <c r="E173" s="120"/>
      <c r="F173" s="121" t="s">
        <v>92</v>
      </c>
      <c r="G173" s="132">
        <v>15</v>
      </c>
      <c r="H173" s="132">
        <v>200</v>
      </c>
      <c r="I173" s="123">
        <f t="shared" si="46"/>
        <v>66.666666666666671</v>
      </c>
      <c r="J173" s="122">
        <f t="shared" si="59"/>
        <v>3000</v>
      </c>
      <c r="K173" s="123">
        <f t="shared" si="48"/>
        <v>1000.0000000000001</v>
      </c>
      <c r="M173" s="123">
        <f t="shared" si="49"/>
        <v>0</v>
      </c>
      <c r="N173" s="118"/>
      <c r="O173" s="123">
        <f t="shared" si="60"/>
        <v>1000.0000000000001</v>
      </c>
      <c r="P173" s="118"/>
      <c r="Q173" s="118"/>
    </row>
    <row r="174" spans="1:28" x14ac:dyDescent="0.25">
      <c r="A174" s="118">
        <v>9</v>
      </c>
      <c r="B174" t="s">
        <v>232</v>
      </c>
      <c r="C174" s="120"/>
      <c r="D174" s="121"/>
      <c r="E174" s="120"/>
      <c r="F174" s="121" t="s">
        <v>92</v>
      </c>
      <c r="G174" s="132">
        <v>15</v>
      </c>
      <c r="H174" s="132">
        <v>400</v>
      </c>
      <c r="I174" s="123">
        <f t="shared" si="46"/>
        <v>133.33333333333334</v>
      </c>
      <c r="J174" s="122">
        <f t="shared" si="59"/>
        <v>6000</v>
      </c>
      <c r="K174" s="123">
        <f t="shared" si="48"/>
        <v>2000.0000000000002</v>
      </c>
      <c r="M174" s="123">
        <f t="shared" si="49"/>
        <v>0</v>
      </c>
      <c r="N174" s="118"/>
      <c r="O174" s="123">
        <f t="shared" si="60"/>
        <v>2000.0000000000002</v>
      </c>
      <c r="P174" s="118"/>
      <c r="Q174" s="118"/>
    </row>
    <row r="175" spans="1:28" x14ac:dyDescent="0.25">
      <c r="A175" s="118">
        <v>9</v>
      </c>
      <c r="B175" t="s">
        <v>233</v>
      </c>
      <c r="C175" s="120"/>
      <c r="D175" s="121" t="s">
        <v>234</v>
      </c>
      <c r="E175" s="120"/>
      <c r="F175" s="121" t="s">
        <v>136</v>
      </c>
      <c r="G175" s="132">
        <v>1</v>
      </c>
      <c r="H175" s="132">
        <v>5974.15</v>
      </c>
      <c r="I175" s="123">
        <f t="shared" si="46"/>
        <v>1991.3833333333332</v>
      </c>
      <c r="J175" s="122">
        <f t="shared" si="59"/>
        <v>5974.15</v>
      </c>
      <c r="K175" s="123">
        <f t="shared" si="48"/>
        <v>1991.3833333333332</v>
      </c>
      <c r="M175" s="123">
        <f t="shared" si="49"/>
        <v>0</v>
      </c>
      <c r="N175" s="118"/>
      <c r="O175" s="123">
        <f t="shared" si="60"/>
        <v>1991.3833333333332</v>
      </c>
      <c r="P175" s="118"/>
      <c r="Q175" s="118"/>
    </row>
    <row r="176" spans="1:28" x14ac:dyDescent="0.25">
      <c r="A176" s="118">
        <v>9</v>
      </c>
      <c r="B176" t="s">
        <v>235</v>
      </c>
      <c r="C176" s="120"/>
      <c r="D176" s="121"/>
      <c r="E176" s="120"/>
      <c r="F176" s="121" t="s">
        <v>92</v>
      </c>
      <c r="G176" s="132">
        <v>15</v>
      </c>
      <c r="H176" s="132">
        <v>400</v>
      </c>
      <c r="I176" s="123">
        <f t="shared" si="46"/>
        <v>133.33333333333334</v>
      </c>
      <c r="J176" s="122">
        <f t="shared" si="59"/>
        <v>6000</v>
      </c>
      <c r="K176" s="123">
        <f t="shared" si="48"/>
        <v>2000.0000000000002</v>
      </c>
      <c r="M176" s="123">
        <f t="shared" si="49"/>
        <v>0</v>
      </c>
      <c r="N176" s="118"/>
      <c r="O176" s="123">
        <f t="shared" si="60"/>
        <v>2000.0000000000002</v>
      </c>
      <c r="P176" s="118"/>
      <c r="Q176" s="118"/>
    </row>
    <row r="177" spans="1:17" x14ac:dyDescent="0.25">
      <c r="A177" s="118">
        <v>9</v>
      </c>
      <c r="B177" t="s">
        <v>236</v>
      </c>
      <c r="C177" s="120"/>
      <c r="D177" s="121"/>
      <c r="E177" s="120"/>
      <c r="F177" s="121"/>
      <c r="G177" s="132"/>
      <c r="H177" s="132"/>
      <c r="I177" s="123">
        <f t="shared" si="46"/>
        <v>0</v>
      </c>
      <c r="J177" s="122">
        <f t="shared" si="59"/>
        <v>0</v>
      </c>
      <c r="K177" s="123">
        <f t="shared" si="48"/>
        <v>0</v>
      </c>
      <c r="M177" s="123">
        <f t="shared" si="49"/>
        <v>0</v>
      </c>
      <c r="N177" s="118"/>
      <c r="O177" s="123">
        <f t="shared" si="60"/>
        <v>0</v>
      </c>
      <c r="P177" s="118"/>
      <c r="Q177" s="118"/>
    </row>
    <row r="178" spans="1:17" x14ac:dyDescent="0.25">
      <c r="A178" s="118">
        <v>9</v>
      </c>
      <c r="B178" t="s">
        <v>237</v>
      </c>
      <c r="C178" s="120"/>
      <c r="D178" s="121"/>
      <c r="E178" s="120"/>
      <c r="F178" s="121" t="s">
        <v>136</v>
      </c>
      <c r="G178" s="132">
        <v>1</v>
      </c>
      <c r="H178" s="132">
        <v>8000</v>
      </c>
      <c r="I178" s="123">
        <f t="shared" si="46"/>
        <v>2666.6666666666665</v>
      </c>
      <c r="J178" s="122">
        <f t="shared" si="59"/>
        <v>8000</v>
      </c>
      <c r="K178" s="123">
        <f t="shared" si="48"/>
        <v>2666.6666666666665</v>
      </c>
      <c r="M178" s="123">
        <f t="shared" si="49"/>
        <v>0</v>
      </c>
      <c r="N178" s="118"/>
      <c r="O178" s="123">
        <f t="shared" si="60"/>
        <v>2666.6666666666665</v>
      </c>
      <c r="P178" s="118"/>
      <c r="Q178" s="118"/>
    </row>
    <row r="179" spans="1:17" x14ac:dyDescent="0.25">
      <c r="A179" s="118">
        <v>9</v>
      </c>
      <c r="B179" t="s">
        <v>238</v>
      </c>
      <c r="C179" s="120"/>
      <c r="D179" s="121"/>
      <c r="E179" s="120"/>
      <c r="F179" s="121" t="s">
        <v>92</v>
      </c>
      <c r="G179" s="132">
        <v>15</v>
      </c>
      <c r="H179" s="132">
        <v>40</v>
      </c>
      <c r="I179" s="123">
        <f t="shared" si="46"/>
        <v>13.333333333333334</v>
      </c>
      <c r="J179" s="122">
        <f t="shared" si="59"/>
        <v>600</v>
      </c>
      <c r="K179" s="123">
        <f t="shared" si="48"/>
        <v>200</v>
      </c>
      <c r="M179" s="123">
        <f t="shared" si="49"/>
        <v>0</v>
      </c>
      <c r="N179" s="118"/>
      <c r="O179" s="123">
        <f t="shared" si="60"/>
        <v>200</v>
      </c>
      <c r="P179" s="118"/>
      <c r="Q179" s="118"/>
    </row>
    <row r="180" spans="1:17" x14ac:dyDescent="0.25">
      <c r="A180" s="118"/>
      <c r="B180" s="129"/>
      <c r="C180" s="120"/>
      <c r="D180" s="121"/>
      <c r="E180" s="120"/>
      <c r="F180" s="121"/>
      <c r="G180" s="132"/>
      <c r="H180" s="132"/>
      <c r="I180" s="123"/>
      <c r="J180" s="122"/>
      <c r="K180" s="123"/>
      <c r="M180" s="93"/>
    </row>
    <row r="181" spans="1:17" x14ac:dyDescent="0.25">
      <c r="A181" s="118"/>
      <c r="B181" s="129"/>
      <c r="C181" s="120"/>
      <c r="D181" s="121"/>
      <c r="E181" s="120"/>
      <c r="F181" s="121"/>
      <c r="G181" s="132"/>
      <c r="H181" s="132"/>
      <c r="I181" s="123"/>
      <c r="J181" s="122"/>
      <c r="K181" s="123"/>
      <c r="M181" s="93"/>
    </row>
    <row r="182" spans="1:17" x14ac:dyDescent="0.25">
      <c r="A182" s="118"/>
      <c r="B182" s="129"/>
      <c r="C182" s="120"/>
      <c r="D182" s="121"/>
      <c r="E182" s="120"/>
      <c r="F182" s="121"/>
      <c r="G182" s="132"/>
      <c r="H182" s="132"/>
      <c r="I182" s="123"/>
      <c r="J182" s="122"/>
      <c r="K182" s="123"/>
      <c r="M182" s="93"/>
    </row>
    <row r="183" spans="1:17" x14ac:dyDescent="0.25">
      <c r="A183" s="118"/>
      <c r="B183" s="129"/>
      <c r="C183" s="120"/>
      <c r="D183" s="121"/>
      <c r="E183" s="120"/>
      <c r="F183" s="121"/>
      <c r="G183" s="132"/>
      <c r="H183" s="132"/>
      <c r="I183" s="123"/>
      <c r="J183" s="122"/>
      <c r="K183" s="123"/>
      <c r="M183" s="93"/>
    </row>
    <row r="184" spans="1:17" x14ac:dyDescent="0.25">
      <c r="A184" s="118"/>
      <c r="B184" s="129"/>
      <c r="C184" s="120"/>
      <c r="D184" s="121"/>
      <c r="E184" s="120"/>
      <c r="F184" s="121"/>
      <c r="G184" s="132"/>
      <c r="H184" s="132"/>
      <c r="I184" s="123"/>
      <c r="J184" s="122"/>
      <c r="K184" s="123"/>
      <c r="M184" s="93"/>
    </row>
    <row r="185" spans="1:17" x14ac:dyDescent="0.25">
      <c r="A185" s="118"/>
      <c r="B185" s="129"/>
      <c r="C185" s="120"/>
      <c r="D185" s="121"/>
      <c r="E185" s="120"/>
      <c r="F185" s="121"/>
      <c r="G185" s="132"/>
      <c r="H185" s="132"/>
      <c r="I185" s="123"/>
      <c r="J185" s="122"/>
      <c r="K185" s="123"/>
      <c r="M185" s="93"/>
    </row>
    <row r="186" spans="1:17" x14ac:dyDescent="0.25">
      <c r="A186" s="118"/>
      <c r="B186" s="129"/>
      <c r="C186" s="120"/>
      <c r="D186" s="121"/>
      <c r="E186" s="120"/>
      <c r="F186" s="121"/>
      <c r="G186" s="130"/>
      <c r="H186" s="131"/>
      <c r="I186" s="123"/>
      <c r="J186" s="122"/>
      <c r="K186" s="123"/>
      <c r="M186" s="93"/>
    </row>
    <row r="187" spans="1:17" x14ac:dyDescent="0.25">
      <c r="A187" s="157"/>
      <c r="B187" s="129"/>
      <c r="C187" s="120"/>
      <c r="D187" s="121"/>
      <c r="E187" s="120"/>
      <c r="F187" s="121"/>
      <c r="G187" s="130"/>
      <c r="H187" s="131"/>
      <c r="I187" s="123"/>
      <c r="J187" s="122"/>
      <c r="K187" s="123"/>
      <c r="M187" s="93"/>
    </row>
    <row r="188" spans="1:17" x14ac:dyDescent="0.25">
      <c r="B188" s="129"/>
      <c r="C188" s="120"/>
      <c r="D188" s="121"/>
      <c r="E188" s="120"/>
      <c r="F188" s="121"/>
      <c r="G188" s="130"/>
      <c r="H188" s="131"/>
      <c r="I188" s="123"/>
      <c r="J188" s="122"/>
      <c r="K188" s="123"/>
      <c r="M188" s="93"/>
    </row>
    <row r="189" spans="1:17" x14ac:dyDescent="0.25">
      <c r="B189" s="129"/>
      <c r="C189" s="120"/>
      <c r="D189" s="121"/>
      <c r="E189" s="120"/>
      <c r="F189" s="121"/>
      <c r="G189" s="130"/>
      <c r="H189" s="131"/>
      <c r="I189" s="123"/>
      <c r="J189" s="122"/>
      <c r="K189" s="123"/>
      <c r="M189" s="93"/>
    </row>
    <row r="190" spans="1:17" x14ac:dyDescent="0.25">
      <c r="A190" s="118"/>
      <c r="B190" s="129"/>
      <c r="C190" s="120"/>
      <c r="D190" s="121"/>
      <c r="E190" s="120"/>
      <c r="F190" s="121"/>
      <c r="G190" s="130"/>
      <c r="H190" s="131"/>
      <c r="I190" s="123"/>
      <c r="J190" s="122"/>
      <c r="K190" s="123"/>
      <c r="M190" s="93"/>
    </row>
    <row r="191" spans="1:17" x14ac:dyDescent="0.25">
      <c r="A191" s="118"/>
      <c r="B191" s="129"/>
      <c r="C191" s="120"/>
      <c r="D191" s="121"/>
      <c r="E191" s="120"/>
      <c r="F191" s="121"/>
      <c r="G191" s="130"/>
      <c r="H191" s="131"/>
      <c r="I191" s="123"/>
      <c r="J191" s="122"/>
      <c r="K191" s="123"/>
      <c r="M191" s="93"/>
    </row>
  </sheetData>
  <mergeCells count="3">
    <mergeCell ref="W148:X148"/>
    <mergeCell ref="Y148:Z148"/>
    <mergeCell ref="AA148:AB148"/>
  </mergeCells>
  <conditionalFormatting sqref="L15 L73:L82 L112:L121 L84 L86 L124:L129">
    <cfRule type="cellIs" dxfId="59" priority="12" operator="notEqual">
      <formula>K15</formula>
    </cfRule>
  </conditionalFormatting>
  <conditionalFormatting sqref="L16:L32">
    <cfRule type="cellIs" dxfId="57" priority="11" operator="notEqual">
      <formula>K16</formula>
    </cfRule>
  </conditionalFormatting>
  <conditionalFormatting sqref="L36:L55">
    <cfRule type="cellIs" dxfId="55" priority="10" operator="notEqual">
      <formula>K36</formula>
    </cfRule>
  </conditionalFormatting>
  <conditionalFormatting sqref="L60:L67">
    <cfRule type="cellIs" dxfId="53" priority="9" operator="notEqual">
      <formula>K60</formula>
    </cfRule>
  </conditionalFormatting>
  <conditionalFormatting sqref="L89:L98 L101:L108">
    <cfRule type="cellIs" dxfId="51" priority="8" operator="notEqual">
      <formula>K89</formula>
    </cfRule>
  </conditionalFormatting>
  <conditionalFormatting sqref="L132:L145">
    <cfRule type="cellIs" dxfId="49" priority="7" operator="notEqual">
      <formula>K132</formula>
    </cfRule>
  </conditionalFormatting>
  <conditionalFormatting sqref="L149:L164">
    <cfRule type="cellIs" dxfId="47" priority="6" operator="notEqual">
      <formula>K149</formula>
    </cfRule>
  </conditionalFormatting>
  <conditionalFormatting sqref="L72">
    <cfRule type="cellIs" dxfId="45" priority="5" operator="notEqual">
      <formula>K72</formula>
    </cfRule>
  </conditionalFormatting>
  <conditionalFormatting sqref="L83">
    <cfRule type="cellIs" dxfId="43" priority="4" operator="notEqual">
      <formula>K83</formula>
    </cfRule>
  </conditionalFormatting>
  <conditionalFormatting sqref="L85">
    <cfRule type="cellIs" dxfId="41" priority="3" operator="notEqual">
      <formula>K85</formula>
    </cfRule>
  </conditionalFormatting>
  <conditionalFormatting sqref="L99:L100">
    <cfRule type="cellIs" dxfId="39" priority="2" operator="notEqual">
      <formula>K99</formula>
    </cfRule>
  </conditionalFormatting>
  <conditionalFormatting sqref="L122:L123">
    <cfRule type="cellIs" dxfId="37" priority="1" operator="notEqual">
      <formula>K122</formula>
    </cfRule>
  </conditionalFormatting>
  <dataValidations count="2">
    <dataValidation type="list" allowBlank="1" showInputMessage="1" sqref="E14:E32 E35:E55 E180:E191 E149:E166 E168 E132:E145 E59:E67 E71:E86 E89:E109 E112:E130">
      <formula1>INDIRECT(D14)</formula1>
    </dataValidation>
    <dataValidation type="list" allowBlank="1" showInputMessage="1" showErrorMessage="1" sqref="D14:D32 D35:D55 D180:D191 D149:D166 D168 D132:D145 D59:D67 D71:D86 D89:D109 D112:D130">
      <formula1>PARTIDA_PROYECTO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workbookViewId="0">
      <selection activeCell="J12" sqref="J12"/>
    </sheetView>
  </sheetViews>
  <sheetFormatPr baseColWidth="10" defaultRowHeight="15" outlineLevelRow="1" x14ac:dyDescent="0.25"/>
  <cols>
    <col min="1" max="1" width="26.28515625" customWidth="1"/>
    <col min="2" max="2" width="45.7109375" customWidth="1"/>
    <col min="3" max="3" width="14.140625" bestFit="1" customWidth="1"/>
    <col min="7" max="7" width="12.140625" bestFit="1" customWidth="1"/>
    <col min="8" max="8" width="14.42578125" customWidth="1"/>
    <col min="9" max="9" width="13.28515625" customWidth="1"/>
    <col min="10" max="10" width="18" customWidth="1"/>
    <col min="11" max="11" width="15.28515625" customWidth="1"/>
    <col min="14" max="14" width="13.140625" bestFit="1" customWidth="1"/>
    <col min="16" max="16" width="13.140625" bestFit="1" customWidth="1"/>
    <col min="18" max="18" width="12.140625" customWidth="1"/>
  </cols>
  <sheetData>
    <row r="1" spans="1:19" ht="18.75" x14ac:dyDescent="0.3">
      <c r="A1" s="1" t="s">
        <v>239</v>
      </c>
    </row>
    <row r="3" spans="1:19" x14ac:dyDescent="0.25">
      <c r="C3" t="s">
        <v>87</v>
      </c>
      <c r="D3" s="77" t="s">
        <v>72</v>
      </c>
      <c r="G3" t="s">
        <v>240</v>
      </c>
      <c r="H3" s="165"/>
      <c r="I3" s="77"/>
      <c r="J3" s="77"/>
      <c r="K3" s="77"/>
    </row>
    <row r="4" spans="1:19" ht="15.75" thickBot="1" x14ac:dyDescent="0.3">
      <c r="A4" s="77" t="s">
        <v>241</v>
      </c>
      <c r="B4" s="77" t="s">
        <v>242</v>
      </c>
      <c r="C4" s="166">
        <v>212520.80000000002</v>
      </c>
      <c r="D4" s="167">
        <v>101121.10833333332</v>
      </c>
      <c r="F4" s="77"/>
      <c r="G4" s="77">
        <v>6741.4072222222212</v>
      </c>
      <c r="H4" s="77"/>
    </row>
    <row r="5" spans="1:19" ht="30" customHeight="1" x14ac:dyDescent="0.25">
      <c r="A5" s="168" t="s">
        <v>131</v>
      </c>
      <c r="B5" s="169">
        <v>8.9089318943526147E-2</v>
      </c>
      <c r="C5" s="170">
        <v>18933.333333333332</v>
      </c>
      <c r="D5" s="167">
        <v>7193.3333333333339</v>
      </c>
      <c r="E5" s="171">
        <v>7.113582368600424E-2</v>
      </c>
      <c r="F5" s="167">
        <v>0</v>
      </c>
      <c r="G5" s="172">
        <v>479.5555555555556</v>
      </c>
    </row>
    <row r="6" spans="1:19" ht="30" customHeight="1" outlineLevel="1" x14ac:dyDescent="0.25">
      <c r="A6" s="173"/>
      <c r="B6" s="174" t="s">
        <v>132</v>
      </c>
      <c r="C6" s="175">
        <v>17833.333333333332</v>
      </c>
      <c r="D6" s="172">
        <v>6333.3333333333339</v>
      </c>
      <c r="E6" s="109">
        <v>6.2631170066454162E-2</v>
      </c>
      <c r="F6">
        <v>0</v>
      </c>
      <c r="H6" s="176"/>
      <c r="J6" s="176"/>
      <c r="K6" s="172"/>
      <c r="N6" s="93"/>
      <c r="P6" s="93"/>
      <c r="R6" s="93"/>
    </row>
    <row r="7" spans="1:19" ht="30" customHeight="1" outlineLevel="1" x14ac:dyDescent="0.25">
      <c r="A7" s="173"/>
      <c r="B7" s="177" t="s">
        <v>184</v>
      </c>
      <c r="C7" s="175">
        <v>500</v>
      </c>
      <c r="D7" s="172">
        <v>500</v>
      </c>
      <c r="E7" s="109">
        <v>4.9445660578779594E-3</v>
      </c>
      <c r="F7">
        <v>0</v>
      </c>
      <c r="H7" s="176"/>
      <c r="J7" s="176"/>
      <c r="K7" s="172"/>
    </row>
    <row r="8" spans="1:19" ht="30" customHeight="1" outlineLevel="1" x14ac:dyDescent="0.25">
      <c r="A8" s="173"/>
      <c r="B8" s="174" t="s">
        <v>243</v>
      </c>
      <c r="C8" s="175">
        <v>0</v>
      </c>
      <c r="D8" s="172">
        <v>0</v>
      </c>
      <c r="E8" s="109">
        <v>0</v>
      </c>
      <c r="F8">
        <v>0</v>
      </c>
      <c r="H8" s="176"/>
      <c r="J8" s="176"/>
    </row>
    <row r="9" spans="1:19" ht="30" customHeight="1" outlineLevel="1" x14ac:dyDescent="0.25">
      <c r="A9" s="173"/>
      <c r="B9" s="177" t="s">
        <v>145</v>
      </c>
      <c r="C9" s="175">
        <v>600</v>
      </c>
      <c r="D9" s="172">
        <v>360</v>
      </c>
      <c r="E9" s="109">
        <v>3.5600875616721307E-3</v>
      </c>
      <c r="F9">
        <v>0</v>
      </c>
      <c r="H9" s="176"/>
      <c r="J9" s="176"/>
    </row>
    <row r="10" spans="1:19" ht="30" customHeight="1" outlineLevel="1" thickBot="1" x14ac:dyDescent="0.3">
      <c r="A10" s="173"/>
      <c r="B10" s="178" t="s">
        <v>244</v>
      </c>
      <c r="C10" s="179">
        <v>0</v>
      </c>
      <c r="D10" s="172">
        <v>0</v>
      </c>
      <c r="E10" s="109">
        <v>0</v>
      </c>
      <c r="F10">
        <v>0</v>
      </c>
      <c r="H10" s="176"/>
      <c r="J10" s="176"/>
      <c r="N10" s="180"/>
      <c r="O10" s="180"/>
      <c r="P10" s="180"/>
      <c r="Q10" s="180"/>
      <c r="R10" s="180"/>
      <c r="S10" s="180"/>
    </row>
    <row r="11" spans="1:19" ht="30" customHeight="1" thickBot="1" x14ac:dyDescent="0.3">
      <c r="A11" s="168" t="s">
        <v>90</v>
      </c>
      <c r="B11" s="169">
        <v>0.4298775304189833</v>
      </c>
      <c r="C11" s="170">
        <v>91357.916666666672</v>
      </c>
      <c r="D11" s="167">
        <v>57348.333333333328</v>
      </c>
      <c r="E11" s="171">
        <v>0.56712524495174232</v>
      </c>
      <c r="F11" s="167">
        <v>0</v>
      </c>
      <c r="G11" s="172">
        <v>3823.2222222222217</v>
      </c>
      <c r="H11" s="176"/>
      <c r="J11" s="176"/>
    </row>
    <row r="12" spans="1:19" ht="30" customHeight="1" outlineLevel="1" thickBot="1" x14ac:dyDescent="0.3">
      <c r="A12" s="173"/>
      <c r="B12" s="169" t="s">
        <v>91</v>
      </c>
      <c r="C12" s="170">
        <v>71357.916666666672</v>
      </c>
      <c r="D12" s="172">
        <v>41348.333333333328</v>
      </c>
      <c r="E12" s="109">
        <v>0.40889913109964759</v>
      </c>
      <c r="F12">
        <v>0</v>
      </c>
      <c r="H12" s="176"/>
      <c r="I12" s="181"/>
      <c r="J12" s="176"/>
      <c r="K12" s="181"/>
      <c r="N12" s="172"/>
      <c r="O12" s="172"/>
      <c r="P12" s="172"/>
      <c r="Q12" s="172"/>
      <c r="S12" s="172"/>
    </row>
    <row r="13" spans="1:19" ht="30" customHeight="1" outlineLevel="1" thickBot="1" x14ac:dyDescent="0.3">
      <c r="A13" s="173"/>
      <c r="B13" s="169" t="s">
        <v>245</v>
      </c>
      <c r="C13" s="170">
        <v>0</v>
      </c>
      <c r="D13" s="172">
        <v>0</v>
      </c>
      <c r="E13" s="109">
        <v>0</v>
      </c>
      <c r="F13">
        <v>0</v>
      </c>
      <c r="H13" s="176"/>
      <c r="J13" s="176"/>
    </row>
    <row r="14" spans="1:19" ht="30" customHeight="1" outlineLevel="1" thickBot="1" x14ac:dyDescent="0.3">
      <c r="A14" s="173"/>
      <c r="B14" s="169" t="s">
        <v>197</v>
      </c>
      <c r="C14" s="170">
        <v>20000</v>
      </c>
      <c r="D14" s="172">
        <v>16000</v>
      </c>
      <c r="E14" s="109">
        <v>0.1582261138520947</v>
      </c>
      <c r="F14">
        <v>0</v>
      </c>
      <c r="H14" s="176"/>
      <c r="J14" s="176"/>
      <c r="N14" s="93"/>
      <c r="O14" s="172"/>
      <c r="P14" s="93"/>
      <c r="Q14" s="172"/>
    </row>
    <row r="15" spans="1:19" ht="30" customHeight="1" thickBot="1" x14ac:dyDescent="0.3">
      <c r="A15" s="168" t="s">
        <v>98</v>
      </c>
      <c r="B15" s="169">
        <v>4.5814339114100835E-2</v>
      </c>
      <c r="C15" s="170">
        <v>9736.5000000000018</v>
      </c>
      <c r="D15" s="167">
        <v>4940.2749999999996</v>
      </c>
      <c r="E15" s="171">
        <v>4.8855032163166064E-2</v>
      </c>
      <c r="F15" s="167">
        <v>2523.125</v>
      </c>
      <c r="G15" s="172">
        <v>329.35166666666663</v>
      </c>
      <c r="H15" s="176"/>
      <c r="J15" s="176"/>
    </row>
    <row r="16" spans="1:19" ht="30" customHeight="1" outlineLevel="1" thickBot="1" x14ac:dyDescent="0.3">
      <c r="A16" s="173"/>
      <c r="B16" s="169" t="s">
        <v>180</v>
      </c>
      <c r="C16" s="170">
        <v>566.66666666666674</v>
      </c>
      <c r="D16" s="172">
        <v>566.66666666666674</v>
      </c>
      <c r="E16" s="109">
        <v>5.6038415322616879E-3</v>
      </c>
      <c r="F16">
        <v>0</v>
      </c>
      <c r="H16" s="176"/>
      <c r="J16" s="176"/>
    </row>
    <row r="17" spans="1:10" ht="30" customHeight="1" outlineLevel="1" thickBot="1" x14ac:dyDescent="0.3">
      <c r="A17" s="173"/>
      <c r="B17" s="169" t="s">
        <v>246</v>
      </c>
      <c r="C17" s="170">
        <v>0</v>
      </c>
      <c r="D17" s="172">
        <v>0</v>
      </c>
      <c r="E17" s="109">
        <v>0</v>
      </c>
      <c r="F17">
        <v>0</v>
      </c>
      <c r="H17" s="176"/>
      <c r="J17" s="176"/>
    </row>
    <row r="18" spans="1:10" ht="30" customHeight="1" outlineLevel="1" thickBot="1" x14ac:dyDescent="0.3">
      <c r="A18" s="173"/>
      <c r="B18" s="169" t="s">
        <v>99</v>
      </c>
      <c r="C18" s="170">
        <v>5925.0000000000009</v>
      </c>
      <c r="D18" s="172">
        <v>2731.2499999999995</v>
      </c>
      <c r="E18" s="109">
        <v>2.7009692091158347E-2</v>
      </c>
      <c r="F18">
        <v>1682.0833333333335</v>
      </c>
      <c r="J18" s="176"/>
    </row>
    <row r="19" spans="1:10" ht="30" customHeight="1" outlineLevel="1" thickBot="1" x14ac:dyDescent="0.3">
      <c r="A19" s="173"/>
      <c r="B19" s="169" t="s">
        <v>100</v>
      </c>
      <c r="C19" s="170">
        <v>3097.5</v>
      </c>
      <c r="D19" s="172">
        <v>1500.6249999999998</v>
      </c>
      <c r="E19" s="109">
        <v>1.4839878881206223E-2</v>
      </c>
      <c r="F19">
        <v>841.04166666666674</v>
      </c>
    </row>
    <row r="20" spans="1:10" ht="30" customHeight="1" outlineLevel="1" thickBot="1" x14ac:dyDescent="0.3">
      <c r="A20" s="173"/>
      <c r="B20" s="169" t="s">
        <v>247</v>
      </c>
      <c r="C20" s="170">
        <v>0</v>
      </c>
      <c r="D20" s="172">
        <v>0</v>
      </c>
      <c r="E20" s="109">
        <v>0</v>
      </c>
      <c r="F20">
        <v>0</v>
      </c>
    </row>
    <row r="21" spans="1:10" ht="30" customHeight="1" outlineLevel="1" thickBot="1" x14ac:dyDescent="0.3">
      <c r="A21" s="182"/>
      <c r="B21" s="169" t="s">
        <v>143</v>
      </c>
      <c r="C21" s="170">
        <v>147.33333333333334</v>
      </c>
      <c r="D21" s="172">
        <v>141.73333333333335</v>
      </c>
      <c r="E21" s="109">
        <v>1.4016196585398056E-3</v>
      </c>
      <c r="F21">
        <v>0</v>
      </c>
    </row>
    <row r="22" spans="1:10" ht="30" customHeight="1" thickBot="1" x14ac:dyDescent="0.3">
      <c r="A22" s="173" t="s">
        <v>104</v>
      </c>
      <c r="B22" s="169">
        <v>1.4233900869938377E-2</v>
      </c>
      <c r="C22" s="170">
        <v>3025</v>
      </c>
      <c r="D22" s="167">
        <v>2102.5</v>
      </c>
      <c r="E22" s="171">
        <v>2.079190027337682E-2</v>
      </c>
      <c r="F22" s="167">
        <v>0</v>
      </c>
      <c r="G22" s="172">
        <v>140.16666666666666</v>
      </c>
    </row>
    <row r="23" spans="1:10" ht="30" customHeight="1" outlineLevel="1" thickBot="1" x14ac:dyDescent="0.3">
      <c r="A23" s="173"/>
      <c r="B23" s="169" t="s">
        <v>105</v>
      </c>
      <c r="C23" s="170">
        <v>3025</v>
      </c>
      <c r="D23" s="172">
        <v>2102.5</v>
      </c>
      <c r="E23" s="109">
        <v>2.079190027337682E-2</v>
      </c>
      <c r="F23">
        <v>0</v>
      </c>
    </row>
    <row r="24" spans="1:10" ht="30" customHeight="1" outlineLevel="1" thickBot="1" x14ac:dyDescent="0.3">
      <c r="A24" s="173"/>
      <c r="B24" s="169" t="s">
        <v>248</v>
      </c>
      <c r="C24" s="170">
        <v>0</v>
      </c>
      <c r="D24" s="172">
        <v>0</v>
      </c>
      <c r="E24" s="109">
        <v>0</v>
      </c>
      <c r="F24">
        <v>0</v>
      </c>
    </row>
    <row r="25" spans="1:10" ht="30" customHeight="1" outlineLevel="1" thickBot="1" x14ac:dyDescent="0.3">
      <c r="A25" s="182"/>
      <c r="B25" s="169" t="s">
        <v>249</v>
      </c>
      <c r="C25" s="170">
        <v>0</v>
      </c>
      <c r="D25" s="172">
        <v>0</v>
      </c>
      <c r="E25" s="109">
        <v>0</v>
      </c>
      <c r="F25">
        <v>0</v>
      </c>
    </row>
    <row r="26" spans="1:10" ht="30" customHeight="1" thickBot="1" x14ac:dyDescent="0.3">
      <c r="A26" s="183" t="s">
        <v>114</v>
      </c>
      <c r="B26" s="169">
        <v>5.5092646617805559E-2</v>
      </c>
      <c r="C26" s="170">
        <v>11708.333333333332</v>
      </c>
      <c r="D26" s="167">
        <v>525</v>
      </c>
      <c r="E26" s="171">
        <v>5.1917943607718573E-3</v>
      </c>
      <c r="F26" s="167">
        <v>3125</v>
      </c>
      <c r="G26" s="172">
        <v>35</v>
      </c>
    </row>
    <row r="27" spans="1:10" ht="30" customHeight="1" outlineLevel="1" thickBot="1" x14ac:dyDescent="0.3">
      <c r="A27" s="184"/>
      <c r="B27" s="169" t="s">
        <v>118</v>
      </c>
      <c r="C27" s="170">
        <v>6833.333333333333</v>
      </c>
      <c r="D27" s="172">
        <v>525</v>
      </c>
      <c r="E27" s="109">
        <v>5.1917943607718573E-3</v>
      </c>
      <c r="F27">
        <v>0</v>
      </c>
    </row>
    <row r="28" spans="1:10" ht="30" customHeight="1" outlineLevel="1" thickBot="1" x14ac:dyDescent="0.3">
      <c r="A28" s="184"/>
      <c r="B28" s="169" t="s">
        <v>115</v>
      </c>
      <c r="C28" s="170">
        <v>3625</v>
      </c>
      <c r="D28" s="172">
        <v>0</v>
      </c>
      <c r="E28" s="109">
        <v>0</v>
      </c>
      <c r="F28">
        <v>1875</v>
      </c>
    </row>
    <row r="29" spans="1:10" ht="30" customHeight="1" outlineLevel="1" thickBot="1" x14ac:dyDescent="0.3">
      <c r="A29" s="185"/>
      <c r="B29" s="169" t="s">
        <v>116</v>
      </c>
      <c r="C29" s="170">
        <v>1250</v>
      </c>
      <c r="D29" s="172">
        <v>0</v>
      </c>
      <c r="E29" s="109">
        <v>0</v>
      </c>
      <c r="F29">
        <v>1250</v>
      </c>
    </row>
    <row r="30" spans="1:10" ht="30" customHeight="1" thickBot="1" x14ac:dyDescent="0.3">
      <c r="A30" s="183" t="s">
        <v>216</v>
      </c>
      <c r="B30" s="169">
        <v>9.4108435503724806E-3</v>
      </c>
      <c r="C30" s="170">
        <v>2000</v>
      </c>
      <c r="D30" s="167">
        <v>2000</v>
      </c>
      <c r="E30" s="171">
        <v>1.9778264231511838E-2</v>
      </c>
      <c r="F30" s="167">
        <v>0</v>
      </c>
      <c r="G30" s="172">
        <v>133.33333333333334</v>
      </c>
    </row>
    <row r="31" spans="1:10" ht="30" customHeight="1" outlineLevel="1" thickBot="1" x14ac:dyDescent="0.3">
      <c r="A31" s="184"/>
      <c r="B31" s="169" t="s">
        <v>217</v>
      </c>
      <c r="C31" s="170">
        <v>2000</v>
      </c>
      <c r="D31" s="172">
        <v>2000</v>
      </c>
      <c r="E31" s="109">
        <v>1.9778264231511838E-2</v>
      </c>
      <c r="F31">
        <v>0</v>
      </c>
    </row>
    <row r="32" spans="1:10" ht="30" customHeight="1" outlineLevel="1" thickBot="1" x14ac:dyDescent="0.3">
      <c r="A32" s="184"/>
      <c r="B32" s="169" t="s">
        <v>250</v>
      </c>
      <c r="C32" s="170">
        <v>0</v>
      </c>
      <c r="D32" s="172">
        <v>0</v>
      </c>
      <c r="E32" s="109">
        <v>0</v>
      </c>
      <c r="F32">
        <v>0</v>
      </c>
    </row>
    <row r="33" spans="1:10" ht="30" customHeight="1" outlineLevel="1" thickBot="1" x14ac:dyDescent="0.3">
      <c r="A33" s="185"/>
      <c r="B33" s="169" t="s">
        <v>251</v>
      </c>
      <c r="C33" s="170">
        <v>0</v>
      </c>
      <c r="D33" s="172">
        <v>0</v>
      </c>
      <c r="E33" s="109">
        <v>0</v>
      </c>
      <c r="F33">
        <v>0</v>
      </c>
    </row>
    <row r="34" spans="1:10" ht="30" customHeight="1" thickBot="1" x14ac:dyDescent="0.3">
      <c r="A34" s="183" t="s">
        <v>110</v>
      </c>
      <c r="B34" s="169">
        <v>0.23778064703941132</v>
      </c>
      <c r="C34" s="170">
        <v>50533.333333333328</v>
      </c>
      <c r="D34" s="167">
        <v>18213.333333333332</v>
      </c>
      <c r="E34" s="171">
        <v>0.18011405960163446</v>
      </c>
      <c r="F34" s="167">
        <v>0</v>
      </c>
      <c r="G34" s="172">
        <v>1214.2222222222222</v>
      </c>
    </row>
    <row r="35" spans="1:10" ht="30" customHeight="1" outlineLevel="1" thickBot="1" x14ac:dyDescent="0.3">
      <c r="A35" s="184"/>
      <c r="B35" s="169" t="s">
        <v>111</v>
      </c>
      <c r="C35" s="170">
        <v>450</v>
      </c>
      <c r="D35" s="172">
        <v>330</v>
      </c>
      <c r="E35" s="109">
        <v>3.2634135981994532E-3</v>
      </c>
      <c r="F35">
        <v>0</v>
      </c>
    </row>
    <row r="36" spans="1:10" ht="30" customHeight="1" outlineLevel="1" thickBot="1" x14ac:dyDescent="0.3">
      <c r="A36" s="184"/>
      <c r="B36" s="169" t="s">
        <v>149</v>
      </c>
      <c r="C36" s="170">
        <v>3499.9999999999995</v>
      </c>
      <c r="D36" s="172">
        <v>2583.333333333333</v>
      </c>
      <c r="E36" s="109">
        <v>2.5546924632369454E-2</v>
      </c>
      <c r="F36">
        <v>0</v>
      </c>
    </row>
    <row r="37" spans="1:10" ht="30" customHeight="1" outlineLevel="1" thickBot="1" x14ac:dyDescent="0.3">
      <c r="A37" s="184"/>
      <c r="B37" s="169" t="s">
        <v>169</v>
      </c>
      <c r="C37" s="170">
        <v>46583.333333333328</v>
      </c>
      <c r="D37" s="172">
        <v>15300</v>
      </c>
      <c r="E37" s="109">
        <v>0.15130372137106554</v>
      </c>
      <c r="F37">
        <v>0</v>
      </c>
      <c r="I37" s="109"/>
      <c r="J37" s="93"/>
    </row>
    <row r="38" spans="1:10" ht="30" customHeight="1" thickBot="1" x14ac:dyDescent="0.3">
      <c r="A38" s="183" t="s">
        <v>94</v>
      </c>
      <c r="B38" s="169">
        <v>3.2985006644055542E-2</v>
      </c>
      <c r="C38" s="170">
        <v>7010</v>
      </c>
      <c r="D38" s="167">
        <v>6760</v>
      </c>
      <c r="E38" s="171">
        <v>6.6850533102510004E-2</v>
      </c>
      <c r="F38" s="167">
        <v>0</v>
      </c>
      <c r="G38" s="172">
        <v>450.66666666666669</v>
      </c>
    </row>
    <row r="39" spans="1:10" ht="30" customHeight="1" outlineLevel="1" thickBot="1" x14ac:dyDescent="0.3">
      <c r="A39" s="173"/>
      <c r="B39" s="169" t="s">
        <v>95</v>
      </c>
      <c r="C39" s="170">
        <v>1310.0000000000002</v>
      </c>
      <c r="D39" s="172">
        <v>1143.3333333333335</v>
      </c>
      <c r="E39" s="109">
        <v>1.1306574385680935E-2</v>
      </c>
      <c r="F39">
        <v>0</v>
      </c>
    </row>
    <row r="40" spans="1:10" ht="30" customHeight="1" outlineLevel="1" thickBot="1" x14ac:dyDescent="0.3">
      <c r="A40" s="173"/>
      <c r="B40" s="169" t="s">
        <v>135</v>
      </c>
      <c r="C40" s="170">
        <v>2300</v>
      </c>
      <c r="D40" s="172">
        <v>2216.666666666667</v>
      </c>
      <c r="E40" s="109">
        <v>2.1920909523258956E-2</v>
      </c>
      <c r="F40">
        <v>0</v>
      </c>
    </row>
    <row r="41" spans="1:10" ht="30" customHeight="1" outlineLevel="1" thickBot="1" x14ac:dyDescent="0.3">
      <c r="A41" s="173"/>
      <c r="B41" s="169" t="s">
        <v>224</v>
      </c>
      <c r="C41" s="170">
        <v>2000</v>
      </c>
      <c r="D41" s="172">
        <v>2000</v>
      </c>
      <c r="E41" s="109">
        <v>1.9778264231511838E-2</v>
      </c>
      <c r="F41">
        <v>0</v>
      </c>
    </row>
    <row r="42" spans="1:10" ht="30" customHeight="1" outlineLevel="1" thickBot="1" x14ac:dyDescent="0.3">
      <c r="A42" s="173"/>
      <c r="B42" s="169" t="s">
        <v>140</v>
      </c>
      <c r="C42" s="170">
        <v>1400</v>
      </c>
      <c r="D42" s="172">
        <v>1400</v>
      </c>
      <c r="E42" s="109">
        <v>1.3844784962058286E-2</v>
      </c>
      <c r="F42">
        <v>0</v>
      </c>
    </row>
    <row r="43" spans="1:10" ht="30" customHeight="1" x14ac:dyDescent="0.25">
      <c r="A43" s="186" t="s">
        <v>125</v>
      </c>
      <c r="B43" s="169">
        <v>1.6649350714533977E-2</v>
      </c>
      <c r="C43" s="170">
        <v>3538.333333333333</v>
      </c>
      <c r="D43" s="167">
        <v>2038.3333333333335</v>
      </c>
      <c r="E43" s="171">
        <v>2.0157347629282483E-2</v>
      </c>
      <c r="F43" s="167">
        <v>0</v>
      </c>
      <c r="G43" s="172">
        <v>135.88888888888889</v>
      </c>
    </row>
    <row r="44" spans="1:10" ht="30" customHeight="1" outlineLevel="1" x14ac:dyDescent="0.25">
      <c r="A44" s="187"/>
      <c r="B44" s="188" t="s">
        <v>252</v>
      </c>
      <c r="C44" s="189">
        <v>0</v>
      </c>
      <c r="D44" s="172">
        <v>0</v>
      </c>
      <c r="E44" s="109">
        <v>0</v>
      </c>
      <c r="F44">
        <v>0</v>
      </c>
    </row>
    <row r="45" spans="1:10" ht="30" customHeight="1" outlineLevel="1" x14ac:dyDescent="0.25">
      <c r="A45" s="187"/>
      <c r="B45" s="190" t="s">
        <v>126</v>
      </c>
      <c r="C45" s="189">
        <v>1905</v>
      </c>
      <c r="D45" s="172">
        <v>755</v>
      </c>
      <c r="E45" s="109">
        <v>7.4662947473957183E-3</v>
      </c>
      <c r="F45">
        <v>0</v>
      </c>
    </row>
    <row r="46" spans="1:10" ht="30" customHeight="1" outlineLevel="1" x14ac:dyDescent="0.25">
      <c r="A46" s="187"/>
      <c r="B46" s="188" t="s">
        <v>253</v>
      </c>
      <c r="C46" s="189">
        <v>0</v>
      </c>
      <c r="D46" s="172">
        <v>0</v>
      </c>
      <c r="E46" s="109">
        <v>0</v>
      </c>
      <c r="F46">
        <v>0</v>
      </c>
    </row>
    <row r="47" spans="1:10" ht="30" customHeight="1" outlineLevel="1" x14ac:dyDescent="0.25">
      <c r="A47" s="187"/>
      <c r="B47" s="190" t="s">
        <v>147</v>
      </c>
      <c r="C47" s="189">
        <v>750</v>
      </c>
      <c r="D47" s="172">
        <v>450</v>
      </c>
      <c r="E47" s="109">
        <v>4.4501094520901629E-3</v>
      </c>
      <c r="F47">
        <v>0</v>
      </c>
    </row>
    <row r="48" spans="1:10" ht="30" customHeight="1" outlineLevel="1" x14ac:dyDescent="0.25">
      <c r="A48" s="187"/>
      <c r="B48" s="188" t="s">
        <v>162</v>
      </c>
      <c r="C48" s="189">
        <v>216.66666666666669</v>
      </c>
      <c r="D48" s="172">
        <v>166.66666666666669</v>
      </c>
      <c r="E48" s="109">
        <v>1.64818868595932E-3</v>
      </c>
      <c r="F48">
        <v>0</v>
      </c>
    </row>
    <row r="49" spans="1:6" ht="30" customHeight="1" outlineLevel="1" x14ac:dyDescent="0.25">
      <c r="A49" s="187"/>
      <c r="B49" s="190" t="s">
        <v>221</v>
      </c>
      <c r="C49" s="189">
        <v>666.66666666666663</v>
      </c>
      <c r="D49" s="172">
        <v>666.66666666666663</v>
      </c>
      <c r="E49" s="109">
        <v>6.5927547438372784E-3</v>
      </c>
      <c r="F49">
        <v>0</v>
      </c>
    </row>
    <row r="50" spans="1:6" ht="30" customHeight="1" outlineLevel="1" thickBot="1" x14ac:dyDescent="0.3">
      <c r="A50" s="191"/>
      <c r="B50" s="192" t="s">
        <v>254</v>
      </c>
      <c r="C50" s="193">
        <v>0</v>
      </c>
      <c r="D50" s="172">
        <v>0</v>
      </c>
      <c r="E50" s="109">
        <v>0</v>
      </c>
      <c r="F50">
        <v>0</v>
      </c>
    </row>
    <row r="52" spans="1:6" x14ac:dyDescent="0.25">
      <c r="A52" s="77" t="s">
        <v>255</v>
      </c>
      <c r="B52" s="109">
        <v>6.9066416087272389E-2</v>
      </c>
      <c r="C52" s="194">
        <v>14678.05</v>
      </c>
    </row>
    <row r="53" spans="1:6" x14ac:dyDescent="0.25">
      <c r="A53" t="s">
        <v>225</v>
      </c>
      <c r="C53" s="93">
        <v>0</v>
      </c>
    </row>
    <row r="54" spans="1:6" x14ac:dyDescent="0.25">
      <c r="A54" t="s">
        <v>226</v>
      </c>
      <c r="C54" s="93">
        <v>2250</v>
      </c>
    </row>
    <row r="55" spans="1:6" x14ac:dyDescent="0.25">
      <c r="A55" t="s">
        <v>228</v>
      </c>
      <c r="C55" s="93">
        <v>570</v>
      </c>
    </row>
    <row r="56" spans="1:6" x14ac:dyDescent="0.25">
      <c r="A56" t="s">
        <v>256</v>
      </c>
      <c r="C56" s="93">
        <v>2000</v>
      </c>
    </row>
    <row r="57" spans="1:6" x14ac:dyDescent="0.25">
      <c r="A57" t="s">
        <v>231</v>
      </c>
      <c r="C57" s="93">
        <v>1000.0000000000001</v>
      </c>
    </row>
    <row r="58" spans="1:6" x14ac:dyDescent="0.25">
      <c r="A58" t="s">
        <v>232</v>
      </c>
      <c r="C58" s="93">
        <v>2000.0000000000002</v>
      </c>
    </row>
    <row r="59" spans="1:6" x14ac:dyDescent="0.25">
      <c r="A59" t="s">
        <v>233</v>
      </c>
      <c r="C59" s="93">
        <v>1991.3833333333332</v>
      </c>
    </row>
    <row r="60" spans="1:6" x14ac:dyDescent="0.25">
      <c r="A60" t="s">
        <v>235</v>
      </c>
      <c r="C60" s="93">
        <v>2000.0000000000002</v>
      </c>
    </row>
    <row r="61" spans="1:6" x14ac:dyDescent="0.25">
      <c r="A61" t="s">
        <v>236</v>
      </c>
      <c r="C61" s="93">
        <v>0</v>
      </c>
    </row>
    <row r="62" spans="1:6" x14ac:dyDescent="0.25">
      <c r="A62" t="s">
        <v>237</v>
      </c>
      <c r="C62" s="93">
        <v>2666.6666666666665</v>
      </c>
    </row>
    <row r="63" spans="1:6" x14ac:dyDescent="0.25">
      <c r="A63" t="s">
        <v>238</v>
      </c>
      <c r="C63" s="93">
        <v>200</v>
      </c>
    </row>
  </sheetData>
  <mergeCells count="12">
    <mergeCell ref="A26:A29"/>
    <mergeCell ref="A30:A33"/>
    <mergeCell ref="A34:A37"/>
    <mergeCell ref="A38:A42"/>
    <mergeCell ref="A43:A50"/>
    <mergeCell ref="A5:A10"/>
    <mergeCell ref="N10:O10"/>
    <mergeCell ref="P10:Q10"/>
    <mergeCell ref="R10:S10"/>
    <mergeCell ref="A11:A14"/>
    <mergeCell ref="A15:A21"/>
    <mergeCell ref="A22:A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workbookViewId="0">
      <selection sqref="A1:XFD1048576"/>
    </sheetView>
  </sheetViews>
  <sheetFormatPr baseColWidth="10" defaultRowHeight="15" x14ac:dyDescent="0.25"/>
  <cols>
    <col min="1" max="1" width="46" bestFit="1" customWidth="1"/>
    <col min="2" max="9" width="37" customWidth="1"/>
  </cols>
  <sheetData>
    <row r="2" spans="1:9" x14ac:dyDescent="0.25">
      <c r="A2" s="77" t="s">
        <v>257</v>
      </c>
    </row>
    <row r="3" spans="1:9" x14ac:dyDescent="0.25">
      <c r="A3" s="77"/>
    </row>
    <row r="4" spans="1:9" x14ac:dyDescent="0.25">
      <c r="A4" s="195" t="s">
        <v>131</v>
      </c>
      <c r="B4" s="195" t="s">
        <v>90</v>
      </c>
      <c r="C4" s="195" t="s">
        <v>98</v>
      </c>
      <c r="D4" s="195" t="s">
        <v>104</v>
      </c>
      <c r="E4" s="195" t="s">
        <v>114</v>
      </c>
      <c r="F4" s="195" t="s">
        <v>216</v>
      </c>
      <c r="G4" s="195" t="s">
        <v>110</v>
      </c>
      <c r="H4" s="195" t="s">
        <v>94</v>
      </c>
      <c r="I4" s="195" t="s">
        <v>125</v>
      </c>
    </row>
    <row r="5" spans="1:9" ht="45" x14ac:dyDescent="0.25">
      <c r="A5" s="196" t="s">
        <v>132</v>
      </c>
      <c r="B5" s="196" t="s">
        <v>91</v>
      </c>
      <c r="C5" s="196" t="s">
        <v>180</v>
      </c>
      <c r="D5" s="196" t="s">
        <v>105</v>
      </c>
      <c r="E5" s="196" t="s">
        <v>118</v>
      </c>
      <c r="F5" s="196" t="s">
        <v>217</v>
      </c>
      <c r="G5" s="196" t="s">
        <v>111</v>
      </c>
      <c r="H5" s="196" t="s">
        <v>95</v>
      </c>
      <c r="I5" s="196" t="s">
        <v>252</v>
      </c>
    </row>
    <row r="6" spans="1:9" ht="45" x14ac:dyDescent="0.25">
      <c r="A6" s="196" t="s">
        <v>184</v>
      </c>
      <c r="B6" s="196" t="s">
        <v>245</v>
      </c>
      <c r="C6" s="196" t="s">
        <v>246</v>
      </c>
      <c r="D6" s="196" t="s">
        <v>248</v>
      </c>
      <c r="E6" s="196" t="s">
        <v>115</v>
      </c>
      <c r="F6" s="196" t="s">
        <v>250</v>
      </c>
      <c r="G6" s="196" t="s">
        <v>149</v>
      </c>
      <c r="H6" s="196" t="s">
        <v>135</v>
      </c>
      <c r="I6" s="196" t="s">
        <v>126</v>
      </c>
    </row>
    <row r="7" spans="1:9" ht="45" x14ac:dyDescent="0.25">
      <c r="A7" s="196" t="s">
        <v>243</v>
      </c>
      <c r="B7" s="197" t="s">
        <v>197</v>
      </c>
      <c r="C7" s="196" t="s">
        <v>99</v>
      </c>
      <c r="D7" s="197" t="s">
        <v>249</v>
      </c>
      <c r="E7" s="197" t="s">
        <v>116</v>
      </c>
      <c r="F7" s="197" t="s">
        <v>251</v>
      </c>
      <c r="G7" s="197" t="s">
        <v>169</v>
      </c>
      <c r="H7" s="196" t="s">
        <v>224</v>
      </c>
      <c r="I7" s="196" t="s">
        <v>253</v>
      </c>
    </row>
    <row r="8" spans="1:9" x14ac:dyDescent="0.25">
      <c r="A8" s="196" t="s">
        <v>145</v>
      </c>
      <c r="B8" s="126"/>
      <c r="C8" s="196" t="s">
        <v>100</v>
      </c>
      <c r="D8" s="126"/>
      <c r="E8" s="126"/>
      <c r="F8" s="126"/>
      <c r="G8" s="126"/>
      <c r="H8" s="197" t="s">
        <v>140</v>
      </c>
      <c r="I8" s="196" t="s">
        <v>147</v>
      </c>
    </row>
    <row r="9" spans="1:9" ht="30" x14ac:dyDescent="0.25">
      <c r="A9" s="197" t="s">
        <v>244</v>
      </c>
      <c r="B9" s="126"/>
      <c r="C9" s="196" t="s">
        <v>247</v>
      </c>
      <c r="D9" s="126"/>
      <c r="E9" s="126"/>
      <c r="F9" s="126"/>
      <c r="G9" s="126"/>
      <c r="H9" s="126"/>
      <c r="I9" s="196" t="s">
        <v>162</v>
      </c>
    </row>
    <row r="10" spans="1:9" ht="30" x14ac:dyDescent="0.25">
      <c r="A10" s="126"/>
      <c r="B10" s="126"/>
      <c r="C10" s="197" t="s">
        <v>143</v>
      </c>
      <c r="D10" s="126"/>
      <c r="E10" s="126"/>
      <c r="F10" s="126"/>
      <c r="G10" s="126"/>
      <c r="H10" s="126"/>
      <c r="I10" s="196" t="s">
        <v>221</v>
      </c>
    </row>
    <row r="11" spans="1:9" ht="30" x14ac:dyDescent="0.25">
      <c r="A11" s="126"/>
      <c r="B11" s="126"/>
      <c r="C11" s="126"/>
      <c r="D11" s="126"/>
      <c r="E11" s="126"/>
      <c r="F11" s="126"/>
      <c r="G11" s="126"/>
      <c r="H11" s="126"/>
      <c r="I11" s="197" t="s">
        <v>254</v>
      </c>
    </row>
    <row r="14" spans="1:9" x14ac:dyDescent="0.25">
      <c r="A14" s="77" t="s">
        <v>255</v>
      </c>
    </row>
    <row r="15" spans="1:9" x14ac:dyDescent="0.25">
      <c r="A15" t="s">
        <v>225</v>
      </c>
    </row>
    <row r="16" spans="1:9" x14ac:dyDescent="0.25">
      <c r="A16" t="s">
        <v>226</v>
      </c>
    </row>
    <row r="17" spans="1:1" x14ac:dyDescent="0.25">
      <c r="A17" t="s">
        <v>228</v>
      </c>
    </row>
    <row r="18" spans="1:1" x14ac:dyDescent="0.25">
      <c r="A18" t="s">
        <v>256</v>
      </c>
    </row>
    <row r="19" spans="1:1" x14ac:dyDescent="0.25">
      <c r="A19" t="s">
        <v>231</v>
      </c>
    </row>
    <row r="20" spans="1:1" x14ac:dyDescent="0.25">
      <c r="A20" t="s">
        <v>232</v>
      </c>
    </row>
    <row r="21" spans="1:1" x14ac:dyDescent="0.25">
      <c r="A21" t="s">
        <v>233</v>
      </c>
    </row>
    <row r="22" spans="1:1" x14ac:dyDescent="0.25">
      <c r="A22" t="s">
        <v>235</v>
      </c>
    </row>
    <row r="23" spans="1:1" x14ac:dyDescent="0.25">
      <c r="A23" t="s">
        <v>236</v>
      </c>
    </row>
    <row r="24" spans="1:1" x14ac:dyDescent="0.25">
      <c r="A24" t="s">
        <v>237</v>
      </c>
    </row>
    <row r="25" spans="1:1" x14ac:dyDescent="0.25">
      <c r="A25" t="s">
        <v>238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Cronograma</vt:lpstr>
      <vt:lpstr>Presupuesto_1</vt:lpstr>
      <vt:lpstr>Presupuesto_2</vt:lpstr>
      <vt:lpstr>Rubros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2015-05-13T16:50:47Z</dcterms:created>
  <dcterms:modified xsi:type="dcterms:W3CDTF">2015-05-15T13:18:13Z</dcterms:modified>
</cp:coreProperties>
</file>