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autoCompressPictures="0" defaultThemeVersion="124226"/>
  <bookViews>
    <workbookView xWindow="195" yWindow="975" windowWidth="17775" windowHeight="6270" tabRatio="914" activeTab="10"/>
  </bookViews>
  <sheets>
    <sheet name="Marco Lógico" sheetId="7" r:id="rId1"/>
    <sheet name="Plan de Act." sheetId="8" r:id="rId2"/>
    <sheet name="POA Costeo por Actividad " sheetId="9" r:id="rId3"/>
    <sheet name="Dic 2013" sheetId="34" r:id="rId4"/>
    <sheet name="Ene, Feb, Marz 2014" sheetId="31" r:id="rId5"/>
    <sheet name="Abril 2014" sheetId="24" r:id="rId6"/>
    <sheet name="Costo por Act. Gestión del Fond" sheetId="29" state="hidden" r:id="rId7"/>
    <sheet name="Mayo 2014" sheetId="33" r:id="rId8"/>
    <sheet name="Plan de Aquisiciones" sheetId="10" state="hidden" r:id="rId9"/>
    <sheet name="Junio 2014" sheetId="36" r:id="rId10"/>
    <sheet name="Gastos a la fecha " sheetId="35" r:id="rId11"/>
    <sheet name="Resumen a la fecha" sheetId="37" r:id="rId12"/>
  </sheets>
  <definedNames>
    <definedName name="_xlnm.Print_Area" localSheetId="5">'Abril 2014'!$B$2:$L$23</definedName>
    <definedName name="_xlnm.Print_Area" localSheetId="4">'Ene, Feb, Marz 2014'!$B$2:$L$36</definedName>
    <definedName name="_xlnm.Print_Area" localSheetId="7">'Mayo 2014'!$A$1:$K$31</definedName>
  </definedNames>
  <calcPr calcId="1445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9" i="33" l="1"/>
  <c r="H28" i="33"/>
  <c r="H27" i="33"/>
  <c r="H26" i="33"/>
  <c r="H25" i="33"/>
  <c r="H24" i="33"/>
  <c r="H23" i="33"/>
  <c r="H22" i="33"/>
  <c r="H21" i="33"/>
  <c r="H18" i="33"/>
  <c r="H17" i="33"/>
  <c r="H16" i="33"/>
  <c r="H15" i="33"/>
  <c r="H14" i="33"/>
  <c r="H13" i="33"/>
  <c r="H12" i="33"/>
  <c r="H8" i="33"/>
  <c r="H5" i="33"/>
  <c r="H6" i="33"/>
  <c r="H4" i="33"/>
  <c r="G31" i="33"/>
  <c r="K5" i="33"/>
  <c r="K4" i="33"/>
  <c r="J9" i="37"/>
  <c r="J10" i="37"/>
  <c r="J11" i="37"/>
  <c r="G2" i="37"/>
  <c r="D3" i="37"/>
  <c r="J36" i="31"/>
  <c r="D11" i="37"/>
  <c r="E11" i="37"/>
  <c r="F11" i="37"/>
  <c r="G11" i="37"/>
  <c r="H11" i="37"/>
  <c r="I11" i="37"/>
  <c r="C11" i="37"/>
  <c r="A7" i="36"/>
  <c r="A8" i="36"/>
  <c r="A9" i="36"/>
  <c r="A10" i="36"/>
  <c r="A11" i="36"/>
  <c r="A12" i="36"/>
  <c r="A13" i="36"/>
  <c r="A14" i="36"/>
  <c r="A15" i="36"/>
  <c r="A16" i="36"/>
  <c r="A6" i="36"/>
  <c r="K84" i="35"/>
  <c r="K82" i="35"/>
  <c r="O75" i="35"/>
  <c r="O74" i="35"/>
  <c r="O73" i="35"/>
  <c r="O72" i="35"/>
  <c r="O71" i="35"/>
  <c r="O70" i="35"/>
  <c r="O69" i="35"/>
  <c r="O68" i="35"/>
  <c r="O67" i="35"/>
  <c r="O64" i="35"/>
  <c r="O63" i="35"/>
  <c r="O62" i="35"/>
  <c r="O61" i="35"/>
  <c r="O60" i="35"/>
  <c r="O59" i="35"/>
  <c r="O58" i="35"/>
  <c r="O54" i="35"/>
  <c r="O52" i="35"/>
  <c r="O51" i="35"/>
  <c r="O50" i="35"/>
  <c r="O49" i="35"/>
  <c r="N62" i="35"/>
  <c r="M5" i="35"/>
  <c r="M6" i="35"/>
  <c r="M7" i="35"/>
  <c r="M8" i="35"/>
  <c r="M9" i="35"/>
  <c r="M10" i="35"/>
  <c r="M11" i="35"/>
  <c r="M12" i="35"/>
  <c r="M13" i="35"/>
  <c r="M14" i="35"/>
  <c r="M15" i="35"/>
  <c r="M16" i="35"/>
  <c r="M17" i="35"/>
  <c r="M18" i="35"/>
  <c r="M19" i="35"/>
  <c r="M20" i="35"/>
  <c r="M21" i="35"/>
  <c r="M22" i="35"/>
  <c r="M23" i="35"/>
  <c r="M24" i="35"/>
  <c r="M25" i="35"/>
  <c r="M26" i="35"/>
  <c r="M27" i="35"/>
  <c r="M28" i="35"/>
  <c r="M29" i="35"/>
  <c r="M30" i="35"/>
  <c r="K31" i="35"/>
  <c r="M31" i="35"/>
  <c r="M32" i="35"/>
  <c r="M33" i="35"/>
  <c r="M34" i="35"/>
  <c r="M35" i="35"/>
  <c r="M36" i="35"/>
  <c r="M37" i="35"/>
  <c r="M38" i="35"/>
  <c r="M39" i="35"/>
  <c r="M40" i="35"/>
  <c r="M41" i="35"/>
  <c r="M42" i="35"/>
  <c r="M43" i="35"/>
  <c r="M44" i="35"/>
  <c r="M45" i="35"/>
  <c r="M46" i="35"/>
  <c r="M47" i="35"/>
  <c r="M48" i="35"/>
  <c r="M49" i="35"/>
  <c r="M50" i="35"/>
  <c r="M51" i="35"/>
  <c r="M52" i="35"/>
  <c r="M53" i="35"/>
  <c r="M54" i="35"/>
  <c r="M55" i="35"/>
  <c r="M56" i="35"/>
  <c r="M57" i="35"/>
  <c r="M58" i="35"/>
  <c r="M59" i="35"/>
  <c r="M60" i="35"/>
  <c r="M61" i="35"/>
  <c r="M62" i="35"/>
  <c r="M63" i="35"/>
  <c r="M64" i="35"/>
  <c r="M65" i="35"/>
  <c r="M66" i="35"/>
  <c r="M67" i="35"/>
  <c r="M68" i="35"/>
  <c r="M69" i="35"/>
  <c r="M70" i="35"/>
  <c r="M71" i="35"/>
  <c r="M72" i="35"/>
  <c r="M73" i="35"/>
  <c r="M74" i="35"/>
  <c r="M75" i="35"/>
  <c r="M76" i="35"/>
  <c r="M77" i="35"/>
  <c r="K77" i="35"/>
  <c r="L25" i="31"/>
  <c r="N76" i="35"/>
  <c r="N70" i="35"/>
  <c r="N71" i="35"/>
  <c r="N72" i="35"/>
  <c r="N73" i="35"/>
  <c r="N74" i="35"/>
  <c r="N75" i="35"/>
  <c r="N69" i="35"/>
  <c r="N68" i="35"/>
  <c r="N67" i="35"/>
  <c r="N66" i="35"/>
  <c r="N65" i="35"/>
  <c r="N64" i="35"/>
  <c r="N63" i="35"/>
  <c r="N61" i="35"/>
  <c r="N60" i="35"/>
  <c r="N59" i="35"/>
  <c r="N58" i="35"/>
  <c r="N56" i="35"/>
  <c r="N57" i="35"/>
  <c r="N55" i="35"/>
  <c r="N54" i="35"/>
  <c r="N53" i="35"/>
  <c r="N51" i="35"/>
  <c r="N52" i="35"/>
  <c r="N50" i="35"/>
  <c r="N49" i="35"/>
  <c r="P5" i="35"/>
  <c r="P7" i="35"/>
  <c r="P31" i="35"/>
  <c r="P77" i="35"/>
  <c r="B6" i="35"/>
  <c r="B7" i="35"/>
  <c r="B8" i="35"/>
  <c r="B9" i="35"/>
  <c r="B10" i="35"/>
  <c r="B11" i="35"/>
  <c r="B12" i="35"/>
  <c r="B13" i="35"/>
  <c r="B14" i="35"/>
  <c r="B15" i="35"/>
  <c r="B16" i="35"/>
  <c r="B17" i="35"/>
  <c r="B18" i="35"/>
  <c r="B19" i="35"/>
  <c r="B20" i="35"/>
  <c r="B21" i="35"/>
  <c r="B22" i="35"/>
  <c r="B23" i="35"/>
  <c r="B24" i="35"/>
  <c r="B25" i="35"/>
  <c r="B26" i="35"/>
  <c r="B27" i="35"/>
  <c r="B28" i="35"/>
  <c r="B29" i="35"/>
  <c r="B30" i="35"/>
  <c r="B31" i="35"/>
  <c r="B32" i="35"/>
  <c r="B33" i="35"/>
  <c r="B34" i="35"/>
  <c r="B35" i="35"/>
  <c r="B36" i="35"/>
  <c r="B37" i="35"/>
  <c r="B38" i="35"/>
  <c r="B39" i="35"/>
  <c r="B40" i="35"/>
  <c r="B41" i="35"/>
  <c r="B42" i="35"/>
  <c r="B44" i="35"/>
  <c r="B43" i="35"/>
  <c r="B45" i="35"/>
  <c r="B46" i="35"/>
  <c r="B47" i="35"/>
  <c r="B48" i="35"/>
  <c r="B49" i="35"/>
  <c r="B50" i="35"/>
  <c r="B51" i="35"/>
  <c r="B52" i="35"/>
  <c r="B53" i="35"/>
  <c r="B54" i="35"/>
  <c r="B55" i="35"/>
  <c r="B56" i="35"/>
  <c r="B57" i="35"/>
  <c r="B58" i="35"/>
  <c r="B59" i="35"/>
  <c r="B60" i="35"/>
  <c r="B61" i="35"/>
  <c r="B62" i="35"/>
  <c r="B63" i="35"/>
  <c r="B64" i="35"/>
  <c r="B65" i="35"/>
  <c r="B66" i="35"/>
  <c r="B67" i="35"/>
  <c r="B68" i="35"/>
  <c r="B69" i="35"/>
  <c r="B70" i="35"/>
  <c r="B71" i="35"/>
  <c r="B72" i="35"/>
  <c r="B73" i="35"/>
  <c r="B74" i="35"/>
  <c r="B75" i="35"/>
  <c r="B76" i="35"/>
  <c r="N44" i="35"/>
  <c r="O44" i="35"/>
  <c r="O41" i="35"/>
  <c r="O35" i="35"/>
  <c r="O40" i="35"/>
  <c r="O42" i="35"/>
  <c r="O43" i="35"/>
  <c r="O45" i="35"/>
  <c r="O46" i="35"/>
  <c r="O47" i="35"/>
  <c r="O48" i="35"/>
  <c r="O32" i="35"/>
  <c r="O33" i="35"/>
  <c r="O34" i="35"/>
  <c r="O36" i="35"/>
  <c r="O37" i="35"/>
  <c r="O38" i="35"/>
  <c r="O39" i="35"/>
  <c r="O8" i="35"/>
  <c r="N5" i="35"/>
  <c r="H41" i="31"/>
  <c r="K30" i="33"/>
  <c r="K29" i="33"/>
  <c r="K28" i="33"/>
  <c r="K27" i="33"/>
  <c r="K26" i="33"/>
  <c r="K25" i="33"/>
  <c r="K24" i="33"/>
  <c r="K23" i="33"/>
  <c r="K22" i="33"/>
  <c r="K21" i="33"/>
  <c r="K20" i="33"/>
  <c r="K19" i="33"/>
  <c r="K13" i="33"/>
  <c r="K14" i="33"/>
  <c r="K15" i="33"/>
  <c r="K16" i="33"/>
  <c r="K17" i="33"/>
  <c r="K18" i="33"/>
  <c r="K12" i="33"/>
  <c r="K7" i="33"/>
  <c r="K10" i="33"/>
  <c r="K11" i="33"/>
  <c r="K9" i="33"/>
  <c r="K8" i="33"/>
  <c r="K6" i="33"/>
  <c r="K31" i="33"/>
  <c r="I31" i="33"/>
  <c r="A22" i="33"/>
  <c r="A23" i="33"/>
  <c r="A24" i="33"/>
  <c r="A4" i="33"/>
  <c r="A5" i="33"/>
  <c r="A6" i="33"/>
  <c r="A25" i="33"/>
  <c r="A26" i="33"/>
  <c r="A27" i="33"/>
  <c r="A7" i="33"/>
  <c r="A8" i="33"/>
  <c r="A9" i="33"/>
  <c r="A10" i="33"/>
  <c r="A11" i="33"/>
  <c r="A12" i="33"/>
  <c r="A13" i="33"/>
  <c r="A14" i="33"/>
  <c r="A15" i="33"/>
  <c r="A16" i="33"/>
  <c r="A17" i="33"/>
  <c r="A18" i="33"/>
  <c r="A28" i="33"/>
  <c r="A29" i="33"/>
  <c r="A30" i="33"/>
  <c r="AI10" i="9"/>
  <c r="AG10" i="9"/>
  <c r="AH10" i="9"/>
  <c r="AJ10" i="9"/>
  <c r="AL10" i="9"/>
  <c r="AI11" i="9"/>
  <c r="AG11" i="9"/>
  <c r="AH11" i="9"/>
  <c r="AJ11" i="9"/>
  <c r="AL11" i="9"/>
  <c r="AI12" i="9"/>
  <c r="AG12" i="9"/>
  <c r="AH12" i="9"/>
  <c r="AJ12" i="9"/>
  <c r="AL12" i="9"/>
  <c r="AI13" i="9"/>
  <c r="AG13" i="9"/>
  <c r="AH13" i="9"/>
  <c r="AJ13" i="9"/>
  <c r="AL13" i="9"/>
  <c r="AI15" i="9"/>
  <c r="AG15" i="9"/>
  <c r="AH15" i="9"/>
  <c r="AJ15" i="9"/>
  <c r="AL15" i="9"/>
  <c r="AI16" i="9"/>
  <c r="AG16" i="9"/>
  <c r="AH16" i="9"/>
  <c r="AJ16" i="9"/>
  <c r="AL16" i="9"/>
  <c r="AI18" i="9"/>
  <c r="AG18" i="9"/>
  <c r="AH18" i="9"/>
  <c r="AJ18" i="9"/>
  <c r="AL18" i="9"/>
  <c r="AI19" i="9"/>
  <c r="AG19" i="9"/>
  <c r="AH19" i="9"/>
  <c r="AJ19" i="9"/>
  <c r="AL19" i="9"/>
  <c r="AI20" i="9"/>
  <c r="AG20" i="9"/>
  <c r="AH20" i="9"/>
  <c r="AJ20" i="9"/>
  <c r="AL20" i="9"/>
  <c r="T10" i="9"/>
  <c r="S10" i="9"/>
  <c r="R10" i="9"/>
  <c r="AC10" i="9"/>
  <c r="AN10" i="9"/>
  <c r="S39" i="9"/>
  <c r="AI42" i="9"/>
  <c r="AC42" i="9"/>
  <c r="AH44" i="9"/>
  <c r="AG42" i="9"/>
  <c r="AH42" i="9"/>
  <c r="AC44" i="9"/>
  <c r="AB44" i="9"/>
  <c r="AA43" i="9"/>
  <c r="AA44" i="9"/>
  <c r="AA41" i="9"/>
  <c r="AA42" i="9"/>
  <c r="Z43" i="9"/>
  <c r="Y43" i="9"/>
  <c r="T44" i="9"/>
  <c r="T42" i="9"/>
  <c r="S44" i="9"/>
  <c r="R44" i="9"/>
  <c r="R42" i="9"/>
  <c r="R43" i="9"/>
  <c r="D43" i="9"/>
  <c r="X43" i="9"/>
  <c r="O18" i="35"/>
  <c r="O17" i="35"/>
  <c r="O18" i="31"/>
  <c r="N18" i="31"/>
  <c r="O6" i="35"/>
  <c r="O7" i="35"/>
  <c r="O9" i="35"/>
  <c r="O10" i="35"/>
  <c r="O11" i="35"/>
  <c r="O12" i="35"/>
  <c r="O13" i="35"/>
  <c r="O14" i="35"/>
  <c r="O15" i="35"/>
  <c r="O16" i="35"/>
  <c r="O19" i="35"/>
  <c r="O20" i="35"/>
  <c r="O21" i="35"/>
  <c r="O22" i="35"/>
  <c r="O23" i="35"/>
  <c r="O24" i="35"/>
  <c r="O25" i="35"/>
  <c r="O26" i="35"/>
  <c r="O27" i="35"/>
  <c r="O28" i="35"/>
  <c r="O29" i="35"/>
  <c r="O30" i="35"/>
  <c r="O31" i="35"/>
  <c r="O5" i="35"/>
  <c r="N6" i="35"/>
  <c r="N7" i="35"/>
  <c r="N8" i="35"/>
  <c r="N9" i="35"/>
  <c r="N10" i="35"/>
  <c r="N11" i="35"/>
  <c r="N12" i="35"/>
  <c r="N13" i="35"/>
  <c r="N14" i="35"/>
  <c r="N15" i="35"/>
  <c r="N16" i="35"/>
  <c r="N17" i="35"/>
  <c r="N18" i="35"/>
  <c r="N19" i="35"/>
  <c r="N20" i="35"/>
  <c r="N21" i="35"/>
  <c r="N22" i="35"/>
  <c r="N23" i="35"/>
  <c r="N24" i="35"/>
  <c r="N25" i="35"/>
  <c r="N26" i="35"/>
  <c r="N27" i="35"/>
  <c r="N28" i="35"/>
  <c r="N29" i="35"/>
  <c r="N30" i="35"/>
  <c r="N31" i="35"/>
  <c r="N32" i="35"/>
  <c r="N33" i="35"/>
  <c r="N34" i="35"/>
  <c r="N35" i="35"/>
  <c r="N36" i="35"/>
  <c r="N37" i="35"/>
  <c r="N38" i="35"/>
  <c r="N39" i="35"/>
  <c r="N40" i="35"/>
  <c r="N41" i="35"/>
  <c r="N42" i="35"/>
  <c r="N43" i="35"/>
  <c r="N45" i="35"/>
  <c r="N46" i="35"/>
  <c r="N47" i="35"/>
  <c r="N48" i="35"/>
  <c r="J7" i="34"/>
  <c r="L5" i="34"/>
  <c r="L6" i="34"/>
  <c r="L7" i="34"/>
  <c r="BN40" i="9"/>
  <c r="BN38" i="9"/>
  <c r="BN39" i="9"/>
  <c r="BN37" i="9"/>
  <c r="BN36" i="9"/>
  <c r="BM40" i="9"/>
  <c r="BL37" i="9"/>
  <c r="BL38" i="9"/>
  <c r="BL39" i="9"/>
  <c r="BL36" i="9"/>
  <c r="BK36" i="9"/>
  <c r="BJ36" i="9"/>
  <c r="BI36" i="9"/>
  <c r="BE40" i="9"/>
  <c r="BG40" i="9"/>
  <c r="BG39" i="9"/>
  <c r="BF40" i="9"/>
  <c r="BE37" i="9"/>
  <c r="BE38" i="9"/>
  <c r="BE39" i="9"/>
  <c r="BE36" i="9"/>
  <c r="BD36" i="9"/>
  <c r="BC36" i="9"/>
  <c r="BB36" i="9"/>
  <c r="AZ37" i="9"/>
  <c r="AZ38" i="9"/>
  <c r="AZ39" i="9"/>
  <c r="AZ40" i="9"/>
  <c r="AZ36" i="9"/>
  <c r="AY40" i="9"/>
  <c r="AX37" i="9"/>
  <c r="AX40" i="9"/>
  <c r="AX38" i="9"/>
  <c r="AX39" i="9"/>
  <c r="AX36" i="9"/>
  <c r="AW36" i="9"/>
  <c r="AV36" i="9"/>
  <c r="AU36" i="9"/>
  <c r="AS40" i="9"/>
  <c r="AI39" i="9"/>
  <c r="AG39" i="9"/>
  <c r="AH39" i="9"/>
  <c r="AN39" i="9"/>
  <c r="AS39" i="9"/>
  <c r="AQ40" i="9"/>
  <c r="AI37" i="9"/>
  <c r="AG37" i="9"/>
  <c r="AH37" i="9"/>
  <c r="AN37" i="9"/>
  <c r="AQ37" i="9"/>
  <c r="AI38" i="9"/>
  <c r="AG38" i="9"/>
  <c r="AH38" i="9"/>
  <c r="AN38" i="9"/>
  <c r="AQ38" i="9"/>
  <c r="AQ39" i="9"/>
  <c r="AQ36" i="9"/>
  <c r="AN36" i="9"/>
  <c r="AR40" i="9"/>
  <c r="AP36" i="9"/>
  <c r="AO36" i="9"/>
  <c r="AL37" i="9"/>
  <c r="AL38" i="9"/>
  <c r="AL39" i="9"/>
  <c r="AL40" i="9"/>
  <c r="AL36" i="9"/>
  <c r="AJ37" i="9"/>
  <c r="AJ38" i="9"/>
  <c r="AJ39" i="9"/>
  <c r="AJ36" i="9"/>
  <c r="AH36" i="9"/>
  <c r="AB40" i="9"/>
  <c r="AC40" i="9"/>
  <c r="R38" i="9"/>
  <c r="X38" i="9"/>
  <c r="AB38" i="9"/>
  <c r="AC38" i="9"/>
  <c r="R39" i="9"/>
  <c r="X39" i="9"/>
  <c r="AB39" i="9"/>
  <c r="AC39" i="9"/>
  <c r="R37" i="9"/>
  <c r="X37" i="9"/>
  <c r="AB37" i="9"/>
  <c r="AC37" i="9"/>
  <c r="AC36" i="9"/>
  <c r="AA38" i="9"/>
  <c r="AA37" i="9"/>
  <c r="X42" i="9"/>
  <c r="AA39" i="9"/>
  <c r="AA36" i="9"/>
  <c r="Z36" i="9"/>
  <c r="Y36" i="9"/>
  <c r="X36" i="9"/>
  <c r="L5" i="31"/>
  <c r="H36" i="31"/>
  <c r="H43" i="31"/>
  <c r="O23" i="31"/>
  <c r="O16" i="31"/>
  <c r="BC59" i="9"/>
  <c r="AI47" i="9"/>
  <c r="AG47" i="9"/>
  <c r="BB47" i="9"/>
  <c r="AI48" i="9"/>
  <c r="AG48" i="9"/>
  <c r="BB48" i="9"/>
  <c r="AI49" i="9"/>
  <c r="AG49" i="9"/>
  <c r="BB49" i="9"/>
  <c r="AI50" i="9"/>
  <c r="AG50" i="9"/>
  <c r="BB50" i="9"/>
  <c r="AI51" i="9"/>
  <c r="AG51" i="9"/>
  <c r="BB51" i="9"/>
  <c r="AI52" i="9"/>
  <c r="AG52" i="9"/>
  <c r="BB52" i="9"/>
  <c r="AI53" i="9"/>
  <c r="AG53" i="9"/>
  <c r="BB53" i="9"/>
  <c r="AI54" i="9"/>
  <c r="AG54" i="9"/>
  <c r="BB54" i="9"/>
  <c r="AI55" i="9"/>
  <c r="AG55" i="9"/>
  <c r="BB55" i="9"/>
  <c r="AI46" i="9"/>
  <c r="AG46" i="9"/>
  <c r="BB46" i="9"/>
  <c r="AI25" i="9"/>
  <c r="AG25" i="9"/>
  <c r="BB25" i="9"/>
  <c r="AI23" i="9"/>
  <c r="AG23" i="9"/>
  <c r="BB23" i="9"/>
  <c r="BB20" i="9"/>
  <c r="BB19" i="9"/>
  <c r="BB18" i="9"/>
  <c r="BB15" i="9"/>
  <c r="BB16" i="9"/>
  <c r="BB10" i="9"/>
  <c r="BB13" i="9"/>
  <c r="BB12" i="9"/>
  <c r="AU13" i="9"/>
  <c r="AU12" i="9"/>
  <c r="AU11" i="9"/>
  <c r="AU10" i="9"/>
  <c r="BB11" i="9"/>
  <c r="BG42" i="9"/>
  <c r="BG41" i="9"/>
  <c r="BG37" i="9"/>
  <c r="BG38" i="9"/>
  <c r="BG36" i="9"/>
  <c r="BG25" i="9"/>
  <c r="BG26" i="9"/>
  <c r="BG27" i="9"/>
  <c r="BG28" i="9"/>
  <c r="BB34" i="9"/>
  <c r="BB29" i="9"/>
  <c r="BG29" i="9"/>
  <c r="BG34" i="9"/>
  <c r="BG24" i="9"/>
  <c r="BG22" i="9"/>
  <c r="BG23" i="9"/>
  <c r="BG21" i="9"/>
  <c r="BG10" i="9"/>
  <c r="BG11" i="9"/>
  <c r="BG12" i="9"/>
  <c r="BG13" i="9"/>
  <c r="BG9" i="9"/>
  <c r="BG18" i="9"/>
  <c r="BG19" i="9"/>
  <c r="BG20" i="9"/>
  <c r="BG17" i="9"/>
  <c r="BG8" i="9"/>
  <c r="BG65" i="9"/>
  <c r="BG66" i="9"/>
  <c r="BG64" i="9"/>
  <c r="BG74" i="9"/>
  <c r="BG75" i="9"/>
  <c r="BG73" i="9"/>
  <c r="BG77" i="9"/>
  <c r="BG78" i="9"/>
  <c r="BG76" i="9"/>
  <c r="BG72" i="9"/>
  <c r="BG80" i="9"/>
  <c r="BG81" i="9"/>
  <c r="BG79" i="9"/>
  <c r="BG83" i="9"/>
  <c r="BG82" i="9"/>
  <c r="BG63" i="9"/>
  <c r="BG58" i="9"/>
  <c r="BG57" i="9"/>
  <c r="BG60" i="9"/>
  <c r="BG59" i="9"/>
  <c r="BG62" i="9"/>
  <c r="BG61" i="9"/>
  <c r="BG56" i="9"/>
  <c r="BB45" i="9"/>
  <c r="BF45" i="9"/>
  <c r="BG45" i="9"/>
  <c r="BG86" i="9"/>
  <c r="BG87" i="9"/>
  <c r="BG88" i="9"/>
  <c r="BB64" i="9"/>
  <c r="BB67" i="9"/>
  <c r="BB70" i="9"/>
  <c r="BB73" i="9"/>
  <c r="BB76" i="9"/>
  <c r="BB72" i="9"/>
  <c r="BB79" i="9"/>
  <c r="BB82" i="9"/>
  <c r="BB8" i="9"/>
  <c r="BB57" i="9"/>
  <c r="BB59" i="9"/>
  <c r="BB61" i="9"/>
  <c r="BB56" i="9"/>
  <c r="BB63" i="9"/>
  <c r="BB86" i="9"/>
  <c r="BB88" i="9"/>
  <c r="BC41" i="9"/>
  <c r="BC34" i="9"/>
  <c r="BC29" i="9"/>
  <c r="BC24" i="9"/>
  <c r="BC21" i="9"/>
  <c r="BC14" i="9"/>
  <c r="BC9" i="9"/>
  <c r="BC17" i="9"/>
  <c r="BC8" i="9"/>
  <c r="BC67" i="9"/>
  <c r="BC64" i="9"/>
  <c r="BC70" i="9"/>
  <c r="BC72" i="9"/>
  <c r="BC79" i="9"/>
  <c r="BC82" i="9"/>
  <c r="BC63" i="9"/>
  <c r="BC57" i="9"/>
  <c r="BC61" i="9"/>
  <c r="BC56" i="9"/>
  <c r="BC86" i="9"/>
  <c r="BC88" i="9"/>
  <c r="BD41" i="9"/>
  <c r="BD34" i="9"/>
  <c r="BD29" i="9"/>
  <c r="BD24" i="9"/>
  <c r="BD21" i="9"/>
  <c r="BD14" i="9"/>
  <c r="BD9" i="9"/>
  <c r="BD17" i="9"/>
  <c r="BD8" i="9"/>
  <c r="BD67" i="9"/>
  <c r="BD64" i="9"/>
  <c r="BD70" i="9"/>
  <c r="BD72" i="9"/>
  <c r="BD79" i="9"/>
  <c r="BD82" i="9"/>
  <c r="BD63" i="9"/>
  <c r="BD57" i="9"/>
  <c r="BD59" i="9"/>
  <c r="BD61" i="9"/>
  <c r="BD56" i="9"/>
  <c r="BD86" i="9"/>
  <c r="BD88" i="9"/>
  <c r="BE88" i="9"/>
  <c r="BF87" i="9"/>
  <c r="BE86" i="9"/>
  <c r="BF83" i="9"/>
  <c r="BE83" i="9"/>
  <c r="BE82" i="9"/>
  <c r="BF81" i="9"/>
  <c r="BE81" i="9"/>
  <c r="BF80" i="9"/>
  <c r="BE80" i="9"/>
  <c r="BE79" i="9"/>
  <c r="BF78" i="9"/>
  <c r="BE78" i="9"/>
  <c r="BF77" i="9"/>
  <c r="BE77" i="9"/>
  <c r="BE76" i="9"/>
  <c r="BD76" i="9"/>
  <c r="BC76" i="9"/>
  <c r="BF75" i="9"/>
  <c r="BE75" i="9"/>
  <c r="BF74" i="9"/>
  <c r="BE74" i="9"/>
  <c r="BE73" i="9"/>
  <c r="BD73" i="9"/>
  <c r="BC73" i="9"/>
  <c r="BE72" i="9"/>
  <c r="BG71" i="9"/>
  <c r="BF71" i="9"/>
  <c r="BE71" i="9"/>
  <c r="BE70" i="9"/>
  <c r="BG69" i="9"/>
  <c r="BF69" i="9"/>
  <c r="BE69" i="9"/>
  <c r="BG68" i="9"/>
  <c r="BF68" i="9"/>
  <c r="BE68" i="9"/>
  <c r="BF67" i="9"/>
  <c r="BE67" i="9"/>
  <c r="BF66" i="9"/>
  <c r="BE66" i="9"/>
  <c r="BF65" i="9"/>
  <c r="BE65" i="9"/>
  <c r="BF64" i="9"/>
  <c r="BE64" i="9"/>
  <c r="BF63" i="9"/>
  <c r="BE63" i="9"/>
  <c r="BF62" i="9"/>
  <c r="BE62" i="9"/>
  <c r="BE61" i="9"/>
  <c r="BF60" i="9"/>
  <c r="BE60" i="9"/>
  <c r="BE59" i="9"/>
  <c r="BF58" i="9"/>
  <c r="BE58" i="9"/>
  <c r="BE57" i="9"/>
  <c r="BF56" i="9"/>
  <c r="BE56" i="9"/>
  <c r="BG55" i="9"/>
  <c r="BF55" i="9"/>
  <c r="BE55" i="9"/>
  <c r="BG54" i="9"/>
  <c r="BF54" i="9"/>
  <c r="BE54" i="9"/>
  <c r="BG53" i="9"/>
  <c r="BF53" i="9"/>
  <c r="BE53" i="9"/>
  <c r="BG52" i="9"/>
  <c r="BF52" i="9"/>
  <c r="BE52" i="9"/>
  <c r="BG51" i="9"/>
  <c r="BF51" i="9"/>
  <c r="BE51" i="9"/>
  <c r="BG50" i="9"/>
  <c r="BF50" i="9"/>
  <c r="BE50" i="9"/>
  <c r="BG49" i="9"/>
  <c r="BF49" i="9"/>
  <c r="BE49" i="9"/>
  <c r="BG48" i="9"/>
  <c r="BF48" i="9"/>
  <c r="BE48" i="9"/>
  <c r="BG47" i="9"/>
  <c r="BF47" i="9"/>
  <c r="BE47" i="9"/>
  <c r="BG46" i="9"/>
  <c r="BF46" i="9"/>
  <c r="BE46" i="9"/>
  <c r="BE45" i="9"/>
  <c r="BF42" i="9"/>
  <c r="BE42" i="9"/>
  <c r="BE41" i="9"/>
  <c r="BB41" i="9"/>
  <c r="BF39" i="9"/>
  <c r="BF38" i="9"/>
  <c r="BF37" i="9"/>
  <c r="BG35" i="9"/>
  <c r="BF35" i="9"/>
  <c r="BE35" i="9"/>
  <c r="BE34" i="9"/>
  <c r="BG33" i="9"/>
  <c r="BF33" i="9"/>
  <c r="BE33" i="9"/>
  <c r="BG32" i="9"/>
  <c r="BF32" i="9"/>
  <c r="BE32" i="9"/>
  <c r="BG31" i="9"/>
  <c r="BF31" i="9"/>
  <c r="BE31" i="9"/>
  <c r="BG30" i="9"/>
  <c r="BF30" i="9"/>
  <c r="BE30" i="9"/>
  <c r="BF29" i="9"/>
  <c r="BE29" i="9"/>
  <c r="BF28" i="9"/>
  <c r="BE28" i="9"/>
  <c r="BF27" i="9"/>
  <c r="BE27" i="9"/>
  <c r="BF26" i="9"/>
  <c r="BE26" i="9"/>
  <c r="BF25" i="9"/>
  <c r="BE25" i="9"/>
  <c r="BE24" i="9"/>
  <c r="BB24" i="9"/>
  <c r="BF23" i="9"/>
  <c r="BE23" i="9"/>
  <c r="BF22" i="9"/>
  <c r="BE22" i="9"/>
  <c r="BE21" i="9"/>
  <c r="BB21" i="9"/>
  <c r="BF20" i="9"/>
  <c r="BE20" i="9"/>
  <c r="BF19" i="9"/>
  <c r="BE19" i="9"/>
  <c r="BF18" i="9"/>
  <c r="BE18" i="9"/>
  <c r="BE17" i="9"/>
  <c r="BB17" i="9"/>
  <c r="BG16" i="9"/>
  <c r="BF16" i="9"/>
  <c r="BE16" i="9"/>
  <c r="BG15" i="9"/>
  <c r="BF15" i="9"/>
  <c r="BE15" i="9"/>
  <c r="BB14" i="9"/>
  <c r="BG14" i="9"/>
  <c r="BF14" i="9"/>
  <c r="BE14" i="9"/>
  <c r="BF13" i="9"/>
  <c r="BE13" i="9"/>
  <c r="BF12" i="9"/>
  <c r="BE12" i="9"/>
  <c r="BF11" i="9"/>
  <c r="BE11" i="9"/>
  <c r="BF10" i="9"/>
  <c r="BE10" i="9"/>
  <c r="BE9" i="9"/>
  <c r="BB9" i="9"/>
  <c r="BE8" i="9"/>
  <c r="AX83" i="9"/>
  <c r="AX82" i="9"/>
  <c r="AX80" i="9"/>
  <c r="AX81" i="9"/>
  <c r="AX79" i="9"/>
  <c r="AX71" i="9"/>
  <c r="AX70" i="9"/>
  <c r="AX68" i="9"/>
  <c r="AX69" i="9"/>
  <c r="AX67" i="9"/>
  <c r="AX66" i="9"/>
  <c r="AX65" i="9"/>
  <c r="AX64" i="9"/>
  <c r="AX74" i="9"/>
  <c r="AX75" i="9"/>
  <c r="AX73" i="9"/>
  <c r="AX77" i="9"/>
  <c r="AX78" i="9"/>
  <c r="AX76" i="9"/>
  <c r="AX72" i="9"/>
  <c r="AX63" i="9"/>
  <c r="AZ83" i="9"/>
  <c r="AZ82" i="9"/>
  <c r="AZ80" i="9"/>
  <c r="AZ81" i="9"/>
  <c r="AZ79" i="9"/>
  <c r="AZ77" i="9"/>
  <c r="AZ78" i="9"/>
  <c r="AZ76" i="9"/>
  <c r="AZ74" i="9"/>
  <c r="AZ75" i="9"/>
  <c r="AZ73" i="9"/>
  <c r="AZ72" i="9"/>
  <c r="AZ71" i="9"/>
  <c r="AZ69" i="9"/>
  <c r="AZ68" i="9"/>
  <c r="AZ65" i="9"/>
  <c r="AY81" i="9"/>
  <c r="AY80" i="9"/>
  <c r="AY78" i="9"/>
  <c r="AY77" i="9"/>
  <c r="AY69" i="9"/>
  <c r="AZ66" i="9"/>
  <c r="AZ64" i="9"/>
  <c r="AZ63" i="9"/>
  <c r="AU57" i="9"/>
  <c r="AU59" i="9"/>
  <c r="AU61" i="9"/>
  <c r="AU56" i="9"/>
  <c r="AW76" i="9"/>
  <c r="AV76" i="9"/>
  <c r="AW73" i="9"/>
  <c r="AV73" i="9"/>
  <c r="AU76" i="9"/>
  <c r="AU73" i="9"/>
  <c r="AU72" i="9"/>
  <c r="AU70" i="9"/>
  <c r="AU67" i="9"/>
  <c r="AU64" i="9"/>
  <c r="AW67" i="9"/>
  <c r="AW64" i="9"/>
  <c r="AW70" i="9"/>
  <c r="AW72" i="9"/>
  <c r="AW79" i="9"/>
  <c r="AW82" i="9"/>
  <c r="AW63" i="9"/>
  <c r="AV67" i="9"/>
  <c r="AV64" i="9"/>
  <c r="AV70" i="9"/>
  <c r="AV72" i="9"/>
  <c r="AV79" i="9"/>
  <c r="AV82" i="9"/>
  <c r="AV63" i="9"/>
  <c r="AU79" i="9"/>
  <c r="AU82" i="9"/>
  <c r="AU63" i="9"/>
  <c r="AU8" i="9"/>
  <c r="AX62" i="9"/>
  <c r="AZ62" i="9"/>
  <c r="AZ61" i="9"/>
  <c r="AZ60" i="9"/>
  <c r="AZ59" i="9"/>
  <c r="AZ58" i="9"/>
  <c r="AZ57" i="9"/>
  <c r="AZ56" i="9"/>
  <c r="AV57" i="9"/>
  <c r="AW57" i="9"/>
  <c r="AX57" i="9"/>
  <c r="AV59" i="9"/>
  <c r="AW59" i="9"/>
  <c r="AX59" i="9"/>
  <c r="AV61" i="9"/>
  <c r="AW61" i="9"/>
  <c r="AX61" i="9"/>
  <c r="AX56" i="9"/>
  <c r="AY62" i="9"/>
  <c r="AY60" i="9"/>
  <c r="AY58" i="9"/>
  <c r="AZ55" i="9"/>
  <c r="AZ54" i="9"/>
  <c r="AZ53" i="9"/>
  <c r="AZ52" i="9"/>
  <c r="AZ51" i="9"/>
  <c r="AZ50" i="9"/>
  <c r="AZ49" i="9"/>
  <c r="AZ48" i="9"/>
  <c r="AZ47" i="9"/>
  <c r="AZ46" i="9"/>
  <c r="AZ42" i="9"/>
  <c r="AZ35" i="9"/>
  <c r="AZ33" i="9"/>
  <c r="AY35" i="9"/>
  <c r="AX35" i="9"/>
  <c r="AX34" i="9"/>
  <c r="AW34" i="9"/>
  <c r="AV34" i="9"/>
  <c r="AU34" i="9"/>
  <c r="AZ34" i="9"/>
  <c r="AZ32" i="9"/>
  <c r="AZ31" i="9"/>
  <c r="AZ30" i="9"/>
  <c r="AY33" i="9"/>
  <c r="AY32" i="9"/>
  <c r="AY31" i="9"/>
  <c r="AY30" i="9"/>
  <c r="AU29" i="9"/>
  <c r="AZ29" i="9"/>
  <c r="AZ25" i="9"/>
  <c r="AZ26" i="9"/>
  <c r="AZ27" i="9"/>
  <c r="AZ28" i="9"/>
  <c r="AZ24" i="9"/>
  <c r="AV29" i="9"/>
  <c r="AW29" i="9"/>
  <c r="AX29" i="9"/>
  <c r="AX25" i="9"/>
  <c r="AX26" i="9"/>
  <c r="AX27" i="9"/>
  <c r="AX28" i="9"/>
  <c r="AX24" i="9"/>
  <c r="AV24" i="9"/>
  <c r="AW24" i="9"/>
  <c r="AX33" i="9"/>
  <c r="AX32" i="9"/>
  <c r="AX31" i="9"/>
  <c r="AX30" i="9"/>
  <c r="AU14" i="9"/>
  <c r="AZ14" i="9"/>
  <c r="AZ23" i="9"/>
  <c r="AZ22" i="9"/>
  <c r="AZ21" i="9"/>
  <c r="AU21" i="9"/>
  <c r="AU24" i="9"/>
  <c r="AW21" i="9"/>
  <c r="AX22" i="9"/>
  <c r="AX23" i="9"/>
  <c r="AX21" i="9"/>
  <c r="AV21" i="9"/>
  <c r="AX15" i="9"/>
  <c r="AX16" i="9"/>
  <c r="AX14" i="9"/>
  <c r="AW14" i="9"/>
  <c r="AV14" i="9"/>
  <c r="AX11" i="9"/>
  <c r="AX12" i="9"/>
  <c r="AX13" i="9"/>
  <c r="AX10" i="9"/>
  <c r="AX9" i="9"/>
  <c r="AY28" i="9"/>
  <c r="AY23" i="9"/>
  <c r="AZ20" i="9"/>
  <c r="AZ19" i="9"/>
  <c r="AZ18" i="9"/>
  <c r="AZ16" i="9"/>
  <c r="AZ15" i="9"/>
  <c r="AY16" i="9"/>
  <c r="AY15" i="9"/>
  <c r="AZ11" i="9"/>
  <c r="AZ12" i="9"/>
  <c r="AZ13" i="9"/>
  <c r="AZ10" i="9"/>
  <c r="AN11" i="9"/>
  <c r="AN12" i="9"/>
  <c r="AN13" i="9"/>
  <c r="AN15" i="9"/>
  <c r="AN16" i="9"/>
  <c r="AN14" i="9"/>
  <c r="AN9" i="9"/>
  <c r="AN18" i="9"/>
  <c r="AN19" i="9"/>
  <c r="AN20" i="9"/>
  <c r="AN17" i="9"/>
  <c r="AI22" i="9"/>
  <c r="AG22" i="9"/>
  <c r="AH22" i="9"/>
  <c r="AN22" i="9"/>
  <c r="AH23" i="9"/>
  <c r="AN23" i="9"/>
  <c r="AN21" i="9"/>
  <c r="AF25" i="9"/>
  <c r="AH25" i="9"/>
  <c r="AN25" i="9"/>
  <c r="AI26" i="9"/>
  <c r="AG26" i="9"/>
  <c r="AH26" i="9"/>
  <c r="AN26" i="9"/>
  <c r="AI27" i="9"/>
  <c r="AG27" i="9"/>
  <c r="AF27" i="9"/>
  <c r="AH27" i="9"/>
  <c r="AN27" i="9"/>
  <c r="AI28" i="9"/>
  <c r="AG28" i="9"/>
  <c r="AH28" i="9"/>
  <c r="AN28" i="9"/>
  <c r="AI30" i="9"/>
  <c r="AG30" i="9"/>
  <c r="AH30" i="9"/>
  <c r="AN30" i="9"/>
  <c r="AI31" i="9"/>
  <c r="AG31" i="9"/>
  <c r="AH31" i="9"/>
  <c r="AN31" i="9"/>
  <c r="AI32" i="9"/>
  <c r="AG32" i="9"/>
  <c r="AH32" i="9"/>
  <c r="AN32" i="9"/>
  <c r="AI33" i="9"/>
  <c r="AG33" i="9"/>
  <c r="AH33" i="9"/>
  <c r="AN33" i="9"/>
  <c r="AN29" i="9"/>
  <c r="AI35" i="9"/>
  <c r="AG35" i="9"/>
  <c r="AH35" i="9"/>
  <c r="AN35" i="9"/>
  <c r="AN34" i="9"/>
  <c r="AN24" i="9"/>
  <c r="AN42" i="9"/>
  <c r="AN41" i="9"/>
  <c r="AN8" i="9"/>
  <c r="AH46" i="9"/>
  <c r="AN46" i="9"/>
  <c r="AH47" i="9"/>
  <c r="AN47" i="9"/>
  <c r="AH48" i="9"/>
  <c r="AN48" i="9"/>
  <c r="AH49" i="9"/>
  <c r="AN49" i="9"/>
  <c r="AH50" i="9"/>
  <c r="AN50" i="9"/>
  <c r="AH51" i="9"/>
  <c r="AN51" i="9"/>
  <c r="AH52" i="9"/>
  <c r="AN52" i="9"/>
  <c r="AH53" i="9"/>
  <c r="AN53" i="9"/>
  <c r="AH54" i="9"/>
  <c r="AN54" i="9"/>
  <c r="AH55" i="9"/>
  <c r="AN55" i="9"/>
  <c r="AN45" i="9"/>
  <c r="AI65" i="9"/>
  <c r="AG65" i="9"/>
  <c r="AH65" i="9"/>
  <c r="AN65" i="9"/>
  <c r="AI66" i="9"/>
  <c r="AG66" i="9"/>
  <c r="AH66" i="9"/>
  <c r="AN66" i="9"/>
  <c r="AN64" i="9"/>
  <c r="AI68" i="9"/>
  <c r="AG68" i="9"/>
  <c r="AH68" i="9"/>
  <c r="AN68" i="9"/>
  <c r="AI69" i="9"/>
  <c r="AG69" i="9"/>
  <c r="AH69" i="9"/>
  <c r="AN69" i="9"/>
  <c r="AN67" i="9"/>
  <c r="AI71" i="9"/>
  <c r="AG71" i="9"/>
  <c r="AH71" i="9"/>
  <c r="AN71" i="9"/>
  <c r="AN70" i="9"/>
  <c r="AI74" i="9"/>
  <c r="AG74" i="9"/>
  <c r="AH74" i="9"/>
  <c r="AN74" i="9"/>
  <c r="AI75" i="9"/>
  <c r="AG75" i="9"/>
  <c r="AH75" i="9"/>
  <c r="AN75" i="9"/>
  <c r="AN73" i="9"/>
  <c r="AI77" i="9"/>
  <c r="AG77" i="9"/>
  <c r="AH77" i="9"/>
  <c r="AN77" i="9"/>
  <c r="AI78" i="9"/>
  <c r="AG78" i="9"/>
  <c r="AH78" i="9"/>
  <c r="AN78" i="9"/>
  <c r="AN76" i="9"/>
  <c r="AN72" i="9"/>
  <c r="AI80" i="9"/>
  <c r="AG80" i="9"/>
  <c r="AH80" i="9"/>
  <c r="AN80" i="9"/>
  <c r="AI81" i="9"/>
  <c r="AG81" i="9"/>
  <c r="AH81" i="9"/>
  <c r="AN81" i="9"/>
  <c r="AN79" i="9"/>
  <c r="AI83" i="9"/>
  <c r="AG83" i="9"/>
  <c r="AH83" i="9"/>
  <c r="AN83" i="9"/>
  <c r="AN82" i="9"/>
  <c r="AN63" i="9"/>
  <c r="AI58" i="9"/>
  <c r="AG58" i="9"/>
  <c r="AH58" i="9"/>
  <c r="AN58" i="9"/>
  <c r="AN57" i="9"/>
  <c r="AI60" i="9"/>
  <c r="AG60" i="9"/>
  <c r="AH60" i="9"/>
  <c r="AN60" i="9"/>
  <c r="AN59" i="9"/>
  <c r="AI62" i="9"/>
  <c r="AG62" i="9"/>
  <c r="AH62" i="9"/>
  <c r="AN62" i="9"/>
  <c r="AN61" i="9"/>
  <c r="AN56" i="9"/>
  <c r="AN86" i="9"/>
  <c r="AI87" i="9"/>
  <c r="AG87" i="9"/>
  <c r="AH87" i="9"/>
  <c r="AN87" i="9"/>
  <c r="AN88" i="9"/>
  <c r="AS42" i="9"/>
  <c r="AS41" i="9"/>
  <c r="AS37" i="9"/>
  <c r="AS38" i="9"/>
  <c r="AS36" i="9"/>
  <c r="AS25" i="9"/>
  <c r="AS26" i="9"/>
  <c r="AS27" i="9"/>
  <c r="AS28" i="9"/>
  <c r="AS30" i="9"/>
  <c r="AS31" i="9"/>
  <c r="AS32" i="9"/>
  <c r="AS33" i="9"/>
  <c r="AS29" i="9"/>
  <c r="AS35" i="9"/>
  <c r="AS34" i="9"/>
  <c r="AS24" i="9"/>
  <c r="AS22" i="9"/>
  <c r="AS23" i="9"/>
  <c r="AS21" i="9"/>
  <c r="AS11" i="9"/>
  <c r="AS12" i="9"/>
  <c r="AS13" i="9"/>
  <c r="AS15" i="9"/>
  <c r="AS16" i="9"/>
  <c r="AS14" i="9"/>
  <c r="AS10" i="9"/>
  <c r="AS9" i="9"/>
  <c r="AS18" i="9"/>
  <c r="AS19" i="9"/>
  <c r="AS20" i="9"/>
  <c r="AS17" i="9"/>
  <c r="AS8" i="9"/>
  <c r="AS46" i="9"/>
  <c r="AS47" i="9"/>
  <c r="AS48" i="9"/>
  <c r="AS49" i="9"/>
  <c r="AS50" i="9"/>
  <c r="AS51" i="9"/>
  <c r="AS52" i="9"/>
  <c r="AS53" i="9"/>
  <c r="AS54" i="9"/>
  <c r="AS55" i="9"/>
  <c r="AS45" i="9"/>
  <c r="AS65" i="9"/>
  <c r="AS66" i="9"/>
  <c r="AS64" i="9"/>
  <c r="AS68" i="9"/>
  <c r="AS69" i="9"/>
  <c r="AS67" i="9"/>
  <c r="AS71" i="9"/>
  <c r="AS70" i="9"/>
  <c r="AS74" i="9"/>
  <c r="AS75" i="9"/>
  <c r="AS73" i="9"/>
  <c r="AS77" i="9"/>
  <c r="AS78" i="9"/>
  <c r="AS76" i="9"/>
  <c r="AS72" i="9"/>
  <c r="AS80" i="9"/>
  <c r="AS81" i="9"/>
  <c r="AS79" i="9"/>
  <c r="AS83" i="9"/>
  <c r="AS82" i="9"/>
  <c r="AS63" i="9"/>
  <c r="AS58" i="9"/>
  <c r="AS57" i="9"/>
  <c r="AS60" i="9"/>
  <c r="AS59" i="9"/>
  <c r="AS62" i="9"/>
  <c r="AS61" i="9"/>
  <c r="AS56" i="9"/>
  <c r="AS86" i="9"/>
  <c r="AS87" i="9"/>
  <c r="AS88" i="9"/>
  <c r="AS91" i="9"/>
  <c r="AJ87" i="9"/>
  <c r="AJ83" i="9"/>
  <c r="AH45" i="9"/>
  <c r="AH14" i="9"/>
  <c r="AH9" i="9"/>
  <c r="AH17" i="9"/>
  <c r="AH21" i="9"/>
  <c r="AH29" i="9"/>
  <c r="AH34" i="9"/>
  <c r="AH24" i="9"/>
  <c r="AH41" i="9"/>
  <c r="AH8" i="9"/>
  <c r="AH64" i="9"/>
  <c r="AH67" i="9"/>
  <c r="AH70" i="9"/>
  <c r="AH73" i="9"/>
  <c r="AH76" i="9"/>
  <c r="AH72" i="9"/>
  <c r="AH79" i="9"/>
  <c r="AH82" i="9"/>
  <c r="AH63" i="9"/>
  <c r="AH57" i="9"/>
  <c r="AH59" i="9"/>
  <c r="AH61" i="9"/>
  <c r="AH56" i="9"/>
  <c r="AH86" i="9"/>
  <c r="AL46" i="9"/>
  <c r="AL47" i="9"/>
  <c r="AL48" i="9"/>
  <c r="AL49" i="9"/>
  <c r="AL50" i="9"/>
  <c r="AL51" i="9"/>
  <c r="AL52" i="9"/>
  <c r="AL53" i="9"/>
  <c r="AL54" i="9"/>
  <c r="AL55" i="9"/>
  <c r="AL45" i="9"/>
  <c r="AL14" i="9"/>
  <c r="AL9" i="9"/>
  <c r="AL17" i="9"/>
  <c r="AL22" i="9"/>
  <c r="AL23" i="9"/>
  <c r="AL21" i="9"/>
  <c r="AL30" i="9"/>
  <c r="AL31" i="9"/>
  <c r="AL32" i="9"/>
  <c r="AL33" i="9"/>
  <c r="AL29" i="9"/>
  <c r="AL25" i="9"/>
  <c r="AL26" i="9"/>
  <c r="AL27" i="9"/>
  <c r="AL28" i="9"/>
  <c r="AL35" i="9"/>
  <c r="AL34" i="9"/>
  <c r="AL24" i="9"/>
  <c r="AL42" i="9"/>
  <c r="AL41" i="9"/>
  <c r="AL8" i="9"/>
  <c r="AL65" i="9"/>
  <c r="AL66" i="9"/>
  <c r="AL64" i="9"/>
  <c r="AL68" i="9"/>
  <c r="AL69" i="9"/>
  <c r="AL67" i="9"/>
  <c r="AL71" i="9"/>
  <c r="AL70" i="9"/>
  <c r="AL74" i="9"/>
  <c r="AL75" i="9"/>
  <c r="AL73" i="9"/>
  <c r="AL77" i="9"/>
  <c r="AL78" i="9"/>
  <c r="AL76" i="9"/>
  <c r="AL72" i="9"/>
  <c r="AL80" i="9"/>
  <c r="AL81" i="9"/>
  <c r="AL79" i="9"/>
  <c r="AL83" i="9"/>
  <c r="AL82" i="9"/>
  <c r="AL63" i="9"/>
  <c r="AL58" i="9"/>
  <c r="AL57" i="9"/>
  <c r="AL60" i="9"/>
  <c r="AL59" i="9"/>
  <c r="AL62" i="9"/>
  <c r="AL61" i="9"/>
  <c r="AL56" i="9"/>
  <c r="AL86" i="9"/>
  <c r="AJ46" i="9"/>
  <c r="AJ47" i="9"/>
  <c r="AJ48" i="9"/>
  <c r="AJ49" i="9"/>
  <c r="AJ50" i="9"/>
  <c r="AJ51" i="9"/>
  <c r="AJ52" i="9"/>
  <c r="AJ53" i="9"/>
  <c r="AJ54" i="9"/>
  <c r="AJ55" i="9"/>
  <c r="AJ45" i="9"/>
  <c r="AJ14" i="9"/>
  <c r="AJ9" i="9"/>
  <c r="AJ17" i="9"/>
  <c r="AJ22" i="9"/>
  <c r="AJ23" i="9"/>
  <c r="AJ21" i="9"/>
  <c r="AJ25" i="9"/>
  <c r="AJ26" i="9"/>
  <c r="AJ27" i="9"/>
  <c r="AJ28" i="9"/>
  <c r="AJ30" i="9"/>
  <c r="AJ31" i="9"/>
  <c r="AJ32" i="9"/>
  <c r="AJ33" i="9"/>
  <c r="AJ29" i="9"/>
  <c r="AJ35" i="9"/>
  <c r="AJ34" i="9"/>
  <c r="AJ24" i="9"/>
  <c r="AJ42" i="9"/>
  <c r="AJ41" i="9"/>
  <c r="AJ8" i="9"/>
  <c r="AJ65" i="9"/>
  <c r="AJ66" i="9"/>
  <c r="AJ64" i="9"/>
  <c r="AJ68" i="9"/>
  <c r="AJ69" i="9"/>
  <c r="AJ67" i="9"/>
  <c r="AJ71" i="9"/>
  <c r="AJ70" i="9"/>
  <c r="AJ74" i="9"/>
  <c r="AJ75" i="9"/>
  <c r="AJ73" i="9"/>
  <c r="AJ77" i="9"/>
  <c r="AJ78" i="9"/>
  <c r="AJ76" i="9"/>
  <c r="AJ72" i="9"/>
  <c r="AJ80" i="9"/>
  <c r="AJ81" i="9"/>
  <c r="AJ79" i="9"/>
  <c r="AJ82" i="9"/>
  <c r="AJ63" i="9"/>
  <c r="AJ58" i="9"/>
  <c r="AJ57" i="9"/>
  <c r="AJ60" i="9"/>
  <c r="AJ59" i="9"/>
  <c r="AJ62" i="9"/>
  <c r="AJ61" i="9"/>
  <c r="AJ56" i="9"/>
  <c r="AJ86" i="9"/>
  <c r="AH88" i="9"/>
  <c r="AQ83" i="9"/>
  <c r="AQ81" i="9"/>
  <c r="AQ80" i="9"/>
  <c r="AQ78" i="9"/>
  <c r="AQ77" i="9"/>
  <c r="AQ75" i="9"/>
  <c r="AQ74" i="9"/>
  <c r="AQ71" i="9"/>
  <c r="AQ69" i="9"/>
  <c r="AQ68" i="9"/>
  <c r="AQ66" i="9"/>
  <c r="AQ65" i="9"/>
  <c r="AQ64" i="9"/>
  <c r="AQ67" i="9"/>
  <c r="AQ70" i="9"/>
  <c r="AQ73" i="9"/>
  <c r="AQ76" i="9"/>
  <c r="AQ72" i="9"/>
  <c r="AQ79" i="9"/>
  <c r="AQ82" i="9"/>
  <c r="AQ63" i="9"/>
  <c r="AP64" i="9"/>
  <c r="AP67" i="9"/>
  <c r="AP70" i="9"/>
  <c r="AP73" i="9"/>
  <c r="AP76" i="9"/>
  <c r="AP72" i="9"/>
  <c r="AP79" i="9"/>
  <c r="AP82" i="9"/>
  <c r="AP63" i="9"/>
  <c r="AO64" i="9"/>
  <c r="AO67" i="9"/>
  <c r="AO70" i="9"/>
  <c r="AO73" i="9"/>
  <c r="AO76" i="9"/>
  <c r="AO72" i="9"/>
  <c r="AO79" i="9"/>
  <c r="AO82" i="9"/>
  <c r="AO63" i="9"/>
  <c r="AR81" i="9"/>
  <c r="AR80" i="9"/>
  <c r="AR78" i="9"/>
  <c r="AR77" i="9"/>
  <c r="AQ62" i="9"/>
  <c r="AQ61" i="9"/>
  <c r="AQ60" i="9"/>
  <c r="AQ59" i="9"/>
  <c r="AQ58" i="9"/>
  <c r="AQ57" i="9"/>
  <c r="AQ56" i="9"/>
  <c r="AP61" i="9"/>
  <c r="AP59" i="9"/>
  <c r="AP57" i="9"/>
  <c r="AP56" i="9"/>
  <c r="AO61" i="9"/>
  <c r="AO59" i="9"/>
  <c r="AO57" i="9"/>
  <c r="AO56" i="9"/>
  <c r="AP45" i="9"/>
  <c r="AO45" i="9"/>
  <c r="AO14" i="9"/>
  <c r="AO9" i="9"/>
  <c r="AO17" i="9"/>
  <c r="AO8" i="9"/>
  <c r="AR62" i="9"/>
  <c r="AR60" i="9"/>
  <c r="AR58" i="9"/>
  <c r="AQ47" i="9"/>
  <c r="AQ46" i="9"/>
  <c r="AQ48" i="9"/>
  <c r="AQ49" i="9"/>
  <c r="AQ50" i="9"/>
  <c r="AQ51" i="9"/>
  <c r="AQ52" i="9"/>
  <c r="AQ53" i="9"/>
  <c r="AQ54" i="9"/>
  <c r="AQ55" i="9"/>
  <c r="AQ45" i="9"/>
  <c r="AQ35" i="9"/>
  <c r="AQ34" i="9"/>
  <c r="AR35" i="9"/>
  <c r="AQ25" i="9"/>
  <c r="AQ26" i="9"/>
  <c r="AQ27" i="9"/>
  <c r="AQ28" i="9"/>
  <c r="AQ30" i="9"/>
  <c r="AQ31" i="9"/>
  <c r="AQ32" i="9"/>
  <c r="AQ33" i="9"/>
  <c r="AQ29" i="9"/>
  <c r="AQ24" i="9"/>
  <c r="AR33" i="9"/>
  <c r="AR32" i="9"/>
  <c r="AR31" i="9"/>
  <c r="AR30" i="9"/>
  <c r="AR28" i="9"/>
  <c r="AO29" i="9"/>
  <c r="AP29" i="9"/>
  <c r="AP34" i="9"/>
  <c r="AO34" i="9"/>
  <c r="AP24" i="9"/>
  <c r="AO24" i="9"/>
  <c r="AP21" i="9"/>
  <c r="AO21" i="9"/>
  <c r="AP14" i="9"/>
  <c r="AR23" i="9"/>
  <c r="AQ23" i="9"/>
  <c r="AR16" i="9"/>
  <c r="AR15" i="9"/>
  <c r="AR12" i="9"/>
  <c r="AQ13" i="9"/>
  <c r="AQ16" i="9"/>
  <c r="AQ15" i="9"/>
  <c r="AZ41" i="9"/>
  <c r="AZ9" i="9"/>
  <c r="AZ17" i="9"/>
  <c r="AZ8" i="9"/>
  <c r="AY56" i="9"/>
  <c r="AU45" i="9"/>
  <c r="AY45" i="9"/>
  <c r="AZ45" i="9"/>
  <c r="AZ86" i="9"/>
  <c r="AZ87" i="9"/>
  <c r="AZ88" i="9"/>
  <c r="AU9" i="9"/>
  <c r="AU17" i="9"/>
  <c r="AU41" i="9"/>
  <c r="AU86" i="9"/>
  <c r="AU88" i="9"/>
  <c r="AV41" i="9"/>
  <c r="AV9" i="9"/>
  <c r="AV17" i="9"/>
  <c r="AV8" i="9"/>
  <c r="AV56" i="9"/>
  <c r="AV86" i="9"/>
  <c r="AV88" i="9"/>
  <c r="AW41" i="9"/>
  <c r="AW9" i="9"/>
  <c r="AW17" i="9"/>
  <c r="AW8" i="9"/>
  <c r="AW56" i="9"/>
  <c r="AW86" i="9"/>
  <c r="AW88" i="9"/>
  <c r="AX88" i="9"/>
  <c r="AY87" i="9"/>
  <c r="AX86" i="9"/>
  <c r="AY83" i="9"/>
  <c r="AY75" i="9"/>
  <c r="AY74" i="9"/>
  <c r="AY71" i="9"/>
  <c r="AY68" i="9"/>
  <c r="AY67" i="9"/>
  <c r="AY66" i="9"/>
  <c r="AY65" i="9"/>
  <c r="AY64" i="9"/>
  <c r="AY63" i="9"/>
  <c r="AX60" i="9"/>
  <c r="AX58" i="9"/>
  <c r="AY55" i="9"/>
  <c r="AX55" i="9"/>
  <c r="AY54" i="9"/>
  <c r="AX54" i="9"/>
  <c r="AY53" i="9"/>
  <c r="AX53" i="9"/>
  <c r="AY52" i="9"/>
  <c r="AX52" i="9"/>
  <c r="AY51" i="9"/>
  <c r="AX51" i="9"/>
  <c r="AY50" i="9"/>
  <c r="AX50" i="9"/>
  <c r="AY49" i="9"/>
  <c r="AX49" i="9"/>
  <c r="AY48" i="9"/>
  <c r="AX48" i="9"/>
  <c r="AY47" i="9"/>
  <c r="AX47" i="9"/>
  <c r="AY46" i="9"/>
  <c r="AX46" i="9"/>
  <c r="AX45" i="9"/>
  <c r="AY42" i="9"/>
  <c r="AX42" i="9"/>
  <c r="AX41" i="9"/>
  <c r="AY39" i="9"/>
  <c r="AY38" i="9"/>
  <c r="AY37" i="9"/>
  <c r="AY29" i="9"/>
  <c r="AY27" i="9"/>
  <c r="AY26" i="9"/>
  <c r="AY25" i="9"/>
  <c r="AY22" i="9"/>
  <c r="AY20" i="9"/>
  <c r="AX20" i="9"/>
  <c r="AY19" i="9"/>
  <c r="AX19" i="9"/>
  <c r="AY18" i="9"/>
  <c r="AX18" i="9"/>
  <c r="AX17" i="9"/>
  <c r="AY14" i="9"/>
  <c r="AY13" i="9"/>
  <c r="AY12" i="9"/>
  <c r="AY11" i="9"/>
  <c r="AY10" i="9"/>
  <c r="AX8" i="9"/>
  <c r="AL87" i="9"/>
  <c r="AL88" i="9"/>
  <c r="AJ88" i="9"/>
  <c r="AC91" i="9"/>
  <c r="Q25" i="31"/>
  <c r="R25" i="31"/>
  <c r="R25" i="9"/>
  <c r="X25" i="9"/>
  <c r="R26" i="9"/>
  <c r="X26" i="9"/>
  <c r="R27" i="9"/>
  <c r="X27" i="9"/>
  <c r="X28" i="9"/>
  <c r="R30" i="9"/>
  <c r="X30" i="9"/>
  <c r="R31" i="9"/>
  <c r="X31" i="9"/>
  <c r="R32" i="9"/>
  <c r="X32" i="9"/>
  <c r="R33" i="9"/>
  <c r="X33" i="9"/>
  <c r="X29" i="9"/>
  <c r="X34" i="9"/>
  <c r="X24" i="9"/>
  <c r="AR45" i="9"/>
  <c r="AB42" i="9"/>
  <c r="AC41" i="9"/>
  <c r="AB25" i="9"/>
  <c r="AC25" i="9"/>
  <c r="AB26" i="9"/>
  <c r="AC26" i="9"/>
  <c r="AB27" i="9"/>
  <c r="AC27" i="9"/>
  <c r="AB28" i="9"/>
  <c r="AC28" i="9"/>
  <c r="AB30" i="9"/>
  <c r="AC30" i="9"/>
  <c r="AB31" i="9"/>
  <c r="AC31" i="9"/>
  <c r="AB32" i="9"/>
  <c r="AC32" i="9"/>
  <c r="AB33" i="9"/>
  <c r="AC33" i="9"/>
  <c r="AC29" i="9"/>
  <c r="AC34" i="9"/>
  <c r="AC24" i="9"/>
  <c r="R22" i="9"/>
  <c r="X22" i="9"/>
  <c r="AB22" i="9"/>
  <c r="AC22" i="9"/>
  <c r="X23" i="9"/>
  <c r="AB23" i="9"/>
  <c r="AC23" i="9"/>
  <c r="AC21" i="9"/>
  <c r="X10" i="9"/>
  <c r="AB10" i="9"/>
  <c r="R11" i="9"/>
  <c r="X11" i="9"/>
  <c r="AB11" i="9"/>
  <c r="AC11" i="9"/>
  <c r="R12" i="9"/>
  <c r="X12" i="9"/>
  <c r="AB12" i="9"/>
  <c r="AC12" i="9"/>
  <c r="R13" i="9"/>
  <c r="X13" i="9"/>
  <c r="AB13" i="9"/>
  <c r="AC13" i="9"/>
  <c r="AC14" i="9"/>
  <c r="AC9" i="9"/>
  <c r="R18" i="9"/>
  <c r="X18" i="9"/>
  <c r="AB18" i="9"/>
  <c r="AC18" i="9"/>
  <c r="R19" i="9"/>
  <c r="X19" i="9"/>
  <c r="AB19" i="9"/>
  <c r="AC19" i="9"/>
  <c r="R20" i="9"/>
  <c r="X20" i="9"/>
  <c r="AB20" i="9"/>
  <c r="AC20" i="9"/>
  <c r="AC17" i="9"/>
  <c r="AC8" i="9"/>
  <c r="AB63" i="9"/>
  <c r="AC63" i="9"/>
  <c r="AB56" i="9"/>
  <c r="AC56" i="9"/>
  <c r="AB45" i="9"/>
  <c r="AC45" i="9"/>
  <c r="AC86" i="9"/>
  <c r="R87" i="9"/>
  <c r="X87" i="9"/>
  <c r="AC87" i="9"/>
  <c r="AC88" i="9"/>
  <c r="AC92" i="9"/>
  <c r="AA22" i="9"/>
  <c r="AA21" i="9"/>
  <c r="Z21" i="9"/>
  <c r="Y21" i="9"/>
  <c r="X21" i="9"/>
  <c r="X16" i="9"/>
  <c r="AB16" i="9"/>
  <c r="AC16" i="9"/>
  <c r="AB15" i="9"/>
  <c r="X15" i="9"/>
  <c r="AC15" i="9"/>
  <c r="X9" i="9"/>
  <c r="X17" i="9"/>
  <c r="X41" i="9"/>
  <c r="X8" i="9"/>
  <c r="X86" i="9"/>
  <c r="X88" i="9"/>
  <c r="X91" i="9"/>
  <c r="AA30" i="9"/>
  <c r="AA31" i="9"/>
  <c r="AA32" i="9"/>
  <c r="AA33" i="9"/>
  <c r="AA29" i="9"/>
  <c r="AA25" i="9"/>
  <c r="AA26" i="9"/>
  <c r="AA27" i="9"/>
  <c r="AA28" i="9"/>
  <c r="AA24" i="9"/>
  <c r="AA18" i="9"/>
  <c r="AA19" i="9"/>
  <c r="AA20" i="9"/>
  <c r="AA17" i="9"/>
  <c r="AA15" i="9"/>
  <c r="AA16" i="9"/>
  <c r="AA14" i="9"/>
  <c r="Z34" i="9"/>
  <c r="Y34" i="9"/>
  <c r="Z29" i="9"/>
  <c r="Y29" i="9"/>
  <c r="Z24" i="9"/>
  <c r="Y24" i="9"/>
  <c r="AA10" i="9"/>
  <c r="AA11" i="9"/>
  <c r="AA12" i="9"/>
  <c r="AA13" i="9"/>
  <c r="AA9" i="9"/>
  <c r="Z17" i="9"/>
  <c r="Y17" i="9"/>
  <c r="Z14" i="9"/>
  <c r="Y14" i="9"/>
  <c r="Z9" i="9"/>
  <c r="Y9" i="9"/>
  <c r="S11" i="9"/>
  <c r="T11" i="9"/>
  <c r="S12" i="9"/>
  <c r="T12" i="9"/>
  <c r="S13" i="9"/>
  <c r="T13" i="9"/>
  <c r="S14" i="9"/>
  <c r="T14" i="9"/>
  <c r="T9" i="9"/>
  <c r="T91" i="9"/>
  <c r="S18" i="9"/>
  <c r="T18" i="9"/>
  <c r="S19" i="9"/>
  <c r="T19" i="9"/>
  <c r="S20" i="9"/>
  <c r="T20" i="9"/>
  <c r="T17" i="9"/>
  <c r="S22" i="9"/>
  <c r="T22" i="9"/>
  <c r="T21" i="9"/>
  <c r="S25" i="9"/>
  <c r="T25" i="9"/>
  <c r="S26" i="9"/>
  <c r="T26" i="9"/>
  <c r="S27" i="9"/>
  <c r="T27" i="9"/>
  <c r="Q29" i="9"/>
  <c r="S29" i="9"/>
  <c r="T29" i="9"/>
  <c r="T24" i="9"/>
  <c r="S37" i="9"/>
  <c r="T37" i="9"/>
  <c r="S38" i="9"/>
  <c r="T38" i="9"/>
  <c r="T39" i="9"/>
  <c r="T36" i="9"/>
  <c r="S42" i="9"/>
  <c r="T41" i="9"/>
  <c r="T8" i="9"/>
  <c r="T45" i="9"/>
  <c r="T56" i="9"/>
  <c r="T63" i="9"/>
  <c r="T86" i="9"/>
  <c r="T87" i="9"/>
  <c r="T88" i="9"/>
  <c r="T92" i="9"/>
  <c r="R14" i="9"/>
  <c r="R9" i="9"/>
  <c r="R17" i="9"/>
  <c r="R21" i="9"/>
  <c r="R29" i="9"/>
  <c r="R24" i="9"/>
  <c r="R36" i="9"/>
  <c r="R41" i="9"/>
  <c r="R8" i="9"/>
  <c r="R86" i="9"/>
  <c r="R88" i="9"/>
  <c r="R92" i="9"/>
  <c r="D36" i="9"/>
  <c r="D34" i="9"/>
  <c r="D29" i="9"/>
  <c r="D24" i="9"/>
  <c r="D9" i="9"/>
  <c r="D21" i="9"/>
  <c r="L12" i="31"/>
  <c r="L17" i="31"/>
  <c r="L19" i="31"/>
  <c r="L20" i="31"/>
  <c r="L31" i="31"/>
  <c r="L26" i="31"/>
  <c r="L9" i="31"/>
  <c r="L21" i="31"/>
  <c r="L29" i="31"/>
  <c r="L7" i="31"/>
  <c r="L10" i="31"/>
  <c r="L11" i="31"/>
  <c r="L13" i="31"/>
  <c r="L16" i="31"/>
  <c r="L18" i="31"/>
  <c r="L22" i="31"/>
  <c r="L23" i="31"/>
  <c r="L30" i="31"/>
  <c r="L8" i="31"/>
  <c r="L24" i="31"/>
  <c r="L27" i="31"/>
  <c r="L28" i="31"/>
  <c r="L6" i="31"/>
  <c r="L14" i="31"/>
  <c r="L15" i="31"/>
  <c r="L32" i="31"/>
  <c r="L33" i="31"/>
  <c r="L34" i="31"/>
  <c r="L35" i="31"/>
  <c r="L36" i="31"/>
  <c r="AR14" i="9"/>
  <c r="AP17" i="9"/>
  <c r="AP9" i="9"/>
  <c r="Y41" i="9"/>
  <c r="Y8" i="9"/>
  <c r="Y45" i="9"/>
  <c r="Y86" i="9"/>
  <c r="Y88" i="9"/>
  <c r="Z41" i="9"/>
  <c r="Z8" i="9"/>
  <c r="Z45" i="9"/>
  <c r="Z86" i="9"/>
  <c r="Z88" i="9"/>
  <c r="AA88" i="9"/>
  <c r="D17" i="9"/>
  <c r="D41" i="9"/>
  <c r="D8" i="9"/>
  <c r="D88" i="9"/>
  <c r="D93" i="9"/>
  <c r="AR83" i="9"/>
  <c r="AR75" i="9"/>
  <c r="AR74" i="9"/>
  <c r="AR71" i="9"/>
  <c r="BI86" i="9"/>
  <c r="BI24" i="9"/>
  <c r="BI21" i="9"/>
  <c r="BI17" i="9"/>
  <c r="BI9" i="9"/>
  <c r="AQ18" i="9"/>
  <c r="AQ19" i="9"/>
  <c r="AQ20" i="9"/>
  <c r="AQ17" i="9"/>
  <c r="AQ10" i="9"/>
  <c r="AQ11" i="9"/>
  <c r="AQ12" i="9"/>
  <c r="AQ9" i="9"/>
  <c r="AQ22" i="9"/>
  <c r="AQ21" i="9"/>
  <c r="AA45" i="9"/>
  <c r="B5" i="31"/>
  <c r="B6" i="31"/>
  <c r="B7" i="31"/>
  <c r="B8" i="31"/>
  <c r="B9" i="31"/>
  <c r="B10" i="31"/>
  <c r="B11" i="31"/>
  <c r="B12" i="31"/>
  <c r="B13" i="31"/>
  <c r="B14" i="31"/>
  <c r="B15" i="31"/>
  <c r="B16" i="31"/>
  <c r="B17" i="31"/>
  <c r="B18" i="31"/>
  <c r="B19" i="31"/>
  <c r="B20" i="31"/>
  <c r="B21" i="31"/>
  <c r="B22" i="31"/>
  <c r="B23" i="31"/>
  <c r="B24" i="31"/>
  <c r="B25" i="31"/>
  <c r="B26" i="31"/>
  <c r="B27" i="31"/>
  <c r="B28" i="31"/>
  <c r="B29" i="31"/>
  <c r="B30" i="31"/>
  <c r="B31" i="31"/>
  <c r="I12" i="31"/>
  <c r="B32" i="31"/>
  <c r="B33" i="31"/>
  <c r="B34" i="31"/>
  <c r="B35" i="31"/>
  <c r="I30" i="31"/>
  <c r="I23" i="31"/>
  <c r="I22" i="31"/>
  <c r="I18" i="31"/>
  <c r="I16" i="31"/>
  <c r="I13" i="31"/>
  <c r="I11" i="31"/>
  <c r="I10" i="31"/>
  <c r="I7" i="31"/>
  <c r="I14" i="31"/>
  <c r="I8" i="31"/>
  <c r="I29" i="31"/>
  <c r="I9" i="31"/>
  <c r="I26" i="31"/>
  <c r="I19" i="31"/>
  <c r="I35" i="31"/>
  <c r="I34" i="31"/>
  <c r="I33" i="31"/>
  <c r="I32" i="31"/>
  <c r="I15" i="31"/>
  <c r="I6" i="31"/>
  <c r="I5" i="31"/>
  <c r="I17" i="31"/>
  <c r="I25" i="31"/>
  <c r="I21" i="31"/>
  <c r="I24" i="31"/>
  <c r="I31" i="31"/>
  <c r="I20" i="31"/>
  <c r="I27" i="31"/>
  <c r="I28" i="31"/>
  <c r="M91" i="29"/>
  <c r="L86" i="29"/>
  <c r="L91" i="29"/>
  <c r="J91" i="29"/>
  <c r="J86" i="29"/>
  <c r="M86" i="29"/>
  <c r="N95" i="29"/>
  <c r="N89" i="29"/>
  <c r="N81" i="29"/>
  <c r="N73" i="29"/>
  <c r="N67" i="29"/>
  <c r="N61" i="29"/>
  <c r="N50" i="29"/>
  <c r="N39" i="29"/>
  <c r="N33" i="29"/>
  <c r="N21" i="29"/>
  <c r="N8" i="29"/>
  <c r="N7" i="29"/>
  <c r="N6" i="29"/>
  <c r="N5" i="29"/>
  <c r="AA8" i="9"/>
  <c r="AP8" i="9"/>
  <c r="AQ8" i="9"/>
  <c r="AG53" i="8"/>
  <c r="AG40" i="8"/>
  <c r="AG49" i="8"/>
  <c r="AG38" i="8"/>
  <c r="AG28" i="8"/>
  <c r="AG17" i="8"/>
  <c r="AG16" i="8"/>
  <c r="G15" i="10"/>
  <c r="G29" i="10"/>
  <c r="H8" i="10"/>
  <c r="D8" i="10"/>
  <c r="B5" i="24"/>
  <c r="B6" i="24"/>
  <c r="B7" i="24"/>
  <c r="B8" i="24"/>
  <c r="B9" i="24"/>
  <c r="B10" i="24"/>
  <c r="B11" i="24"/>
  <c r="B12" i="24"/>
  <c r="B13" i="24"/>
  <c r="B14" i="24"/>
  <c r="B15" i="24"/>
  <c r="B16" i="24"/>
  <c r="B17" i="24"/>
  <c r="B18" i="24"/>
  <c r="B19" i="24"/>
  <c r="B20" i="24"/>
  <c r="B21" i="24"/>
  <c r="B22" i="24"/>
  <c r="L22" i="24"/>
  <c r="L18" i="24"/>
  <c r="L5" i="24"/>
  <c r="L19" i="24"/>
  <c r="L10" i="24"/>
  <c r="L12" i="24"/>
  <c r="L15" i="24"/>
  <c r="L8" i="24"/>
  <c r="L13" i="24"/>
  <c r="L11" i="24"/>
  <c r="L6" i="24"/>
  <c r="L17" i="24"/>
  <c r="L20" i="24"/>
  <c r="L14" i="24"/>
  <c r="L7" i="24"/>
  <c r="L9" i="24"/>
  <c r="L16" i="24"/>
  <c r="L21" i="24"/>
  <c r="L23" i="24"/>
  <c r="I14" i="24"/>
  <c r="I7" i="24"/>
  <c r="I9" i="24"/>
  <c r="I16" i="24"/>
  <c r="I21" i="24"/>
  <c r="I22" i="24"/>
  <c r="I5" i="24"/>
  <c r="I19" i="24"/>
  <c r="I10" i="24"/>
  <c r="I12" i="24"/>
  <c r="I15" i="24"/>
  <c r="I8" i="24"/>
  <c r="I13" i="24"/>
  <c r="I11" i="24"/>
  <c r="I6" i="24"/>
  <c r="I17" i="24"/>
  <c r="I20" i="24"/>
  <c r="I18" i="24"/>
  <c r="H23" i="24"/>
  <c r="J23" i="24"/>
  <c r="AR87" i="9"/>
  <c r="AR42" i="9"/>
  <c r="AR39" i="9"/>
  <c r="AR38" i="9"/>
  <c r="AR37" i="9"/>
  <c r="AR29" i="9"/>
  <c r="AR27" i="9"/>
  <c r="AR26" i="9"/>
  <c r="AR25" i="9"/>
  <c r="AR22" i="9"/>
  <c r="AR20" i="9"/>
  <c r="AR19" i="9"/>
  <c r="AR18" i="9"/>
  <c r="AR13" i="9"/>
  <c r="AR11" i="9"/>
  <c r="AR10" i="9"/>
  <c r="AR68" i="9"/>
  <c r="AR66" i="9"/>
  <c r="AR65" i="9"/>
  <c r="AR55" i="9"/>
  <c r="AR54" i="9"/>
  <c r="AR53" i="9"/>
  <c r="AR52" i="9"/>
  <c r="AR51" i="9"/>
  <c r="AR50" i="9"/>
  <c r="AR49" i="9"/>
  <c r="AR48" i="9"/>
  <c r="AR47" i="9"/>
  <c r="AR46" i="9"/>
  <c r="AP41" i="9"/>
  <c r="AO41" i="9"/>
  <c r="AP86" i="9"/>
  <c r="AP88" i="9"/>
  <c r="AO86" i="9"/>
  <c r="AO88" i="9"/>
  <c r="BM87" i="9"/>
  <c r="BM42" i="9"/>
  <c r="BM39" i="9"/>
  <c r="BM38" i="9"/>
  <c r="BM37" i="9"/>
  <c r="BM29" i="9"/>
  <c r="BM27" i="9"/>
  <c r="BM26" i="9"/>
  <c r="BM25" i="9"/>
  <c r="BM22" i="9"/>
  <c r="BM20" i="9"/>
  <c r="BM19" i="9"/>
  <c r="BM18" i="9"/>
  <c r="BK9" i="9"/>
  <c r="BM13" i="9"/>
  <c r="BM12" i="9"/>
  <c r="BM11" i="9"/>
  <c r="BM10" i="9"/>
  <c r="BL46" i="9"/>
  <c r="BN87" i="9"/>
  <c r="BJ24" i="9"/>
  <c r="BJ17" i="9"/>
  <c r="BM45" i="9"/>
  <c r="BN42" i="9"/>
  <c r="BL42" i="9"/>
  <c r="BK41" i="9"/>
  <c r="BJ41" i="9"/>
  <c r="BI41" i="9"/>
  <c r="BL27" i="9"/>
  <c r="BN27" i="9"/>
  <c r="BL25" i="9"/>
  <c r="BN25" i="9"/>
  <c r="BK24" i="9"/>
  <c r="BN22" i="9"/>
  <c r="BL22" i="9"/>
  <c r="BK21" i="9"/>
  <c r="BJ21" i="9"/>
  <c r="BN20" i="9"/>
  <c r="BL20" i="9"/>
  <c r="BN19" i="9"/>
  <c r="BL19" i="9"/>
  <c r="BN18" i="9"/>
  <c r="BL18" i="9"/>
  <c r="BK17" i="9"/>
  <c r="BK8" i="9"/>
  <c r="BL13" i="9"/>
  <c r="BN12" i="9"/>
  <c r="BL12" i="9"/>
  <c r="BN11" i="9"/>
  <c r="BL11" i="9"/>
  <c r="BJ9" i="9"/>
  <c r="BM63" i="9"/>
  <c r="BM56" i="9"/>
  <c r="BL55" i="9"/>
  <c r="BL54" i="9"/>
  <c r="BL53" i="9"/>
  <c r="BL52" i="9"/>
  <c r="BL51" i="9"/>
  <c r="BL50" i="9"/>
  <c r="BL49" i="9"/>
  <c r="BL48" i="9"/>
  <c r="BL47" i="9"/>
  <c r="BJ8" i="9"/>
  <c r="BJ86" i="9"/>
  <c r="BJ88" i="9"/>
  <c r="BL56" i="9"/>
  <c r="BL63" i="9"/>
  <c r="BN56" i="9"/>
  <c r="BN10" i="9"/>
  <c r="BL29" i="9"/>
  <c r="BN21" i="9"/>
  <c r="BN17" i="9"/>
  <c r="BL21" i="9"/>
  <c r="BN41" i="9"/>
  <c r="BN63" i="9"/>
  <c r="BK86" i="9"/>
  <c r="BK88" i="9"/>
  <c r="BL17" i="9"/>
  <c r="BL41" i="9"/>
  <c r="BN13" i="9"/>
  <c r="AB87" i="9"/>
  <c r="AB29" i="9"/>
  <c r="AA63" i="9"/>
  <c r="AA56" i="9"/>
  <c r="AQ42" i="9"/>
  <c r="BN9" i="9"/>
  <c r="BN8" i="9"/>
  <c r="BL8" i="9"/>
  <c r="BL26" i="9"/>
  <c r="BL24" i="9"/>
  <c r="BL10" i="9"/>
  <c r="BL9" i="9"/>
  <c r="BN29" i="9"/>
  <c r="BN26" i="9"/>
  <c r="BL45" i="9"/>
  <c r="BN45" i="9"/>
  <c r="BI88" i="9"/>
  <c r="BL88" i="9"/>
  <c r="AQ41" i="9"/>
  <c r="BN24" i="9"/>
  <c r="BN86" i="9"/>
  <c r="BN88" i="9"/>
  <c r="AA50" i="9"/>
  <c r="AA49" i="9"/>
  <c r="AA48" i="9"/>
  <c r="AA47" i="9"/>
  <c r="AA51" i="9"/>
  <c r="AA52" i="9"/>
  <c r="AA53" i="9"/>
  <c r="AA54" i="9"/>
  <c r="AA55" i="9"/>
  <c r="AA46" i="9"/>
  <c r="AQ88" i="9"/>
  <c r="BL86" i="9"/>
  <c r="AQ86" i="9"/>
  <c r="AA86" i="9"/>
</calcChain>
</file>

<file path=xl/comments1.xml><?xml version="1.0" encoding="utf-8"?>
<comments xmlns="http://schemas.openxmlformats.org/spreadsheetml/2006/main">
  <authors>
    <author>Carolina Vidal</author>
  </authors>
  <commentList>
    <comment ref="AU12" authorId="0">
      <text>
        <r>
          <rPr>
            <b/>
            <sz val="14"/>
            <color indexed="81"/>
            <rFont val="Tahoma"/>
            <family val="2"/>
          </rPr>
          <t>Ingreso 14 de marzo</t>
        </r>
      </text>
    </comment>
    <comment ref="AF25" authorId="0">
      <text>
        <r>
          <rPr>
            <b/>
            <sz val="14"/>
            <color indexed="81"/>
            <rFont val="Tahoma"/>
            <family val="2"/>
          </rPr>
          <t>10 viajes (2 personas)</t>
        </r>
        <r>
          <rPr>
            <sz val="14"/>
            <color indexed="81"/>
            <rFont val="Tahoma"/>
            <family val="2"/>
          </rPr>
          <t xml:space="preserve">
</t>
        </r>
      </text>
    </comment>
    <comment ref="AF27" authorId="0">
      <text>
        <r>
          <rPr>
            <b/>
            <sz val="11"/>
            <color indexed="81"/>
            <rFont val="Tahoma"/>
            <family val="2"/>
          </rPr>
          <t>5 viajes (4 personas, del equipo FASERT)</t>
        </r>
      </text>
    </comment>
  </commentList>
</comments>
</file>

<file path=xl/comments2.xml><?xml version="1.0" encoding="utf-8"?>
<comments xmlns="http://schemas.openxmlformats.org/spreadsheetml/2006/main">
  <authors>
    <author>Carolina Vidal</author>
  </authors>
  <commentList>
    <comment ref="H5" authorId="0">
      <text>
        <r>
          <rPr>
            <b/>
            <sz val="9"/>
            <color indexed="81"/>
            <rFont val="Tahoma"/>
            <family val="2"/>
          </rPr>
          <t>Carolina Vidal:</t>
        </r>
        <r>
          <rPr>
            <sz val="9"/>
            <color indexed="81"/>
            <rFont val="Tahoma"/>
            <family val="2"/>
          </rPr>
          <t xml:space="preserve">
Pago que realiza la Sede, no aparece el monto en soles. 
</t>
        </r>
      </text>
    </comment>
  </commentList>
</comments>
</file>

<file path=xl/comments3.xml><?xml version="1.0" encoding="utf-8"?>
<comments xmlns="http://schemas.openxmlformats.org/spreadsheetml/2006/main">
  <authors>
    <author>Carolina Vidal</author>
  </authors>
  <commentList>
    <comment ref="J32" authorId="0">
      <text>
        <r>
          <rPr>
            <b/>
            <sz val="9"/>
            <color indexed="81"/>
            <rFont val="Tahoma"/>
            <family val="2"/>
          </rPr>
          <t>Carolina Vidal:</t>
        </r>
        <r>
          <rPr>
            <sz val="9"/>
            <color indexed="81"/>
            <rFont val="Tahoma"/>
            <family val="2"/>
          </rPr>
          <t xml:space="preserve">
Pago que realiza la Sede, no aparece el monto en soles. 
</t>
        </r>
      </text>
    </comment>
  </commentList>
</comments>
</file>

<file path=xl/sharedStrings.xml><?xml version="1.0" encoding="utf-8"?>
<sst xmlns="http://schemas.openxmlformats.org/spreadsheetml/2006/main" count="1585" uniqueCount="697">
  <si>
    <t>FIN DEL PROYECTO</t>
  </si>
  <si>
    <t>PROPOSITO DEL PROYECTO</t>
  </si>
  <si>
    <t>MARCO LOGICO</t>
  </si>
  <si>
    <t>INDICADORES DE LOGRO</t>
  </si>
  <si>
    <t>SUPUESTOS Y RIESGOS</t>
  </si>
  <si>
    <t>RESULTADOS</t>
  </si>
  <si>
    <t>RESULTADO 1</t>
  </si>
  <si>
    <t>RESULTADO 2</t>
  </si>
  <si>
    <t>RESULTADO 3</t>
  </si>
  <si>
    <t>RESULTADO 4</t>
  </si>
  <si>
    <t>ACTIVIDADES</t>
  </si>
  <si>
    <t>ACTIVIDADES RESULTADO 1</t>
  </si>
  <si>
    <t>MEDIOS</t>
  </si>
  <si>
    <t>ENTREGABLES</t>
  </si>
  <si>
    <t>ACTIVIDADES RESULTADO 2</t>
  </si>
  <si>
    <t>ACTIVIDADES RESULTADO 3</t>
  </si>
  <si>
    <t>ACTIVIDADES RESULTADO 4</t>
  </si>
  <si>
    <t>PRESUPUESTO TOTAL DE ACTIVIDAD</t>
  </si>
  <si>
    <t>PROPOSITO</t>
  </si>
  <si>
    <t>FUENTES DE VERIFICACIÓN</t>
  </si>
  <si>
    <t xml:space="preserve">FUENTES DE VERIFICACIÓN </t>
  </si>
  <si>
    <r>
      <t xml:space="preserve">OBJETIVO </t>
    </r>
    <r>
      <rPr>
        <sz val="11"/>
        <color theme="1"/>
        <rFont val="Calibri"/>
        <family val="2"/>
        <scheme val="minor"/>
      </rPr>
      <t/>
    </r>
  </si>
  <si>
    <t>Debe ser Claro, todas las Actividades, Resultados y Objetivos deben tener correlación y llevar a un fin adecuado del Proyecto. Los indicadores y supuestos deben ser realistas y basarse en datos que puedan ser verificados y cuantificados al terminar el Proyecto.</t>
  </si>
  <si>
    <t>FECHA DE INICIO</t>
  </si>
  <si>
    <t>FECHA DE TERMINO</t>
  </si>
  <si>
    <t>AÑO 2</t>
  </si>
  <si>
    <t>FASERT</t>
  </si>
  <si>
    <t xml:space="preserve">Métoto de Adquisición </t>
  </si>
  <si>
    <t>Revisión (ex-ante o ex-post)</t>
  </si>
  <si>
    <t>Fuente de Financiamiento y porcentaje</t>
  </si>
  <si>
    <t>Fechas estimadas</t>
  </si>
  <si>
    <t>Comentarios</t>
  </si>
  <si>
    <t xml:space="preserve">Descripción </t>
  </si>
  <si>
    <t>Publicación de Anuncio Específico de Adquisición o Invitación a Participar</t>
  </si>
  <si>
    <t>Terminación del Contrato</t>
  </si>
  <si>
    <t xml:space="preserve">Efectivo </t>
  </si>
  <si>
    <t>Especie</t>
  </si>
  <si>
    <t>Auditoría financiera</t>
  </si>
  <si>
    <t>TOTAL</t>
  </si>
  <si>
    <t>Pendiente</t>
  </si>
  <si>
    <t>Consultor individual</t>
  </si>
  <si>
    <t>Ex - ante</t>
  </si>
  <si>
    <t>Bienes y Servicios</t>
  </si>
  <si>
    <t>Comparación de Precios</t>
  </si>
  <si>
    <t>OG</t>
  </si>
  <si>
    <t>OE</t>
  </si>
  <si>
    <t>Contratación del Coordinador Técnico Nacional</t>
  </si>
  <si>
    <t xml:space="preserve">Contratación del Asistente (Flexible) </t>
  </si>
  <si>
    <t>Consultores a corto plazo nacional (evaluación de propuestas, etc)</t>
  </si>
  <si>
    <t>Elaboración de bases  e Instructivo Administrativo</t>
  </si>
  <si>
    <t>Lanzamiento de bases</t>
  </si>
  <si>
    <t>Recepción de perfiles</t>
  </si>
  <si>
    <t>Evaluación y selección de perfiles</t>
  </si>
  <si>
    <t>Preparación de propuestas</t>
  </si>
  <si>
    <t>Publicación de proyectos seleccionados</t>
  </si>
  <si>
    <t>Evaluación de propuestas</t>
  </si>
  <si>
    <t>Negociación y firma de contratos</t>
  </si>
  <si>
    <t>Inicio de proyectos</t>
  </si>
  <si>
    <t>Proyecto 1</t>
  </si>
  <si>
    <t>Proyecto 2</t>
  </si>
  <si>
    <t>Proyecto 3</t>
  </si>
  <si>
    <t xml:space="preserve">Viajes para seguimiento y monitoreo </t>
  </si>
  <si>
    <t>Evento de lanzamiento (Lima)</t>
  </si>
  <si>
    <t>Evento de lanzamiento (Provincia)</t>
  </si>
  <si>
    <t>Material Informativo del Fondo</t>
  </si>
  <si>
    <t>Varios</t>
  </si>
  <si>
    <t>Movilidad local</t>
  </si>
  <si>
    <t>Material de oficina, etc.</t>
  </si>
  <si>
    <t>Equipos informáticos y audiovisuales (laptos, cámara, grabadora, etc.)</t>
  </si>
  <si>
    <t>Auditorías</t>
  </si>
  <si>
    <t>Contingencias</t>
  </si>
  <si>
    <t>Difusión del Fondo</t>
  </si>
  <si>
    <t>Dinamizar la cadena de valor del mercado de tecnologías de energía renovable térmica en el Perú</t>
  </si>
  <si>
    <t xml:space="preserve">OE 1: Fortalecer la capacidad financiera de los actores involucrados en la cadena de valor para el desarrollo y acceso sostenible de las TERT para uso doméstico, infraestructura social y usos productivos. 
OE 2 : Fortalecer las capacidades técnicas de los actores en la cadena de valor para el desarrollo y acceso sostenible de las TERT, para uso doméstico, infraestructura social y usos productivos para sustentar las inversiones energéticas pro-pobres.
OE 3: Proveer la adopción de normas técnicas y estándares de calidad, seguridad y eficiencia de las técnologías de energía renovable térmica. </t>
  </si>
  <si>
    <t>Contratación de consultores para la evaluación de propuestas</t>
  </si>
  <si>
    <t>Contratación de un consultor para el diseño de triptico FASERT</t>
  </si>
  <si>
    <t>Adjudicado</t>
  </si>
  <si>
    <t>Contratación de un consultor para el diseño de logo FASERT</t>
  </si>
  <si>
    <t>Proyecto 4</t>
  </si>
  <si>
    <t>Proyecto 5</t>
  </si>
  <si>
    <t>Proyecto 6</t>
  </si>
  <si>
    <t>Proyecto 7</t>
  </si>
  <si>
    <t>Proyecto 8</t>
  </si>
  <si>
    <t>Proyecto 9</t>
  </si>
  <si>
    <t>Proyecto 10</t>
  </si>
  <si>
    <t>Proyecto 11</t>
  </si>
  <si>
    <t>Proyecto 12</t>
  </si>
  <si>
    <t>Proyecto 13</t>
  </si>
  <si>
    <t>Proyecto 14</t>
  </si>
  <si>
    <t>Proyecto 15</t>
  </si>
  <si>
    <t>Gestión del  Fondo</t>
  </si>
  <si>
    <t>Personal de Seguimiento y monitoreo del proyecto</t>
  </si>
  <si>
    <t>Consultores de corto plazo nacional (evaluación de propuesta)</t>
  </si>
  <si>
    <t>Consultor 1</t>
  </si>
  <si>
    <t>Consultor 2</t>
  </si>
  <si>
    <t>Consultor 3</t>
  </si>
  <si>
    <t>Impresión de lapiceros</t>
  </si>
  <si>
    <t>Impresión de Trípticos</t>
  </si>
  <si>
    <t>Contratación de consultor para la programación de página web</t>
  </si>
  <si>
    <t>TC</t>
  </si>
  <si>
    <t>Euros</t>
  </si>
  <si>
    <t>GIZ</t>
  </si>
  <si>
    <t>Unidad</t>
  </si>
  <si>
    <t>Cantidad</t>
  </si>
  <si>
    <t>Valor Unitario USD</t>
  </si>
  <si>
    <t>Valor Unitario Euro</t>
  </si>
  <si>
    <t>Mes</t>
  </si>
  <si>
    <t>Codigo de proyecto</t>
  </si>
  <si>
    <t>Descripcion</t>
  </si>
  <si>
    <t>Fecha</t>
  </si>
  <si>
    <t>Importe US$</t>
  </si>
  <si>
    <t>11102-P0042370000101</t>
  </si>
  <si>
    <t>100003773</t>
  </si>
  <si>
    <t>100003840</t>
  </si>
  <si>
    <t>100003958</t>
  </si>
  <si>
    <t>100003961</t>
  </si>
  <si>
    <t>Importe S/.</t>
  </si>
  <si>
    <t>día</t>
  </si>
  <si>
    <t>`</t>
  </si>
  <si>
    <t>Valor Total 
USD</t>
  </si>
  <si>
    <t>Global</t>
  </si>
  <si>
    <t>Tasa Institucional Neta</t>
  </si>
  <si>
    <t>SUBTOTAL</t>
  </si>
  <si>
    <t>Valor Total 
Euro</t>
  </si>
  <si>
    <t>Ex post</t>
  </si>
  <si>
    <t>Consultor Individual</t>
  </si>
  <si>
    <t>Comparación de precios</t>
  </si>
  <si>
    <t>Costo estimado de la Adquisición  (Euros)</t>
  </si>
  <si>
    <t>1.1</t>
  </si>
  <si>
    <t>2.1</t>
  </si>
  <si>
    <t>3.1</t>
  </si>
  <si>
    <t>4.1</t>
  </si>
  <si>
    <t>4.2</t>
  </si>
  <si>
    <t>4.1.1</t>
  </si>
  <si>
    <t>4.1.2</t>
  </si>
  <si>
    <t>Act. POA</t>
  </si>
  <si>
    <t xml:space="preserve">Personal de seguimiento y  monitoreo </t>
  </si>
  <si>
    <t>Movilidad</t>
  </si>
  <si>
    <t xml:space="preserve">Evento de lanzamiento </t>
  </si>
  <si>
    <t>Material informativo</t>
  </si>
  <si>
    <t xml:space="preserve">Analista de Proyecto </t>
  </si>
  <si>
    <t>Contratación del Especialista Energía</t>
  </si>
  <si>
    <t>Valor Total 
Soles</t>
  </si>
  <si>
    <t>Valor Unitario Soles</t>
  </si>
  <si>
    <t>Viaje de monitoreo de ejecución</t>
  </si>
  <si>
    <t>1.2</t>
  </si>
  <si>
    <t>1.3</t>
  </si>
  <si>
    <t>1.4</t>
  </si>
  <si>
    <t>1.5</t>
  </si>
  <si>
    <t>1.6</t>
  </si>
  <si>
    <t>2.2</t>
  </si>
  <si>
    <t>2.3</t>
  </si>
  <si>
    <t>3.2</t>
  </si>
  <si>
    <t>3.3</t>
  </si>
  <si>
    <t xml:space="preserve">Programación de la web </t>
  </si>
  <si>
    <t xml:space="preserve">Elaboración de la Estratégia Nacional de Promoción y Diseminación de las TERT </t>
  </si>
  <si>
    <t xml:space="preserve">Diseño de la estrategia </t>
  </si>
  <si>
    <t>Implementación de un laboratorio para certificación de biodigestores</t>
  </si>
  <si>
    <t>Implementación de la Estrategia</t>
  </si>
  <si>
    <t xml:space="preserve">Implementación de un centro de prueba y ensayo de equipos de biomasa densificada </t>
  </si>
  <si>
    <t>Producción y multicopiado de video final del proyecto</t>
  </si>
  <si>
    <t xml:space="preserve">Participación en eventos (ferias, Seminarios, simposiun) </t>
  </si>
  <si>
    <t>Publicaciones de productos de conocimiento</t>
  </si>
  <si>
    <t>Diseño</t>
  </si>
  <si>
    <t>Diseño y estructuración de productos financieros para energía renovable térmica</t>
  </si>
  <si>
    <t>Propuesta de desarrollo de NTP de calidad de productos y ensayos para TERT</t>
  </si>
  <si>
    <t>Elaboración de los productos</t>
  </si>
  <si>
    <t xml:space="preserve">Impresión </t>
  </si>
  <si>
    <t>24.04.2014</t>
  </si>
  <si>
    <t>01.04.2014</t>
  </si>
  <si>
    <t>14.04.2014</t>
  </si>
  <si>
    <t>04.04.2014</t>
  </si>
  <si>
    <t>16.04.2014</t>
  </si>
  <si>
    <t>02.04.2014</t>
  </si>
  <si>
    <t>25.04.2014</t>
  </si>
  <si>
    <t>28.04.2014</t>
  </si>
  <si>
    <t>Planilla Mes de abril - Salario</t>
  </si>
  <si>
    <t xml:space="preserve">Seguro Obligatorio Carlos Cervantes </t>
  </si>
  <si>
    <t xml:space="preserve">Planilla mes de abril - Aporte patronal </t>
  </si>
  <si>
    <t xml:space="preserve">Caja Chica </t>
  </si>
  <si>
    <t>Pago courrier entrega de tarjetas de invitación al evento de lanzamiento FASERT - Master World Courrier SAC</t>
  </si>
  <si>
    <t>Diseño de Triptico FASERT - Ricardo Barandiaran Samanez</t>
  </si>
  <si>
    <t xml:space="preserve">Adelanto por programación de página web - Robespierre Corimanya Soria </t>
  </si>
  <si>
    <t>Diseño de página web (40% adelanto) - Picnic</t>
  </si>
  <si>
    <t>Importe Euro</t>
  </si>
  <si>
    <t>Planilla mes de enero 2014 (Carlos Cervantes  - Salario)</t>
  </si>
  <si>
    <t>Planilla mes de enero 2014 (arlos Cervantes  - Aporte Patronal)</t>
  </si>
  <si>
    <t xml:space="preserve">Aire acondicionado oficina FASERT - Importaciones Hiraoka </t>
  </si>
  <si>
    <t xml:space="preserve">Compra de laptop equipo FASERT (Fernando Acosta)  - MAGITECH </t>
  </si>
  <si>
    <t>Caja Chica 31/01. Mensaje y movilidad local</t>
  </si>
  <si>
    <t>Instalación de aire acondicionado oficina  FASERT</t>
  </si>
  <si>
    <t>Impresión de tarjetas de presentación Carlos C. y Fernando A.</t>
  </si>
  <si>
    <t>Planilla mes de febrero 2014 (Carlos Cervantes , Fernando Acosta - Aporte patronal)</t>
  </si>
  <si>
    <t>Planilla mes de febrero 2014 (Carlos Cervantes , Fernando Acosta - Salar)o</t>
  </si>
  <si>
    <t>Adelanto  40% Servicios eléctricos FASERT - Fredy Alvarez</t>
  </si>
  <si>
    <t xml:space="preserve">Caja chica al 04/03 - Materiales e insumos - compra de filo canto para escritorio  </t>
  </si>
  <si>
    <t xml:space="preserve">Caja chica al 04/03 - Envío de invitaciones para talleres del  3 Y 4 de maro  - Master wordl courrier </t>
  </si>
  <si>
    <t xml:space="preserve">Compra de 2 laptops para equipo FASERT  ( Carolina Vidal - Gary Coronel) - MAGIC TECNOLOGIES EIRL </t>
  </si>
  <si>
    <t xml:space="preserve">Compra de utiles - TAI LOY </t>
  </si>
  <si>
    <t xml:space="preserve"> Movilidad según detalle mensajeria y movilidad loc</t>
  </si>
  <si>
    <t>Planilla marzo 2014 (equipo FASERT)</t>
  </si>
  <si>
    <t>Adelanto Hotel Evento FASERT - Detracción</t>
  </si>
  <si>
    <t xml:space="preserve">Inmobiliaria Turismo Sonesta Hotel El Olivar - Talleres 3 y 4 de marzo - Pago de detracción </t>
  </si>
  <si>
    <t xml:space="preserve">60%  Servicios eléctricos oficina FASERT - Fredy Alvarez </t>
  </si>
  <si>
    <t xml:space="preserve">1er pago (15%) del contrato A3/PE-0130 - Ricardo Barandearan - Por diseño de logo FASERT </t>
  </si>
  <si>
    <t>Compra de proyector multimedia EPSON</t>
  </si>
  <si>
    <t>Cámara fotográfica Nikon Reflex</t>
  </si>
  <si>
    <t xml:space="preserve">Caja chica al 25/03/2014 - mensajeria y movilidad local </t>
  </si>
  <si>
    <t xml:space="preserve">Caja chica al 25/03/2014 - materiales e insumos . Compra de 3 pizarras de corcho y 1 pizarra acrílica </t>
  </si>
  <si>
    <t>RESUMEN ABRIL 
 2014</t>
  </si>
  <si>
    <t xml:space="preserve">Ejecución ABRIL
USD </t>
  </si>
  <si>
    <t>PLAN DE ACTVIDADES</t>
  </si>
  <si>
    <t>Nombre del Proyecto:</t>
  </si>
  <si>
    <t>Ámbito:</t>
  </si>
  <si>
    <t>Fecha de Inicio:</t>
  </si>
  <si>
    <t>Fecha de Fin:</t>
  </si>
  <si>
    <r>
      <t xml:space="preserve">Duración: 
</t>
    </r>
    <r>
      <rPr>
        <sz val="9"/>
        <color theme="1"/>
        <rFont val="Calibri"/>
        <family val="2"/>
        <scheme val="minor"/>
      </rPr>
      <t>(</t>
    </r>
    <r>
      <rPr>
        <i/>
        <sz val="9"/>
        <color theme="1"/>
        <rFont val="Calibri"/>
        <family val="2"/>
        <scheme val="minor"/>
      </rPr>
      <t>meses</t>
    </r>
    <r>
      <rPr>
        <sz val="9"/>
        <color theme="1"/>
        <rFont val="Calibri"/>
        <family val="2"/>
        <scheme val="minor"/>
      </rPr>
      <t>)</t>
    </r>
  </si>
  <si>
    <t>Costo Total del Proyecto:</t>
  </si>
  <si>
    <t>MESES EJECUCIÓN DE LA ACTIVIDAD</t>
  </si>
  <si>
    <t>CÓDIGO</t>
  </si>
  <si>
    <t>OBJETIVOS, RESULTADOS Y ACTIVIDADES</t>
  </si>
  <si>
    <t>AÑO 3 (CIERRE)</t>
  </si>
  <si>
    <t>APORTE GIZ</t>
  </si>
  <si>
    <t>30 meses</t>
  </si>
  <si>
    <t>A0.1</t>
  </si>
  <si>
    <t>A0.2</t>
  </si>
  <si>
    <t>A0.3</t>
  </si>
  <si>
    <t>A0.4</t>
  </si>
  <si>
    <t>A0.5</t>
  </si>
  <si>
    <t>A0.6</t>
  </si>
  <si>
    <t>A0.7</t>
  </si>
  <si>
    <t>4.3</t>
  </si>
  <si>
    <t>4.4</t>
  </si>
  <si>
    <t>4.5</t>
  </si>
  <si>
    <t>4.6</t>
  </si>
  <si>
    <t>4.7</t>
  </si>
  <si>
    <t>Total del Resultado:</t>
  </si>
  <si>
    <t>Fondo de Acceso Sostenible a Energía Sostenible</t>
  </si>
  <si>
    <t>Nacional</t>
  </si>
  <si>
    <t>Costo Total de adquisiciones:</t>
  </si>
  <si>
    <t>PRESUPUESTO US$</t>
  </si>
  <si>
    <t>Financiamiento GIZ US$:</t>
  </si>
  <si>
    <t>Número</t>
  </si>
  <si>
    <t>Código</t>
  </si>
  <si>
    <t>Descripción</t>
  </si>
  <si>
    <t>Costo Estimados USD</t>
  </si>
  <si>
    <t>Método de Adquisición</t>
  </si>
  <si>
    <t xml:space="preserve">Revisión Ex Ante / Ex Post </t>
  </si>
  <si>
    <t>Presupuesto</t>
  </si>
  <si>
    <t xml:space="preserve">Fecha Estimada </t>
  </si>
  <si>
    <t>Estatus</t>
  </si>
  <si>
    <t>Observaciones</t>
  </si>
  <si>
    <t>Inicio del Procespo</t>
  </si>
  <si>
    <t>Términos del Proceso</t>
  </si>
  <si>
    <t>Aporte GIZ</t>
  </si>
  <si>
    <t>Aporte IICA</t>
  </si>
  <si>
    <t>Servicio de Consultoría</t>
  </si>
  <si>
    <t>PLAN DE ADQUISICIONES DEL PROYECTO</t>
  </si>
  <si>
    <t>Gestión del Fondo</t>
  </si>
  <si>
    <t>Seguimiento y Monitoreo del proyecto</t>
  </si>
  <si>
    <t>Financiamiento GIZ:</t>
  </si>
  <si>
    <t>Resultado I. Promoción Directa del Mercado</t>
  </si>
  <si>
    <t>Resultado 2: Innovacón y Calidad de las TERT</t>
  </si>
  <si>
    <t>Diseño de la página web</t>
  </si>
  <si>
    <t>Inicio Oct 2014</t>
  </si>
  <si>
    <t>Presupuesto Aprobado</t>
  </si>
  <si>
    <t>Proveedor</t>
  </si>
  <si>
    <t>Concepto</t>
  </si>
  <si>
    <t>1.1.1</t>
  </si>
  <si>
    <t>1.1.2</t>
  </si>
  <si>
    <t>1.1.3</t>
  </si>
  <si>
    <t>1.1.4</t>
  </si>
  <si>
    <t>1.1.5</t>
  </si>
  <si>
    <t>1.2.1</t>
  </si>
  <si>
    <t>1.2.2</t>
  </si>
  <si>
    <t>1.2.3</t>
  </si>
  <si>
    <t>1.3.1</t>
  </si>
  <si>
    <t>1.4.1</t>
  </si>
  <si>
    <t>1.4.2</t>
  </si>
  <si>
    <t>1.4.3</t>
  </si>
  <si>
    <t>1.4.4</t>
  </si>
  <si>
    <t>1.4.4.1</t>
  </si>
  <si>
    <t>1.4.4.2</t>
  </si>
  <si>
    <t>1.5.1</t>
  </si>
  <si>
    <t>1.5.2</t>
  </si>
  <si>
    <t>Monto USD</t>
  </si>
  <si>
    <t xml:space="preserve">A0 </t>
  </si>
  <si>
    <t xml:space="preserve">Gestión del Fondo </t>
  </si>
  <si>
    <t xml:space="preserve">Coordinador Técnico Nacional </t>
  </si>
  <si>
    <t>Carlos Cervantes</t>
  </si>
  <si>
    <t>Planilla mes Enero 14</t>
  </si>
  <si>
    <t>Planilla mes Febrero  14</t>
  </si>
  <si>
    <t>Planilla Mes de Marzo 14</t>
  </si>
  <si>
    <t>Planilla Mes de Abril 14</t>
  </si>
  <si>
    <t>Planilla Mes de Mayo14</t>
  </si>
  <si>
    <t>Planilla Mes de Junio 14</t>
  </si>
  <si>
    <t>Planilla Mes de Julio 14</t>
  </si>
  <si>
    <t>Planilla Mes de Agosto 14</t>
  </si>
  <si>
    <t>Planilla Mes de Septiempre 14</t>
  </si>
  <si>
    <t>Planilla Mes de Octubre 14</t>
  </si>
  <si>
    <t>Planilla Mes de Noviembre 14</t>
  </si>
  <si>
    <t>Planilla Mes de Diciembre 14</t>
  </si>
  <si>
    <t>Monto Soles</t>
  </si>
  <si>
    <t>Monto Euro</t>
  </si>
  <si>
    <t>Especialista en Energía</t>
  </si>
  <si>
    <t>Fernando Acosta</t>
  </si>
  <si>
    <t>Asistente Flexible</t>
  </si>
  <si>
    <t>Honorario a terceros</t>
  </si>
  <si>
    <t>Analista de Proyecto</t>
  </si>
  <si>
    <t xml:space="preserve">Carolina Vidal </t>
  </si>
  <si>
    <t>Apoyo  Administrativo / financiero - Auxiliar Contable</t>
  </si>
  <si>
    <t>Auxilar contable</t>
  </si>
  <si>
    <t xml:space="preserve">Gary Coronel </t>
  </si>
  <si>
    <t>Laptop</t>
  </si>
  <si>
    <t>Viajes</t>
  </si>
  <si>
    <t>Auditoria</t>
  </si>
  <si>
    <t xml:space="preserve">Movilidad local </t>
  </si>
  <si>
    <t>Materiales de la Oficina</t>
  </si>
  <si>
    <t>Fecha de pago</t>
  </si>
  <si>
    <t>Aire acondicionado</t>
  </si>
  <si>
    <t>Hiraoka</t>
  </si>
  <si>
    <t>Comprobante IICA</t>
  </si>
  <si>
    <t>Adquisición de aire acondicionado para oficina de FASERT</t>
  </si>
  <si>
    <t>Total . Ejecutado USD</t>
  </si>
  <si>
    <t>Equipos informáticos y audiovisuales (laptop, cámara, grabadora, etc.)</t>
  </si>
  <si>
    <t>Magitech</t>
  </si>
  <si>
    <t>Compra de laptop para Fernando Acosta</t>
  </si>
  <si>
    <t>Act . POA</t>
  </si>
  <si>
    <t>1.6.1</t>
  </si>
  <si>
    <t>2.4</t>
  </si>
  <si>
    <t>2.5</t>
  </si>
  <si>
    <t>2.6</t>
  </si>
  <si>
    <t>2.7</t>
  </si>
  <si>
    <t>2.8</t>
  </si>
  <si>
    <t>2.9</t>
  </si>
  <si>
    <t>2.10</t>
  </si>
  <si>
    <t>2.11</t>
  </si>
  <si>
    <t>2.12</t>
  </si>
  <si>
    <t>2.13</t>
  </si>
  <si>
    <t>2.14</t>
  </si>
  <si>
    <t>2.15</t>
  </si>
  <si>
    <t>Estudio de mercado (capacidad de comprar de la gente a traves de mecanismos financieros)</t>
  </si>
  <si>
    <t>Eventos de capacitación  (Taller de identificación, SM, Intructivo Administrativo, puesta en marcha de los proyectos)</t>
  </si>
  <si>
    <t>Diseño y maquetación de la página web</t>
  </si>
  <si>
    <t xml:space="preserve">Programación de la página  web </t>
  </si>
  <si>
    <t>Diseño de triptico</t>
  </si>
  <si>
    <t xml:space="preserve">Adelanto 40% -  Taller de identificación soluciones a las necesidades de implementación de servicios energéticis en instituciones  públicas y privadas  3 y 4 DE marzo  (coffee y almuerzo) - Inmobiliaria de turismo - Sonesta El Olivar </t>
  </si>
  <si>
    <t>Instalación de aire acondicionado oficina FASERT ( pago de detracción)  - MALASQUEZ ESQUERRE SAC</t>
  </si>
  <si>
    <t>N° doc. de Referencia IICA</t>
  </si>
  <si>
    <t>Gastos de FASERT
Abril  2014</t>
  </si>
  <si>
    <t xml:space="preserve">Nombre  del Contratista o Proveedor etc.                                             </t>
  </si>
  <si>
    <t xml:space="preserve">Descripción del Gasto         </t>
  </si>
  <si>
    <t>No. de Referencia de Voucher/ Comprobante pago</t>
  </si>
  <si>
    <t>Enero, Febrero y Marzo 2014</t>
  </si>
  <si>
    <t>Auditoría 2014 - 2015</t>
  </si>
  <si>
    <r>
      <t xml:space="preserve">Status </t>
    </r>
    <r>
      <rPr>
        <vertAlign val="superscript"/>
        <sz val="10.5"/>
        <rFont val="Calibri"/>
        <family val="2"/>
        <scheme val="minor"/>
      </rPr>
      <t>4</t>
    </r>
    <r>
      <rPr>
        <sz val="10.5"/>
        <rFont val="Calibri"/>
        <family val="2"/>
        <scheme val="minor"/>
      </rPr>
      <t xml:space="preserve">   (pendiente, en proceso, adjudicado, cancelado)</t>
    </r>
  </si>
  <si>
    <r>
      <t xml:space="preserve">Subtotal 
</t>
    </r>
    <r>
      <rPr>
        <b/>
        <sz val="10.5"/>
        <rFont val="Calibri"/>
        <family val="2"/>
        <scheme val="minor"/>
      </rPr>
      <t>USD</t>
    </r>
  </si>
  <si>
    <t>Resultado 3: Promoción Indirecta del mercado de TERT</t>
  </si>
  <si>
    <t>1.5.3</t>
  </si>
  <si>
    <t>ED %</t>
  </si>
  <si>
    <t>EA 1 %</t>
  </si>
  <si>
    <t>EA 2 %</t>
  </si>
  <si>
    <t xml:space="preserve">
Aporte Local
</t>
  </si>
  <si>
    <r>
      <rPr>
        <b/>
        <u/>
        <sz val="9"/>
        <rFont val="Calibri"/>
        <family val="2"/>
        <scheme val="minor"/>
      </rPr>
      <t>Resultado 1</t>
    </r>
    <r>
      <rPr>
        <b/>
        <sz val="9"/>
        <rFont val="Calibri"/>
        <family val="2"/>
        <scheme val="minor"/>
      </rPr>
      <t xml:space="preserve">: </t>
    </r>
  </si>
  <si>
    <r>
      <rPr>
        <b/>
        <u/>
        <sz val="9"/>
        <rFont val="Calibri"/>
        <family val="2"/>
        <scheme val="minor"/>
      </rPr>
      <t>Resultado 2</t>
    </r>
    <r>
      <rPr>
        <sz val="9"/>
        <rFont val="Calibri"/>
        <family val="2"/>
        <scheme val="minor"/>
      </rPr>
      <t xml:space="preserve">: </t>
    </r>
  </si>
  <si>
    <r>
      <rPr>
        <b/>
        <u/>
        <sz val="9"/>
        <rFont val="Calibri"/>
        <family val="2"/>
        <scheme val="minor"/>
      </rPr>
      <t>Resultado 3</t>
    </r>
    <r>
      <rPr>
        <sz val="9"/>
        <rFont val="Calibri"/>
        <family val="2"/>
        <scheme val="minor"/>
      </rPr>
      <t>: Asignación Directa</t>
    </r>
  </si>
  <si>
    <t xml:space="preserve">Caja Chica - Stiker para folder conteniendo la nueva dirección del IICA. Folder entregados en el evento de lanzamiento FASERT </t>
  </si>
  <si>
    <t xml:space="preserve">Caja Chica - Pizarra, calculadora y tacho para Gary Coronel </t>
  </si>
  <si>
    <t>Caja Chica - Arreglo de Flores para evento de lanzamiento FASERT</t>
  </si>
  <si>
    <t>Impresión de tarjetas de invitación al evento de lanzamiento del Fondo FASERT 04 .04.14 - AC GRAF PERU</t>
  </si>
  <si>
    <t xml:space="preserve">Elaboración de 1000 lapiceros con logos FASERT GIZ IICA, para evento de lanzamiento FASERT </t>
  </si>
  <si>
    <t xml:space="preserve">Caja chica - Reunión con Foncodes, parqueo </t>
  </si>
  <si>
    <t>Caja Chica - Movilidad Mónica Puémape (apoyo en evento de lanzamiento FASERT)</t>
  </si>
  <si>
    <t>Caja chica - Materiales para instalación de pizarra</t>
  </si>
  <si>
    <t xml:space="preserve"> TC</t>
  </si>
  <si>
    <t>TC Euro</t>
  </si>
  <si>
    <t>Diseño e impresión de triptico</t>
  </si>
  <si>
    <t>Diseño de creación de imagen coorporativa de Fasert</t>
  </si>
  <si>
    <t>1.4.4.3</t>
  </si>
  <si>
    <t>1.4.4.4</t>
  </si>
  <si>
    <t>Diseño y creación de material de distribución</t>
  </si>
  <si>
    <t>Elaboración de video</t>
  </si>
  <si>
    <t>Fotocopiado de DVD</t>
  </si>
  <si>
    <t xml:space="preserve">Consultor </t>
  </si>
  <si>
    <t xml:space="preserve">Consultor 1 </t>
  </si>
  <si>
    <t>Impresión del triptico</t>
  </si>
  <si>
    <t>3.1.1</t>
  </si>
  <si>
    <t>3.2.1</t>
  </si>
  <si>
    <t>3.3.1</t>
  </si>
  <si>
    <t>4.2.1</t>
  </si>
  <si>
    <t>4.2.2</t>
  </si>
  <si>
    <t>4.3.1</t>
  </si>
  <si>
    <t>4.4.1</t>
  </si>
  <si>
    <t>4.5.1</t>
  </si>
  <si>
    <t>4.6.1</t>
  </si>
  <si>
    <t xml:space="preserve">Total </t>
  </si>
  <si>
    <t xml:space="preserve">TC S/. </t>
  </si>
  <si>
    <t>31/09/2014</t>
  </si>
  <si>
    <t>1.1.5.1</t>
  </si>
  <si>
    <t>1.1.5.2</t>
  </si>
  <si>
    <t>Consultores de corto plazo nacional (evaluación de perfiles y  propuesta)</t>
  </si>
  <si>
    <t xml:space="preserve">Especialista en comunicaciones </t>
  </si>
  <si>
    <t xml:space="preserve">Asistente para el sistema SMI </t>
  </si>
  <si>
    <t xml:space="preserve">Consultor 2 </t>
  </si>
  <si>
    <t>Viajes de seguimiento y monitoreo de los proyectos</t>
  </si>
  <si>
    <t xml:space="preserve">Viajes de verificación de los proyectos </t>
  </si>
  <si>
    <t>1.3.2</t>
  </si>
  <si>
    <t>Evento de lanzamiento   (Lima)</t>
  </si>
  <si>
    <t>1.4.5</t>
  </si>
  <si>
    <t>1.4.5.1</t>
  </si>
  <si>
    <t>31/06/2014</t>
  </si>
  <si>
    <t xml:space="preserve">Encargado de ingreso de la data de los proyectos en el sistema SMI
</t>
  </si>
  <si>
    <t xml:space="preserve">Apoyo en gestión del proyecto en general y subproyectos en temas referidos a las comunicaciones </t>
  </si>
  <si>
    <t>Inicio Sep 2014</t>
  </si>
  <si>
    <t xml:space="preserve">Diseño e impresión de Banner </t>
  </si>
  <si>
    <t xml:space="preserve">Elaboración de material publicitario </t>
  </si>
  <si>
    <t>Equipamiento de laboratorio</t>
  </si>
  <si>
    <t>Equipamiento del centro de prueba y ensayo</t>
  </si>
  <si>
    <t>Diseño y maquetación de la web</t>
  </si>
  <si>
    <t>31/04/2015</t>
  </si>
  <si>
    <t xml:space="preserve">Publicaciones de productos de conocimiento </t>
  </si>
  <si>
    <t>Diseño (manual de biodigestor, boletin técnico)</t>
  </si>
  <si>
    <t>Manual Biodigestor , Boletin técnico</t>
  </si>
  <si>
    <t>Impresión (manual de biodigestor, boletin técnico, norma técnica de calidad)</t>
  </si>
  <si>
    <t>Manual Biodigestor , Estrategia Nacional de promoción de las TERT, norma técnica de calidad</t>
  </si>
  <si>
    <t>4.4.2</t>
  </si>
  <si>
    <t>Manuales y boletines</t>
  </si>
  <si>
    <t>Estudios de caso y Lecciones aprendidas</t>
  </si>
  <si>
    <t xml:space="preserve">Diseño de la publicación </t>
  </si>
  <si>
    <t>Impresión</t>
  </si>
  <si>
    <t>4.4.1.1</t>
  </si>
  <si>
    <t>4.4.1.2</t>
  </si>
  <si>
    <t>4.4.2.1</t>
  </si>
  <si>
    <t>Participación Simposiun, Ferias, Foros</t>
  </si>
  <si>
    <t>PRESUPUESTADO -  CONVENIO GIZ (Euros)
2014 - 2016</t>
  </si>
  <si>
    <t>De USD a Euros</t>
  </si>
  <si>
    <t>1.4.6</t>
  </si>
  <si>
    <t>1.4.5.2</t>
  </si>
  <si>
    <t>1.4.5.3</t>
  </si>
  <si>
    <t>1.4.5.4</t>
  </si>
  <si>
    <t>1.4.6.1</t>
  </si>
  <si>
    <t>GIZ 
USD</t>
  </si>
  <si>
    <t xml:space="preserve">Tipo de Cambio </t>
  </si>
  <si>
    <t>GIZ
Euros</t>
  </si>
  <si>
    <t>Subtotal 
Euros</t>
  </si>
  <si>
    <t>Tipo de Cambio</t>
  </si>
  <si>
    <t>Se incluyen los materiales para los talleres</t>
  </si>
  <si>
    <t>Chalecos,  gorros, carpetas, block</t>
  </si>
  <si>
    <t>Auditoría</t>
  </si>
  <si>
    <t>Viaje</t>
  </si>
  <si>
    <t xml:space="preserve"> PRESUPUESTO AJUSTADO FASERT
 (Euros)
</t>
  </si>
  <si>
    <t>EJECUTADO A LA FECHA</t>
  </si>
  <si>
    <t xml:space="preserve"> PRESUPUESTO AJUSTADO FASERT 
1er SEMESTRE 2014</t>
  </si>
  <si>
    <t>GIZ
Euro</t>
  </si>
  <si>
    <t xml:space="preserve"> PRESUPUESTO AJUSTADO FASERT 
2er SEMESTRE 2014</t>
  </si>
  <si>
    <t>Eventos de capacitación  (SM, Intructivo Administrativo, puesta en marcha de los proyectos, taller de identificación)</t>
  </si>
  <si>
    <t xml:space="preserve">Carlos Cervantes </t>
  </si>
  <si>
    <t xml:space="preserve">Planilla mes de Enero </t>
  </si>
  <si>
    <t>Financiamiento 
GIZ</t>
  </si>
  <si>
    <t xml:space="preserve"> Importaciones Hiraoka </t>
  </si>
  <si>
    <t>304-0047499</t>
  </si>
  <si>
    <t>010443</t>
  </si>
  <si>
    <t>010442</t>
  </si>
  <si>
    <t>001-0039633</t>
  </si>
  <si>
    <t>Maria Febres</t>
  </si>
  <si>
    <t>Recibo por movilidad</t>
  </si>
  <si>
    <t>014931</t>
  </si>
  <si>
    <t>Malasquez Esquerre SAC</t>
  </si>
  <si>
    <t>010454</t>
  </si>
  <si>
    <t>010458</t>
  </si>
  <si>
    <t>007-0162437</t>
  </si>
  <si>
    <t>Fecha Aviso de Pago</t>
  </si>
  <si>
    <t>010468</t>
  </si>
  <si>
    <t>001-005721</t>
  </si>
  <si>
    <t>1.1.1 / 1.1.2</t>
  </si>
  <si>
    <t xml:space="preserve">1.1.1 / 1.1.2 </t>
  </si>
  <si>
    <t xml:space="preserve">Planilla mes de Febrero - Equipo FASERT </t>
  </si>
  <si>
    <t>Planilla</t>
  </si>
  <si>
    <t>Fredy Alvarez</t>
  </si>
  <si>
    <t>010474</t>
  </si>
  <si>
    <t>001-0000064</t>
  </si>
  <si>
    <t>001- 029468</t>
  </si>
  <si>
    <t>Caja chica</t>
  </si>
  <si>
    <t>Maestro</t>
  </si>
  <si>
    <t>Pegamento</t>
  </si>
  <si>
    <t>0011845016225</t>
  </si>
  <si>
    <t>001-16367</t>
  </si>
  <si>
    <t>007-162436</t>
  </si>
  <si>
    <t xml:space="preserve">TAI LOY </t>
  </si>
  <si>
    <t>010493</t>
  </si>
  <si>
    <t>792-0001312 / 719-0065893 / 798-004055</t>
  </si>
  <si>
    <t xml:space="preserve">Fredy Alvarez </t>
  </si>
  <si>
    <t>001-0040020</t>
  </si>
  <si>
    <t xml:space="preserve">Taxi Real </t>
  </si>
  <si>
    <t>049847</t>
  </si>
  <si>
    <t>Movilidad Carlos Cervantes - Chosica Miraflores</t>
  </si>
  <si>
    <t>010492</t>
  </si>
  <si>
    <t>010505</t>
  </si>
  <si>
    <t>001-00055</t>
  </si>
  <si>
    <t>Importadora y Distribuidora VML</t>
  </si>
  <si>
    <t>010504</t>
  </si>
  <si>
    <t>001-013916</t>
  </si>
  <si>
    <t>Alpa Tech</t>
  </si>
  <si>
    <t>010503</t>
  </si>
  <si>
    <t>001-003245</t>
  </si>
  <si>
    <t xml:space="preserve">Maria Febres </t>
  </si>
  <si>
    <t>Movilidad Reunión con Foncodes</t>
  </si>
  <si>
    <t>015062</t>
  </si>
  <si>
    <t xml:space="preserve">Mercedes Galvez Solano </t>
  </si>
  <si>
    <t>Compra de pizararas de corcho y acrilicas</t>
  </si>
  <si>
    <t>001-013792</t>
  </si>
  <si>
    <t xml:space="preserve"> Novotel  -  Sociedad de Desarrollo de Hoteles </t>
  </si>
  <si>
    <t>010520</t>
  </si>
  <si>
    <t xml:space="preserve">C. Cervantes - F- Acosta - C. Vidal - G. Coronel </t>
  </si>
  <si>
    <t>Planilla marzo equipo FASERT</t>
  </si>
  <si>
    <t>USD</t>
  </si>
  <si>
    <t>1.5.4</t>
  </si>
  <si>
    <t xml:space="preserve">Gastos Financieros </t>
  </si>
  <si>
    <t>Evento de Cierre del proyecto</t>
  </si>
  <si>
    <t>Difusión del fondo caja chica  -  Evento sandwich</t>
  </si>
  <si>
    <t xml:space="preserve">Moneda </t>
  </si>
  <si>
    <t xml:space="preserve">Gastos financieros Banco </t>
  </si>
  <si>
    <t>San Antonio / Wong</t>
  </si>
  <si>
    <t xml:space="preserve">Banco </t>
  </si>
  <si>
    <t>Gatos bancarios de la cuenta</t>
  </si>
  <si>
    <t>41-HX133
20131220-52-000296377</t>
  </si>
  <si>
    <t xml:space="preserve">Monto  
Factura/Boleta/ Recibo  USD </t>
  </si>
  <si>
    <t xml:space="preserve">Compra de filo canto para escritorio  </t>
  </si>
  <si>
    <t xml:space="preserve">1.7 </t>
  </si>
  <si>
    <t>1.7.1</t>
  </si>
  <si>
    <t xml:space="preserve">Contingencias </t>
  </si>
  <si>
    <t>Gasto duplicado en mayo se elimino</t>
  </si>
  <si>
    <t>Seguro Obligatorio Carlos Cervantes 05-14</t>
  </si>
  <si>
    <t>Seguro Obligatorio Gary Coronel Chavez 05-2014</t>
  </si>
  <si>
    <t>Seguro Obligatorio Carolina Vidal Albujar 05-2014</t>
  </si>
  <si>
    <t xml:space="preserve">Impresión de tripticos FASERT </t>
  </si>
  <si>
    <t xml:space="preserve">Reembolso por compra de dominios de FASERT </t>
  </si>
  <si>
    <t xml:space="preserve">Reembolso por exámen médico - Carolina Vidal </t>
  </si>
  <si>
    <t>Reembolso por exámen médico - Carlos Cervantes</t>
  </si>
  <si>
    <t xml:space="preserve">Reembolso por exámen médico - Gary Coronel </t>
  </si>
  <si>
    <t xml:space="preserve">Pago del saldo del 60% del Evento de Lanzamiento de FASERT - Novotel </t>
  </si>
  <si>
    <t xml:space="preserve">Pago de detracción  - Evento FASERT Hotel Novotel </t>
  </si>
  <si>
    <t xml:space="preserve">Pago de CTS Noviembre - Abril </t>
  </si>
  <si>
    <t>Reclasificación de gastos caja chica 06/05</t>
  </si>
  <si>
    <t>Reclasificación de gastos caja chica 06/06</t>
  </si>
  <si>
    <t xml:space="preserve"> Fernando Acosta - Participación en Foro Cosecha</t>
  </si>
  <si>
    <t>Pago de pasaje Lima - Cuzco - Lima Fernando Acosta Foro Cosecha (29 al 31 mayo)</t>
  </si>
  <si>
    <t>Rasificación de gastos de caja chica 19/05</t>
  </si>
  <si>
    <t>Reembolso por exámen médico - Fernando Acosta</t>
  </si>
  <si>
    <t>Planilla Mayo 2014</t>
  </si>
  <si>
    <t>Pago de saldo ( 2do Y 3er pago) Ricardo Barandearan - Contrato A3/PE-0130</t>
  </si>
  <si>
    <t xml:space="preserve">Reclasificación 190003239 .- Gastos de movilidad </t>
  </si>
  <si>
    <t>100027492</t>
  </si>
  <si>
    <t xml:space="preserve">Pago del  60%  del alquiler de sala para taller Identificando Soluciones a las Necesidades de  IDENTIFICANDO SOLUCIONES A LAS NECESIDADES DE IMPLEMENTACIÓN DE SERVICIOS ENERGÉTICOS EN INSTITUCIONES PÚBLICAS Y PRIVADAS  3 Y 4 de marzo 2014 (coffee y almuerzo) -  Inmobiliaria turismo Sonesta Hotel El Olivar </t>
  </si>
  <si>
    <t>Evaluación final del proyecto</t>
  </si>
  <si>
    <t xml:space="preserve">4.7 </t>
  </si>
  <si>
    <t>Consultor  (a todo costo)</t>
  </si>
  <si>
    <t>Anulado</t>
  </si>
  <si>
    <t>Gastos Mayo 2014</t>
  </si>
  <si>
    <t>No</t>
  </si>
  <si>
    <t>Atención taller de FASERT (sandwich - jugos)</t>
  </si>
  <si>
    <t xml:space="preserve">Aire acondicionado de la oficina de  FASERT </t>
  </si>
  <si>
    <t>Planilla - Enero</t>
  </si>
  <si>
    <t xml:space="preserve">No. Contrato /
Orden de Compra     </t>
  </si>
  <si>
    <t>Magic Tecnologies E.I.R.L</t>
  </si>
  <si>
    <t>Compra de laptop para Fernando  Acosta - Especialista FASERT</t>
  </si>
  <si>
    <t>Movilidad reunión de trabajo con equipo técnico de  EnDev</t>
  </si>
  <si>
    <t>001 - 003727</t>
  </si>
  <si>
    <t>Monto 
 Euro</t>
  </si>
  <si>
    <t>Monto 
 Soles</t>
  </si>
  <si>
    <t>Adelanto 40% -  Taller de identificación soluciones a las necesidades. Sonesta El Olivar. 03 y 04 de Marzo 2014</t>
  </si>
  <si>
    <t xml:space="preserve">Inmobiliaria de Turismo S. A - Sonesta El Olivar </t>
  </si>
  <si>
    <t>MGS Comercial Gráfica S.R.L</t>
  </si>
  <si>
    <t>Impresión de tarjetas de presentación de Carlos C. y Fernando A.</t>
  </si>
  <si>
    <t xml:space="preserve">Planilla -  Febrero </t>
  </si>
  <si>
    <t>Carlos Cervantes  - Fernando Acosta</t>
  </si>
  <si>
    <t>Envío de invitaciones para el  Taller de identificación soluciones a las necesidades del  3 y 4 de marzo.</t>
  </si>
  <si>
    <t xml:space="preserve">Master World Courrier </t>
  </si>
  <si>
    <t xml:space="preserve">Inmobiliaria de Turismo - Sonesta El Olivar </t>
  </si>
  <si>
    <t xml:space="preserve">Compra de útiles para la oficina de FASERT  </t>
  </si>
  <si>
    <t xml:space="preserve">1er pago - Adelanto  40% Servicios eléctricos y de computo en la oficina de FASERT </t>
  </si>
  <si>
    <t xml:space="preserve">2do pago - 60% Servicios eléctricos y de computo en la oficina de FASERT  </t>
  </si>
  <si>
    <t xml:space="preserve">Compra de 2 laptops  - Carolina Vidal - Gary Coronel </t>
  </si>
  <si>
    <t>1er pago (15%)  - Diseño de Logo - contrato A3/PE-0130</t>
  </si>
  <si>
    <t>Ricardo Barandearan Samamez</t>
  </si>
  <si>
    <t>Cámara fotográfica Nikon Reflex Digital</t>
  </si>
  <si>
    <t xml:space="preserve">Pago de detracción - Adelanto evento de lanzamiento FASERT </t>
  </si>
  <si>
    <t xml:space="preserve">Planilla - Marzo </t>
  </si>
  <si>
    <t>Seguro Obligatorio</t>
  </si>
  <si>
    <t xml:space="preserve">Caja Chica - Movilidades </t>
  </si>
  <si>
    <t xml:space="preserve">Caja chica </t>
  </si>
  <si>
    <t>Materiales para instalación de pizarra</t>
  </si>
  <si>
    <t>Movilidad para la compra de camara y Reunión Maria Febres</t>
  </si>
  <si>
    <t xml:space="preserve">015085 / 015093 </t>
  </si>
  <si>
    <t>010532</t>
  </si>
  <si>
    <t xml:space="preserve">Impresión de tarjetas de invitación  para el evento de lanzamiento del Fondo FASERT 04 .04.14 </t>
  </si>
  <si>
    <t>001- 000210</t>
  </si>
  <si>
    <t>Adelanto 40% Evento de lanzamiento FASERT 14 de abril 2014</t>
  </si>
  <si>
    <t>003-0079952</t>
  </si>
  <si>
    <t xml:space="preserve">Reunión con Foncodes, parqueo </t>
  </si>
  <si>
    <t>AC GRAF PERU</t>
  </si>
  <si>
    <t>0001-000218</t>
  </si>
  <si>
    <t xml:space="preserve">Stiker para folder conteniendo la nueva dirección del IICA. Folder entregados en el evento de lanzamiento FASERT </t>
  </si>
  <si>
    <t>054-459698</t>
  </si>
  <si>
    <t>Mercedes Galvez Solano / Comercial LI S.A</t>
  </si>
  <si>
    <t xml:space="preserve">Compra de pizarra de corcho, calculadora y tacho para Gary Coronel </t>
  </si>
  <si>
    <t xml:space="preserve">MKT Qantuta EIRL </t>
  </si>
  <si>
    <t>Elaboración de 1000 lapiceros con logos FASERT GIZ IICA, para evento de lanzamiento FASERT.</t>
  </si>
  <si>
    <t>010552</t>
  </si>
  <si>
    <t>001-000047</t>
  </si>
  <si>
    <t xml:space="preserve">Pago courrier entrega de tarjetas de invitación al evento de lanzamiento FASERT </t>
  </si>
  <si>
    <t>Master World Courrier SAC</t>
  </si>
  <si>
    <t>010565</t>
  </si>
  <si>
    <t>001-029698</t>
  </si>
  <si>
    <t>Floreria Jardin Los Rosales</t>
  </si>
  <si>
    <t>Arreglo de Flores para evento de lanzamiento FASERT 14.04.14</t>
  </si>
  <si>
    <t>001-016031</t>
  </si>
  <si>
    <t>Movilidad Mónica Puémape (apoyo en evento de lanzamiento FASERT 14.04.14)</t>
  </si>
  <si>
    <t>Traslados ejecutivos El Imperio</t>
  </si>
  <si>
    <t>001-000014</t>
  </si>
  <si>
    <t>Diseño de Triptico FASERT</t>
  </si>
  <si>
    <t>Ricardo Barandiaran Samanez</t>
  </si>
  <si>
    <t>010560</t>
  </si>
  <si>
    <t>001-000063</t>
  </si>
  <si>
    <t xml:space="preserve">Adelanto por programación de página web </t>
  </si>
  <si>
    <t xml:space="preserve">Robespierre Corimanya Soria </t>
  </si>
  <si>
    <t>010568</t>
  </si>
  <si>
    <t xml:space="preserve">Diseño de página web (40% adelanto) </t>
  </si>
  <si>
    <t>Picnic</t>
  </si>
  <si>
    <t>010566</t>
  </si>
  <si>
    <t>Planilla - abril</t>
  </si>
  <si>
    <t xml:space="preserve"> Caja Chica - Error de ingreso Patricia Diaz - Se debitará en mayo</t>
  </si>
  <si>
    <t>Instalación del equipo de aire acondicionado oficina FASERT</t>
  </si>
  <si>
    <t xml:space="preserve">Seguro Obligatorio </t>
  </si>
  <si>
    <t>Carlos Cervantes 05-14</t>
  </si>
  <si>
    <t>Gary Coronel Chavez 05-2014</t>
  </si>
  <si>
    <t>Carolina Vidal Albujar 05-2014</t>
  </si>
  <si>
    <t>Pago del  60%  del alquiler de sala para Taller de identificación soluciones a las necesidades. Sonesta El Olivar. 03.03 y 04.03</t>
  </si>
  <si>
    <t>Pagado en USD</t>
  </si>
  <si>
    <t xml:space="preserve">Error de ingreso de Patricia </t>
  </si>
  <si>
    <t>Caja Chica al 18/03/2014 - Mensajeria y movilidad local - Movilidad Mónica Puémape apoyo para evento del 03 y 04 de marzo</t>
  </si>
  <si>
    <t>Movilidad Mónica Puémape (apoyo en evento de lanzamiento FASERT 03 y 04 de marzo)</t>
  </si>
  <si>
    <t>Jorge Luis Vela Noriega</t>
  </si>
  <si>
    <t>001-00009 / 001-00011</t>
  </si>
  <si>
    <t>SuizaLab</t>
  </si>
  <si>
    <t xml:space="preserve">Pago del saldo del 60% del Evento de Lanzamiento de FASERT </t>
  </si>
  <si>
    <t xml:space="preserve">Novotel  -  Sociedad de Desarrollo de Hoteles </t>
  </si>
  <si>
    <t>Monto según Informe de convenio Cuenta Mayor</t>
  </si>
  <si>
    <t xml:space="preserve">Pago de detracción  - Evento FASERT </t>
  </si>
  <si>
    <t>Diciembre</t>
  </si>
  <si>
    <t xml:space="preserve">Enero </t>
  </si>
  <si>
    <t>Febrero</t>
  </si>
  <si>
    <t>Marzo</t>
  </si>
  <si>
    <t>Abril</t>
  </si>
  <si>
    <t>Mayo</t>
  </si>
  <si>
    <t>Junio</t>
  </si>
  <si>
    <t>Ingresos</t>
  </si>
  <si>
    <t>TIN</t>
  </si>
  <si>
    <t>Ejecutado Mayo 2014</t>
  </si>
  <si>
    <t>Ejecución</t>
  </si>
  <si>
    <t>Total
 US$</t>
  </si>
  <si>
    <t>Expresado en Dolares Americanos</t>
  </si>
  <si>
    <t>Pagado en dólares</t>
  </si>
  <si>
    <t>Doc. De Referncia</t>
  </si>
  <si>
    <t>1900002992
1900003083</t>
  </si>
  <si>
    <t>1900003142 
1900003143</t>
  </si>
  <si>
    <t>100003958
100003961</t>
  </si>
  <si>
    <t>Caja Chica - Movilidades (compra de cámara ) y Reunión Maria Febres</t>
  </si>
  <si>
    <t>Adelanto 40% hotel NOVOTEL eveto de lanzamiento FASERT - Sociedad Desarrollo Hoteles Peruano</t>
  </si>
  <si>
    <t>001-013822 /
530-0046797</t>
  </si>
  <si>
    <t xml:space="preserve">ASPnix-Anaxa Company </t>
  </si>
  <si>
    <t>Reembolso por compra de dominios de FASERT : Fasert.org y Portal Hosting: Fasert.org</t>
  </si>
  <si>
    <t>Sinco Industria Gráfica EIRL</t>
  </si>
  <si>
    <t>010578</t>
  </si>
  <si>
    <t>001-000135</t>
  </si>
  <si>
    <t xml:space="preserve">Impresión de un millar de  tripticos FASERT </t>
  </si>
  <si>
    <t xml:space="preserve">Fernando Acosta Bedoya </t>
  </si>
  <si>
    <t>Viáticos para el viaje para su participación en el foro: Cosecha de Energía (29 al 31 de mayo)</t>
  </si>
  <si>
    <t>020-0225626</t>
  </si>
  <si>
    <t>Reembolso por gastos por realización de exámen médico de acuerdo al manual de personal (artículo 2.6) - Carolina Vidal</t>
  </si>
  <si>
    <t>Reembolso por gastos por realización de exámen médico de acuerdo al manual de personal (artículo 2.6) - Carlos Cervantes</t>
  </si>
  <si>
    <t>027-0128341</t>
  </si>
  <si>
    <t>Reembolso por gastos por realización de exámen médico de acuerdo al manual de personal (artículo 2.6) - Gary Stiarts Coronel Chavez</t>
  </si>
  <si>
    <t>027-0127755</t>
  </si>
  <si>
    <t>003-0081253</t>
  </si>
  <si>
    <t>Sans Frontiereres Travel EIRL</t>
  </si>
  <si>
    <t>001355 / 
 001-001494</t>
  </si>
  <si>
    <t>Caja chica 19/05 (gastos de movilidad Carlos Cervantes y Fernando Acosta)</t>
  </si>
  <si>
    <t>Caja Chica</t>
  </si>
  <si>
    <t>Reembolso por gastos por realización de exámen médico de acuerdo al manual de personal (artículo 2.6) - Fernando Acosta Bedoya</t>
  </si>
  <si>
    <t>002-0226258</t>
  </si>
  <si>
    <t>001-000066</t>
  </si>
  <si>
    <t>Pago de saldo ( 2do Y 3er pago)  - Contrato A3/PE-0130 - Diseño de logo FASERT</t>
  </si>
  <si>
    <t>Reclasificación de gastos caja chica 06/05 - Movilidad  Carlos Cervantes reunión EnDev</t>
  </si>
  <si>
    <t>015200</t>
  </si>
  <si>
    <t>001-005847</t>
  </si>
  <si>
    <t>Reclasificación de gastos caja chica 06/06 - Impresión de tarjetas de presentación Carolina Vidal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</si>
</sst>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9">
    <numFmt numFmtId="41" formatCode="_-* #,##0\ _€_-;\-* #,##0\ _€_-;_-* &quot;-&quot;\ _€_-;_-@_-"/>
    <numFmt numFmtId="44" formatCode="_-* #,##0.00\ &quot;€&quot;_-;\-* #,##0.00\ &quot;€&quot;_-;_-* &quot;-&quot;??\ &quot;€&quot;_-;_-@_-"/>
    <numFmt numFmtId="164" formatCode="dd/mm/yyyy;@"/>
    <numFmt numFmtId="165" formatCode="0.0000"/>
    <numFmt numFmtId="166" formatCode="0.00000"/>
    <numFmt numFmtId="167" formatCode="0.0"/>
    <numFmt numFmtId="168" formatCode="_-[$€-2]\ * #,##0.00_-;\-[$€-2]\ * #,##0.00_-;_-[$€-2]\ * &quot;-&quot;??_-;_-@_-"/>
    <numFmt numFmtId="169" formatCode="#,##0.0000"/>
    <numFmt numFmtId="170" formatCode="_-[$$-409]* #,##0.00_ ;_-[$$-409]* \-#,##0.00\ ;_-[$$-409]* &quot;-&quot;??_ ;_-@_ "/>
    <numFmt numFmtId="171" formatCode="[$$-409]#,##0"/>
    <numFmt numFmtId="172" formatCode="#,##0.00\ &quot;€&quot;"/>
    <numFmt numFmtId="173" formatCode="[$S/.-280A]\ #,##0"/>
    <numFmt numFmtId="174" formatCode="[$$-540A]#,##0.00"/>
    <numFmt numFmtId="175" formatCode="[$€-2]\ #,##0.00"/>
    <numFmt numFmtId="176" formatCode="[$S/.-280A]\ #,##0.00"/>
    <numFmt numFmtId="177" formatCode="d/mm/yyyy;@"/>
    <numFmt numFmtId="178" formatCode="[$$-409]#,##0.00"/>
    <numFmt numFmtId="179" formatCode="0.0%"/>
    <numFmt numFmtId="180" formatCode="0.000"/>
  </numFmts>
  <fonts count="4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u/>
      <sz val="11"/>
      <name val="Calibri"/>
      <family val="2"/>
      <scheme val="minor"/>
    </font>
    <font>
      <sz val="8"/>
      <name val="Verdana"/>
      <family val="2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.5"/>
      <color theme="1"/>
      <name val="Calibri"/>
      <family val="2"/>
      <scheme val="minor"/>
    </font>
    <font>
      <b/>
      <sz val="10.5"/>
      <color theme="1"/>
      <name val="Calibri"/>
      <family val="2"/>
      <scheme val="minor"/>
    </font>
    <font>
      <b/>
      <i/>
      <sz val="10.5"/>
      <name val="Calibri"/>
      <family val="2"/>
      <scheme val="minor"/>
    </font>
    <font>
      <sz val="10.5"/>
      <name val="Calibri"/>
      <family val="2"/>
      <scheme val="minor"/>
    </font>
    <font>
      <vertAlign val="superscript"/>
      <sz val="10.5"/>
      <name val="Calibri"/>
      <family val="2"/>
      <scheme val="minor"/>
    </font>
    <font>
      <b/>
      <sz val="10.5"/>
      <name val="Calibri"/>
      <family val="2"/>
      <scheme val="minor"/>
    </font>
    <font>
      <b/>
      <sz val="10.5"/>
      <color theme="0"/>
      <name val="Calibri"/>
      <family val="2"/>
      <scheme val="minor"/>
    </font>
    <font>
      <sz val="10.5"/>
      <color indexed="8"/>
      <name val="Calibri"/>
      <family val="2"/>
      <scheme val="minor"/>
    </font>
    <font>
      <sz val="10.5"/>
      <color indexed="8"/>
      <name val="Calibri "/>
    </font>
    <font>
      <sz val="9"/>
      <name val="Calibri"/>
      <family val="2"/>
      <scheme val="minor"/>
    </font>
    <font>
      <b/>
      <u/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name val="Calibri"/>
      <family val="2"/>
      <scheme val="minor"/>
    </font>
    <font>
      <b/>
      <i/>
      <sz val="9"/>
      <name val="Calibri"/>
      <family val="2"/>
      <scheme val="minor"/>
    </font>
    <font>
      <b/>
      <u/>
      <sz val="9"/>
      <name val="Calibri"/>
      <family val="2"/>
      <scheme val="minor"/>
    </font>
    <font>
      <sz val="9"/>
      <color indexed="8"/>
      <name val="Calibri"/>
      <family val="2"/>
      <scheme val="minor"/>
    </font>
    <font>
      <sz val="9"/>
      <color indexed="8"/>
      <name val="Calibri "/>
    </font>
    <font>
      <sz val="14"/>
      <color indexed="81"/>
      <name val="Tahoma"/>
      <family val="2"/>
    </font>
    <font>
      <b/>
      <sz val="11"/>
      <color indexed="81"/>
      <name val="Tahoma"/>
      <family val="2"/>
    </font>
    <font>
      <b/>
      <sz val="14"/>
      <color indexed="81"/>
      <name val="Tahoma"/>
      <family val="2"/>
    </font>
    <font>
      <sz val="10.5"/>
      <color theme="0"/>
      <name val="Calibri"/>
      <family val="2"/>
      <scheme val="minor"/>
    </font>
    <font>
      <b/>
      <sz val="13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5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5"/>
      </patternFill>
    </fill>
    <fill>
      <patternFill patternType="mediumGray">
        <bgColor theme="0"/>
      </patternFill>
    </fill>
    <fill>
      <patternFill patternType="mediumGray">
        <bgColor theme="0" tint="-4.9989318521683403E-2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6"/>
        <bgColor indexed="64"/>
      </patternFill>
    </fill>
  </fills>
  <borders count="7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medium">
        <color auto="1"/>
      </right>
      <top style="medium">
        <color indexed="64"/>
      </top>
      <bottom/>
      <diagonal/>
    </border>
    <border>
      <left style="medium">
        <color indexed="64"/>
      </left>
      <right style="medium">
        <color auto="1"/>
      </right>
      <top/>
      <bottom style="thin">
        <color auto="1"/>
      </bottom>
      <diagonal/>
    </border>
    <border>
      <left style="thin">
        <color theme="3"/>
      </left>
      <right style="thin">
        <color theme="3"/>
      </right>
      <top style="thin">
        <color theme="3"/>
      </top>
      <bottom style="thin">
        <color theme="3"/>
      </bottom>
      <diagonal/>
    </border>
    <border>
      <left style="thin">
        <color theme="3"/>
      </left>
      <right style="thin">
        <color theme="3"/>
      </right>
      <top/>
      <bottom style="thin">
        <color theme="3"/>
      </bottom>
      <diagonal/>
    </border>
    <border>
      <left style="thin">
        <color theme="3"/>
      </left>
      <right/>
      <top style="thin">
        <color theme="3"/>
      </top>
      <bottom style="thin">
        <color theme="3"/>
      </bottom>
      <diagonal/>
    </border>
    <border>
      <left/>
      <right style="thin">
        <color theme="3"/>
      </right>
      <top style="thin">
        <color theme="3"/>
      </top>
      <bottom style="thin">
        <color theme="3"/>
      </bottom>
      <diagonal/>
    </border>
    <border>
      <left style="thin">
        <color theme="3"/>
      </left>
      <right style="thin">
        <color theme="3"/>
      </right>
      <top style="thin">
        <color theme="3"/>
      </top>
      <bottom/>
      <diagonal/>
    </border>
    <border>
      <left style="thin">
        <color theme="3"/>
      </left>
      <right/>
      <top style="thin">
        <color theme="3"/>
      </top>
      <bottom/>
      <diagonal/>
    </border>
    <border>
      <left/>
      <right style="thin">
        <color theme="3"/>
      </right>
      <top style="thin">
        <color theme="3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</borders>
  <cellStyleXfs count="5">
    <xf numFmtId="0" fontId="0" fillId="0" borderId="0"/>
    <xf numFmtId="9" fontId="3" fillId="0" borderId="0" applyFont="0" applyFill="0" applyBorder="0" applyAlignment="0" applyProtection="0"/>
    <xf numFmtId="0" fontId="3" fillId="7" borderId="0" applyNumberFormat="0" applyBorder="0" applyAlignment="0" applyProtection="0"/>
    <xf numFmtId="0" fontId="11" fillId="0" borderId="0"/>
    <xf numFmtId="44" fontId="3" fillId="0" borderId="0" applyFont="0" applyFill="0" applyBorder="0" applyAlignment="0" applyProtection="0"/>
  </cellStyleXfs>
  <cellXfs count="839">
    <xf numFmtId="0" fontId="0" fillId="0" borderId="0" xfId="0"/>
    <xf numFmtId="0" fontId="0" fillId="2" borderId="0" xfId="0" applyFill="1"/>
    <xf numFmtId="0" fontId="1" fillId="2" borderId="0" xfId="0" applyFont="1" applyFill="1"/>
    <xf numFmtId="0" fontId="0" fillId="3" borderId="12" xfId="0" applyFill="1" applyBorder="1" applyAlignment="1">
      <alignment horizontal="left" vertical="center" wrapText="1"/>
    </xf>
    <xf numFmtId="0" fontId="0" fillId="2" borderId="0" xfId="0" applyFill="1" applyAlignment="1">
      <alignment horizontal="left" vertical="center" wrapText="1"/>
    </xf>
    <xf numFmtId="0" fontId="1" fillId="5" borderId="4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0" fillId="0" borderId="13" xfId="0" applyFill="1" applyBorder="1" applyAlignment="1">
      <alignment horizontal="left" vertical="center" wrapText="1"/>
    </xf>
    <xf numFmtId="0" fontId="0" fillId="0" borderId="22" xfId="0" applyFill="1" applyBorder="1" applyAlignment="1">
      <alignment horizontal="left" vertical="center" wrapText="1"/>
    </xf>
    <xf numFmtId="0" fontId="1" fillId="5" borderId="10" xfId="0" applyFont="1" applyFill="1" applyBorder="1" applyAlignment="1">
      <alignment horizontal="center" vertical="center"/>
    </xf>
    <xf numFmtId="0" fontId="0" fillId="3" borderId="11" xfId="0" applyFill="1" applyBorder="1" applyAlignment="1">
      <alignment horizontal="left" vertical="center" wrapText="1"/>
    </xf>
    <xf numFmtId="0" fontId="0" fillId="3" borderId="11" xfId="0" applyFill="1" applyBorder="1"/>
    <xf numFmtId="0" fontId="0" fillId="3" borderId="12" xfId="0" applyFill="1" applyBorder="1"/>
    <xf numFmtId="0" fontId="0" fillId="0" borderId="5" xfId="0" applyFill="1" applyBorder="1" applyAlignment="1">
      <alignment horizontal="left" vertical="center" wrapText="1"/>
    </xf>
    <xf numFmtId="0" fontId="0" fillId="0" borderId="6" xfId="0" applyFill="1" applyBorder="1" applyAlignment="1">
      <alignment horizontal="left" vertical="center" wrapText="1"/>
    </xf>
    <xf numFmtId="0" fontId="0" fillId="0" borderId="8" xfId="0" applyFill="1" applyBorder="1" applyAlignment="1">
      <alignment horizontal="left" vertical="center" wrapText="1"/>
    </xf>
    <xf numFmtId="0" fontId="0" fillId="0" borderId="9" xfId="0" applyFill="1" applyBorder="1" applyAlignment="1">
      <alignment horizontal="left" vertical="center" wrapText="1"/>
    </xf>
    <xf numFmtId="0" fontId="1" fillId="5" borderId="6" xfId="0" applyFont="1" applyFill="1" applyBorder="1" applyAlignment="1">
      <alignment horizontal="center" vertical="center"/>
    </xf>
    <xf numFmtId="0" fontId="6" fillId="3" borderId="16" xfId="0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14" fontId="0" fillId="3" borderId="5" xfId="0" applyNumberFormat="1" applyFont="1" applyFill="1" applyBorder="1" applyAlignment="1">
      <alignment horizontal="center" vertical="center"/>
    </xf>
    <xf numFmtId="0" fontId="0" fillId="5" borderId="47" xfId="0" applyFill="1" applyBorder="1" applyAlignment="1">
      <alignment horizontal="left" vertical="center"/>
    </xf>
    <xf numFmtId="0" fontId="0" fillId="5" borderId="0" xfId="0" applyFill="1" applyBorder="1" applyAlignment="1">
      <alignment horizontal="left" vertical="center"/>
    </xf>
    <xf numFmtId="0" fontId="0" fillId="5" borderId="0" xfId="0" applyFill="1" applyBorder="1" applyAlignment="1">
      <alignment horizontal="left"/>
    </xf>
    <xf numFmtId="0" fontId="0" fillId="5" borderId="0" xfId="0" applyFill="1" applyBorder="1"/>
    <xf numFmtId="178" fontId="0" fillId="3" borderId="49" xfId="0" applyNumberFormat="1" applyFill="1" applyBorder="1" applyAlignment="1">
      <alignment horizontal="right" vertical="center" wrapText="1"/>
    </xf>
    <xf numFmtId="9" fontId="0" fillId="5" borderId="0" xfId="1" applyFont="1" applyFill="1" applyBorder="1"/>
    <xf numFmtId="0" fontId="0" fillId="5" borderId="50" xfId="0" applyFill="1" applyBorder="1" applyAlignment="1">
      <alignment horizontal="left" vertical="center"/>
    </xf>
    <xf numFmtId="0" fontId="0" fillId="5" borderId="51" xfId="0" applyFill="1" applyBorder="1" applyAlignment="1">
      <alignment horizontal="left" vertical="center"/>
    </xf>
    <xf numFmtId="0" fontId="0" fillId="5" borderId="51" xfId="0" applyFill="1" applyBorder="1" applyAlignment="1">
      <alignment horizontal="left"/>
    </xf>
    <xf numFmtId="0" fontId="0" fillId="5" borderId="51" xfId="0" applyFill="1" applyBorder="1"/>
    <xf numFmtId="0" fontId="0" fillId="3" borderId="17" xfId="0" applyFill="1" applyBorder="1" applyAlignment="1">
      <alignment vertical="center" wrapText="1"/>
    </xf>
    <xf numFmtId="0" fontId="0" fillId="3" borderId="18" xfId="0" applyFill="1" applyBorder="1" applyAlignment="1">
      <alignment vertical="center" wrapText="1"/>
    </xf>
    <xf numFmtId="0" fontId="0" fillId="3" borderId="44" xfId="0" applyFill="1" applyBorder="1" applyAlignment="1">
      <alignment vertical="center" wrapText="1"/>
    </xf>
    <xf numFmtId="0" fontId="5" fillId="2" borderId="0" xfId="0" applyFont="1" applyFill="1"/>
    <xf numFmtId="0" fontId="0" fillId="5" borderId="0" xfId="0" applyFill="1" applyBorder="1" applyAlignment="1">
      <alignment horizontal="center"/>
    </xf>
    <xf numFmtId="0" fontId="0" fillId="5" borderId="51" xfId="0" applyFill="1" applyBorder="1" applyAlignment="1">
      <alignment horizontal="center"/>
    </xf>
    <xf numFmtId="0" fontId="6" fillId="3" borderId="5" xfId="0" applyFont="1" applyFill="1" applyBorder="1" applyAlignment="1">
      <alignment horizontal="center" vertical="center"/>
    </xf>
    <xf numFmtId="0" fontId="0" fillId="3" borderId="49" xfId="0" applyFill="1" applyBorder="1" applyAlignment="1">
      <alignment horizontal="center" vertical="center" wrapText="1"/>
    </xf>
    <xf numFmtId="0" fontId="2" fillId="2" borderId="0" xfId="0" applyFont="1" applyFill="1"/>
    <xf numFmtId="0" fontId="2" fillId="4" borderId="5" xfId="0" applyFont="1" applyFill="1" applyBorder="1"/>
    <xf numFmtId="0" fontId="4" fillId="4" borderId="5" xfId="0" applyFont="1" applyFill="1" applyBorder="1" applyAlignment="1">
      <alignment horizontal="center" vertical="center" wrapText="1"/>
    </xf>
    <xf numFmtId="0" fontId="0" fillId="2" borderId="16" xfId="0" applyFont="1" applyFill="1" applyBorder="1" applyAlignment="1">
      <alignment horizontal="center" vertical="center"/>
    </xf>
    <xf numFmtId="0" fontId="0" fillId="2" borderId="5" xfId="0" applyFont="1" applyFill="1" applyBorder="1" applyAlignment="1">
      <alignment horizontal="center" vertical="center"/>
    </xf>
    <xf numFmtId="9" fontId="0" fillId="2" borderId="5" xfId="0" applyNumberFormat="1" applyFont="1" applyFill="1" applyBorder="1" applyAlignment="1">
      <alignment horizontal="center" vertical="center"/>
    </xf>
    <xf numFmtId="14" fontId="0" fillId="2" borderId="5" xfId="0" applyNumberFormat="1" applyFont="1" applyFill="1" applyBorder="1" applyAlignment="1">
      <alignment horizontal="center" vertical="center"/>
    </xf>
    <xf numFmtId="0" fontId="0" fillId="2" borderId="14" xfId="0" applyFont="1" applyFill="1" applyBorder="1" applyAlignment="1">
      <alignment horizontal="center" vertical="center"/>
    </xf>
    <xf numFmtId="0" fontId="4" fillId="4" borderId="16" xfId="0" applyFont="1" applyFill="1" applyBorder="1" applyAlignment="1">
      <alignment horizontal="center" vertical="center"/>
    </xf>
    <xf numFmtId="0" fontId="0" fillId="5" borderId="48" xfId="0" applyFill="1" applyBorder="1"/>
    <xf numFmtId="9" fontId="0" fillId="5" borderId="48" xfId="1" applyFont="1" applyFill="1" applyBorder="1"/>
    <xf numFmtId="0" fontId="0" fillId="5" borderId="52" xfId="0" applyFill="1" applyBorder="1"/>
    <xf numFmtId="0" fontId="1" fillId="4" borderId="27" xfId="0" applyFont="1" applyFill="1" applyBorder="1" applyAlignment="1">
      <alignment horizontal="center" vertical="center"/>
    </xf>
    <xf numFmtId="0" fontId="0" fillId="2" borderId="4" xfId="0" applyFont="1" applyFill="1" applyBorder="1"/>
    <xf numFmtId="0" fontId="0" fillId="2" borderId="7" xfId="0" applyFont="1" applyFill="1" applyBorder="1"/>
    <xf numFmtId="0" fontId="0" fillId="2" borderId="56" xfId="0" applyFont="1" applyFill="1" applyBorder="1" applyAlignment="1">
      <alignment horizontal="center" vertical="center"/>
    </xf>
    <xf numFmtId="0" fontId="0" fillId="2" borderId="8" xfId="0" applyFont="1" applyFill="1" applyBorder="1" applyAlignment="1">
      <alignment horizontal="center" vertical="center"/>
    </xf>
    <xf numFmtId="9" fontId="0" fillId="2" borderId="8" xfId="0" applyNumberFormat="1" applyFont="1" applyFill="1" applyBorder="1" applyAlignment="1">
      <alignment horizontal="center" vertical="center"/>
    </xf>
    <xf numFmtId="14" fontId="0" fillId="2" borderId="8" xfId="0" applyNumberFormat="1" applyFont="1" applyFill="1" applyBorder="1" applyAlignment="1">
      <alignment horizontal="center" vertical="center"/>
    </xf>
    <xf numFmtId="0" fontId="2" fillId="4" borderId="4" xfId="0" applyFont="1" applyFill="1" applyBorder="1"/>
    <xf numFmtId="0" fontId="0" fillId="2" borderId="50" xfId="0" applyFont="1" applyFill="1" applyBorder="1"/>
    <xf numFmtId="0" fontId="0" fillId="2" borderId="51" xfId="0" applyFont="1" applyFill="1" applyBorder="1" applyAlignment="1">
      <alignment horizontal="center" vertical="center"/>
    </xf>
    <xf numFmtId="0" fontId="0" fillId="2" borderId="51" xfId="0" applyFont="1" applyFill="1" applyBorder="1" applyAlignment="1">
      <alignment horizontal="center" vertical="center" wrapText="1"/>
    </xf>
    <xf numFmtId="3" fontId="0" fillId="2" borderId="51" xfId="0" applyNumberFormat="1" applyFont="1" applyFill="1" applyBorder="1" applyAlignment="1">
      <alignment horizontal="center" vertical="center"/>
    </xf>
    <xf numFmtId="9" fontId="0" fillId="2" borderId="51" xfId="0" applyNumberFormat="1" applyFont="1" applyFill="1" applyBorder="1" applyAlignment="1">
      <alignment horizontal="center" vertical="center"/>
    </xf>
    <xf numFmtId="14" fontId="0" fillId="2" borderId="51" xfId="0" applyNumberFormat="1" applyFont="1" applyFill="1" applyBorder="1" applyAlignment="1">
      <alignment horizontal="center" vertical="center"/>
    </xf>
    <xf numFmtId="0" fontId="0" fillId="2" borderId="51" xfId="0" applyFont="1" applyFill="1" applyBorder="1" applyAlignment="1">
      <alignment horizontal="center"/>
    </xf>
    <xf numFmtId="0" fontId="0" fillId="2" borderId="52" xfId="0" applyFont="1" applyFill="1" applyBorder="1" applyAlignment="1">
      <alignment horizontal="center"/>
    </xf>
    <xf numFmtId="0" fontId="0" fillId="2" borderId="0" xfId="0" applyFont="1" applyFill="1"/>
    <xf numFmtId="0" fontId="0" fillId="2" borderId="0" xfId="0" applyFont="1" applyFill="1" applyAlignment="1">
      <alignment horizontal="center" vertical="center"/>
    </xf>
    <xf numFmtId="3" fontId="0" fillId="2" borderId="0" xfId="0" applyNumberFormat="1" applyFont="1" applyFill="1" applyAlignment="1">
      <alignment horizontal="center" vertical="center"/>
    </xf>
    <xf numFmtId="3" fontId="6" fillId="3" borderId="5" xfId="0" applyNumberFormat="1" applyFont="1" applyFill="1" applyBorder="1" applyAlignment="1">
      <alignment horizontal="center" vertical="center"/>
    </xf>
    <xf numFmtId="0" fontId="0" fillId="3" borderId="5" xfId="0" applyFont="1" applyFill="1" applyBorder="1" applyAlignment="1">
      <alignment vertical="center"/>
    </xf>
    <xf numFmtId="0" fontId="0" fillId="3" borderId="5" xfId="0" applyFont="1" applyFill="1" applyBorder="1"/>
    <xf numFmtId="3" fontId="0" fillId="3" borderId="5" xfId="0" applyNumberFormat="1" applyFont="1" applyFill="1" applyBorder="1" applyAlignment="1">
      <alignment horizontal="center" vertical="center"/>
    </xf>
    <xf numFmtId="2" fontId="6" fillId="3" borderId="5" xfId="3" applyNumberFormat="1" applyFont="1" applyFill="1" applyBorder="1" applyAlignment="1">
      <alignment horizontal="center" vertical="center"/>
    </xf>
    <xf numFmtId="2" fontId="6" fillId="3" borderId="5" xfId="3" applyNumberFormat="1" applyFont="1" applyFill="1" applyBorder="1" applyAlignment="1">
      <alignment horizontal="left" vertical="top" wrapText="1" indent="1"/>
    </xf>
    <xf numFmtId="4" fontId="6" fillId="3" borderId="14" xfId="3" applyNumberFormat="1" applyFont="1" applyFill="1" applyBorder="1" applyAlignment="1">
      <alignment horizontal="right" vertical="top"/>
    </xf>
    <xf numFmtId="4" fontId="6" fillId="3" borderId="16" xfId="3" applyNumberFormat="1" applyFont="1" applyFill="1" applyBorder="1" applyAlignment="1">
      <alignment horizontal="right" vertical="top"/>
    </xf>
    <xf numFmtId="4" fontId="6" fillId="3" borderId="5" xfId="3" applyNumberFormat="1" applyFont="1" applyFill="1" applyBorder="1" applyAlignment="1">
      <alignment horizontal="right" vertical="top"/>
    </xf>
    <xf numFmtId="4" fontId="4" fillId="12" borderId="5" xfId="3" applyNumberFormat="1" applyFont="1" applyFill="1" applyBorder="1" applyAlignment="1">
      <alignment horizontal="center" vertical="center"/>
    </xf>
    <xf numFmtId="2" fontId="4" fillId="11" borderId="5" xfId="3" applyNumberFormat="1" applyFont="1" applyFill="1" applyBorder="1" applyAlignment="1">
      <alignment horizontal="center" vertical="center"/>
    </xf>
    <xf numFmtId="2" fontId="4" fillId="11" borderId="5" xfId="3" applyNumberFormat="1" applyFont="1" applyFill="1" applyBorder="1" applyAlignment="1">
      <alignment vertical="top" wrapText="1"/>
    </xf>
    <xf numFmtId="4" fontId="4" fillId="11" borderId="5" xfId="3" applyNumberFormat="1" applyFont="1" applyFill="1" applyBorder="1" applyAlignment="1">
      <alignment horizontal="right" vertical="top"/>
    </xf>
    <xf numFmtId="4" fontId="4" fillId="11" borderId="5" xfId="3" applyNumberFormat="1" applyFont="1" applyFill="1" applyBorder="1" applyAlignment="1">
      <alignment horizontal="center" vertical="center"/>
    </xf>
    <xf numFmtId="0" fontId="0" fillId="12" borderId="5" xfId="0" applyFont="1" applyFill="1" applyBorder="1" applyAlignment="1">
      <alignment horizontal="center" vertical="center"/>
    </xf>
    <xf numFmtId="0" fontId="0" fillId="12" borderId="5" xfId="0" applyFont="1" applyFill="1" applyBorder="1"/>
    <xf numFmtId="2" fontId="4" fillId="12" borderId="5" xfId="3" applyNumberFormat="1" applyFont="1" applyFill="1" applyBorder="1" applyAlignment="1">
      <alignment horizontal="center" vertical="center"/>
    </xf>
    <xf numFmtId="2" fontId="4" fillId="12" borderId="5" xfId="3" applyNumberFormat="1" applyFont="1" applyFill="1" applyBorder="1" applyAlignment="1">
      <alignment vertical="top" wrapText="1"/>
    </xf>
    <xf numFmtId="4" fontId="4" fillId="12" borderId="5" xfId="3" applyNumberFormat="1" applyFont="1" applyFill="1" applyBorder="1" applyAlignment="1">
      <alignment horizontal="right" vertical="top"/>
    </xf>
    <xf numFmtId="0" fontId="4" fillId="11" borderId="5" xfId="3" applyFont="1" applyFill="1" applyBorder="1" applyAlignment="1">
      <alignment horizontal="center" vertical="center"/>
    </xf>
    <xf numFmtId="0" fontId="4" fillId="11" borderId="5" xfId="3" applyFont="1" applyFill="1" applyBorder="1" applyAlignment="1">
      <alignment horizontal="left" wrapText="1"/>
    </xf>
    <xf numFmtId="4" fontId="4" fillId="11" borderId="5" xfId="3" applyNumberFormat="1" applyFont="1" applyFill="1" applyBorder="1" applyAlignment="1">
      <alignment horizontal="right"/>
    </xf>
    <xf numFmtId="0" fontId="0" fillId="2" borderId="0" xfId="0" applyFont="1" applyFill="1" applyAlignment="1">
      <alignment wrapText="1"/>
    </xf>
    <xf numFmtId="4" fontId="4" fillId="11" borderId="5" xfId="3" applyNumberFormat="1" applyFont="1" applyFill="1" applyBorder="1" applyAlignment="1">
      <alignment horizontal="right" wrapText="1"/>
    </xf>
    <xf numFmtId="4" fontId="4" fillId="12" borderId="5" xfId="3" applyNumberFormat="1" applyFont="1" applyFill="1" applyBorder="1" applyAlignment="1">
      <alignment horizontal="right" vertical="top" wrapText="1"/>
    </xf>
    <xf numFmtId="0" fontId="0" fillId="3" borderId="5" xfId="0" applyFont="1" applyFill="1" applyBorder="1" applyAlignment="1">
      <alignment wrapText="1"/>
    </xf>
    <xf numFmtId="4" fontId="4" fillId="11" borderId="5" xfId="3" applyNumberFormat="1" applyFont="1" applyFill="1" applyBorder="1" applyAlignment="1">
      <alignment horizontal="right" vertical="top" wrapText="1"/>
    </xf>
    <xf numFmtId="0" fontId="0" fillId="12" borderId="5" xfId="0" applyFont="1" applyFill="1" applyBorder="1" applyAlignment="1">
      <alignment wrapText="1"/>
    </xf>
    <xf numFmtId="4" fontId="0" fillId="2" borderId="0" xfId="0" applyNumberFormat="1" applyFont="1" applyFill="1" applyAlignment="1">
      <alignment horizontal="center" vertical="center"/>
    </xf>
    <xf numFmtId="4" fontId="6" fillId="3" borderId="16" xfId="0" applyNumberFormat="1" applyFont="1" applyFill="1" applyBorder="1" applyAlignment="1">
      <alignment horizontal="center" vertical="center"/>
    </xf>
    <xf numFmtId="4" fontId="6" fillId="3" borderId="5" xfId="0" applyNumberFormat="1" applyFont="1" applyFill="1" applyBorder="1" applyAlignment="1">
      <alignment horizontal="center" vertical="center"/>
    </xf>
    <xf numFmtId="4" fontId="0" fillId="3" borderId="5" xfId="0" applyNumberFormat="1" applyFont="1" applyFill="1" applyBorder="1" applyAlignment="1">
      <alignment horizontal="center" vertical="center"/>
    </xf>
    <xf numFmtId="4" fontId="0" fillId="12" borderId="5" xfId="0" applyNumberFormat="1" applyFont="1" applyFill="1" applyBorder="1" applyAlignment="1">
      <alignment horizontal="center" vertical="center"/>
    </xf>
    <xf numFmtId="3" fontId="4" fillId="11" borderId="5" xfId="3" applyNumberFormat="1" applyFont="1" applyFill="1" applyBorder="1" applyAlignment="1">
      <alignment horizontal="center" vertical="center"/>
    </xf>
    <xf numFmtId="3" fontId="4" fillId="12" borderId="5" xfId="3" applyNumberFormat="1" applyFont="1" applyFill="1" applyBorder="1" applyAlignment="1">
      <alignment horizontal="center" vertical="center"/>
    </xf>
    <xf numFmtId="3" fontId="6" fillId="3" borderId="16" xfId="0" applyNumberFormat="1" applyFont="1" applyFill="1" applyBorder="1" applyAlignment="1">
      <alignment horizontal="center" vertical="center"/>
    </xf>
    <xf numFmtId="3" fontId="0" fillId="12" borderId="5" xfId="0" applyNumberFormat="1" applyFont="1" applyFill="1" applyBorder="1" applyAlignment="1">
      <alignment horizontal="center" vertical="center"/>
    </xf>
    <xf numFmtId="0" fontId="13" fillId="2" borderId="0" xfId="0" applyFont="1" applyFill="1"/>
    <xf numFmtId="0" fontId="13" fillId="2" borderId="47" xfId="0" applyFont="1" applyFill="1" applyBorder="1"/>
    <xf numFmtId="0" fontId="13" fillId="2" borderId="50" xfId="0" applyFont="1" applyFill="1" applyBorder="1"/>
    <xf numFmtId="0" fontId="13" fillId="2" borderId="0" xfId="0" applyFont="1" applyFill="1" applyAlignment="1">
      <alignment horizontal="left" vertical="center" wrapText="1"/>
    </xf>
    <xf numFmtId="0" fontId="13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vertical="center"/>
    </xf>
    <xf numFmtId="4" fontId="13" fillId="2" borderId="0" xfId="0" applyNumberFormat="1" applyFont="1" applyFill="1"/>
    <xf numFmtId="4" fontId="13" fillId="2" borderId="0" xfId="0" applyNumberFormat="1" applyFont="1" applyFill="1" applyAlignment="1">
      <alignment horizontal="center" vertical="center" wrapText="1"/>
    </xf>
    <xf numFmtId="176" fontId="15" fillId="3" borderId="5" xfId="0" applyNumberFormat="1" applyFont="1" applyFill="1" applyBorder="1" applyAlignment="1">
      <alignment horizontal="center" vertical="center"/>
    </xf>
    <xf numFmtId="174" fontId="15" fillId="3" borderId="5" xfId="0" applyNumberFormat="1" applyFont="1" applyFill="1" applyBorder="1" applyAlignment="1">
      <alignment horizontal="center" vertical="center" wrapText="1"/>
    </xf>
    <xf numFmtId="175" fontId="15" fillId="3" borderId="5" xfId="0" applyNumberFormat="1" applyFont="1" applyFill="1" applyBorder="1" applyAlignment="1">
      <alignment horizontal="center" vertical="center"/>
    </xf>
    <xf numFmtId="0" fontId="13" fillId="2" borderId="46" xfId="0" applyFont="1" applyFill="1" applyBorder="1"/>
    <xf numFmtId="0" fontId="13" fillId="2" borderId="26" xfId="0" applyFont="1" applyFill="1" applyBorder="1"/>
    <xf numFmtId="0" fontId="14" fillId="2" borderId="0" xfId="0" applyFont="1" applyFill="1" applyBorder="1" applyAlignment="1">
      <alignment horizontal="center" vertical="center" wrapText="1"/>
    </xf>
    <xf numFmtId="0" fontId="13" fillId="2" borderId="0" xfId="2" applyFont="1" applyFill="1" applyBorder="1" applyAlignment="1">
      <alignment horizontal="left" vertical="center" wrapText="1"/>
    </xf>
    <xf numFmtId="0" fontId="16" fillId="2" borderId="0" xfId="0" applyFont="1" applyFill="1"/>
    <xf numFmtId="0" fontId="16" fillId="2" borderId="0" xfId="0" applyFont="1" applyFill="1" applyAlignment="1">
      <alignment horizontal="center" vertical="center"/>
    </xf>
    <xf numFmtId="3" fontId="16" fillId="2" borderId="0" xfId="0" applyNumberFormat="1" applyFont="1" applyFill="1" applyAlignment="1">
      <alignment horizontal="center" vertical="center"/>
    </xf>
    <xf numFmtId="3" fontId="16" fillId="2" borderId="0" xfId="0" applyNumberFormat="1" applyFont="1" applyFill="1" applyAlignment="1">
      <alignment horizontal="center" vertical="center" wrapText="1"/>
    </xf>
    <xf numFmtId="0" fontId="16" fillId="2" borderId="0" xfId="0" applyFont="1" applyFill="1" applyBorder="1"/>
    <xf numFmtId="0" fontId="18" fillId="2" borderId="0" xfId="0" applyFont="1" applyFill="1" applyAlignment="1">
      <alignment horizontal="center"/>
    </xf>
    <xf numFmtId="0" fontId="19" fillId="2" borderId="0" xfId="0" applyFont="1" applyFill="1" applyBorder="1" applyAlignment="1">
      <alignment horizontal="center" vertical="center" wrapText="1"/>
    </xf>
    <xf numFmtId="3" fontId="19" fillId="2" borderId="0" xfId="0" applyNumberFormat="1" applyFont="1" applyFill="1" applyBorder="1" applyAlignment="1">
      <alignment horizontal="center" vertical="center" wrapText="1"/>
    </xf>
    <xf numFmtId="0" fontId="19" fillId="2" borderId="0" xfId="0" applyFont="1" applyFill="1"/>
    <xf numFmtId="166" fontId="19" fillId="2" borderId="0" xfId="0" applyNumberFormat="1" applyFont="1" applyFill="1" applyBorder="1" applyAlignment="1">
      <alignment horizontal="center" vertical="center" wrapText="1"/>
    </xf>
    <xf numFmtId="0" fontId="16" fillId="10" borderId="5" xfId="0" applyFont="1" applyFill="1" applyBorder="1" applyAlignment="1">
      <alignment horizontal="center" vertical="center"/>
    </xf>
    <xf numFmtId="3" fontId="16" fillId="10" borderId="4" xfId="0" applyNumberFormat="1" applyFont="1" applyFill="1" applyBorder="1" applyAlignment="1">
      <alignment horizontal="center" vertical="center"/>
    </xf>
    <xf numFmtId="3" fontId="16" fillId="10" borderId="6" xfId="0" applyNumberFormat="1" applyFont="1" applyFill="1" applyBorder="1" applyAlignment="1">
      <alignment horizontal="center" vertical="center"/>
    </xf>
    <xf numFmtId="0" fontId="16" fillId="10" borderId="4" xfId="0" applyFont="1" applyFill="1" applyBorder="1" applyAlignment="1">
      <alignment horizontal="center" vertical="center"/>
    </xf>
    <xf numFmtId="0" fontId="16" fillId="3" borderId="5" xfId="0" applyFont="1" applyFill="1" applyBorder="1" applyAlignment="1">
      <alignment horizontal="center" vertical="center"/>
    </xf>
    <xf numFmtId="3" fontId="16" fillId="3" borderId="16" xfId="0" applyNumberFormat="1" applyFont="1" applyFill="1" applyBorder="1" applyAlignment="1">
      <alignment horizontal="center" vertical="center"/>
    </xf>
    <xf numFmtId="9" fontId="16" fillId="3" borderId="5" xfId="0" applyNumberFormat="1" applyFont="1" applyFill="1" applyBorder="1" applyAlignment="1">
      <alignment horizontal="center" vertical="center"/>
    </xf>
    <xf numFmtId="14" fontId="16" fillId="3" borderId="5" xfId="0" applyNumberFormat="1" applyFont="1" applyFill="1" applyBorder="1" applyAlignment="1">
      <alignment horizontal="center" vertical="center"/>
    </xf>
    <xf numFmtId="3" fontId="16" fillId="3" borderId="4" xfId="0" applyNumberFormat="1" applyFont="1" applyFill="1" applyBorder="1" applyAlignment="1">
      <alignment horizontal="center" vertical="center"/>
    </xf>
    <xf numFmtId="3" fontId="16" fillId="3" borderId="6" xfId="0" applyNumberFormat="1" applyFont="1" applyFill="1" applyBorder="1" applyAlignment="1">
      <alignment horizontal="center" vertical="center"/>
    </xf>
    <xf numFmtId="0" fontId="16" fillId="3" borderId="4" xfId="0" applyFont="1" applyFill="1" applyBorder="1" applyAlignment="1">
      <alignment horizontal="center" vertical="center"/>
    </xf>
    <xf numFmtId="0" fontId="16" fillId="3" borderId="16" xfId="0" applyFont="1" applyFill="1" applyBorder="1" applyAlignment="1">
      <alignment horizontal="center" vertical="center"/>
    </xf>
    <xf numFmtId="0" fontId="16" fillId="3" borderId="5" xfId="0" applyFont="1" applyFill="1" applyBorder="1"/>
    <xf numFmtId="0" fontId="16" fillId="5" borderId="5" xfId="0" applyFont="1" applyFill="1" applyBorder="1" applyAlignment="1">
      <alignment horizontal="center" vertical="center"/>
    </xf>
    <xf numFmtId="3" fontId="16" fillId="5" borderId="4" xfId="0" applyNumberFormat="1" applyFont="1" applyFill="1" applyBorder="1" applyAlignment="1">
      <alignment horizontal="center" vertical="center"/>
    </xf>
    <xf numFmtId="3" fontId="16" fillId="5" borderId="6" xfId="0" applyNumberFormat="1" applyFont="1" applyFill="1" applyBorder="1" applyAlignment="1">
      <alignment horizontal="center" vertical="center"/>
    </xf>
    <xf numFmtId="0" fontId="16" fillId="5" borderId="4" xfId="0" applyFont="1" applyFill="1" applyBorder="1" applyAlignment="1">
      <alignment horizontal="center" vertical="center"/>
    </xf>
    <xf numFmtId="3" fontId="17" fillId="2" borderId="31" xfId="0" applyNumberFormat="1" applyFont="1" applyFill="1" applyBorder="1" applyAlignment="1">
      <alignment horizontal="center" vertical="center"/>
    </xf>
    <xf numFmtId="3" fontId="17" fillId="2" borderId="22" xfId="0" applyNumberFormat="1" applyFont="1" applyFill="1" applyBorder="1" applyAlignment="1">
      <alignment horizontal="center" vertical="center"/>
    </xf>
    <xf numFmtId="0" fontId="17" fillId="2" borderId="19" xfId="0" applyFont="1" applyFill="1" applyBorder="1" applyAlignment="1">
      <alignment horizontal="center" vertical="center"/>
    </xf>
    <xf numFmtId="4" fontId="17" fillId="2" borderId="19" xfId="0" applyNumberFormat="1" applyFont="1" applyFill="1" applyBorder="1" applyAlignment="1">
      <alignment horizontal="center" vertical="center"/>
    </xf>
    <xf numFmtId="4" fontId="17" fillId="2" borderId="22" xfId="0" applyNumberFormat="1" applyFont="1" applyFill="1" applyBorder="1" applyAlignment="1">
      <alignment horizontal="center" vertical="center"/>
    </xf>
    <xf numFmtId="0" fontId="16" fillId="2" borderId="0" xfId="0" applyFont="1" applyFill="1" applyAlignment="1">
      <alignment horizontal="left" vertical="center"/>
    </xf>
    <xf numFmtId="3" fontId="16" fillId="4" borderId="8" xfId="0" applyNumberFormat="1" applyFont="1" applyFill="1" applyBorder="1" applyAlignment="1">
      <alignment horizontal="center" vertical="center"/>
    </xf>
    <xf numFmtId="3" fontId="17" fillId="4" borderId="9" xfId="0" applyNumberFormat="1" applyFont="1" applyFill="1" applyBorder="1" applyAlignment="1">
      <alignment horizontal="center" vertical="center"/>
    </xf>
    <xf numFmtId="0" fontId="16" fillId="4" borderId="7" xfId="0" applyFont="1" applyFill="1" applyBorder="1" applyAlignment="1">
      <alignment horizontal="center" vertical="center"/>
    </xf>
    <xf numFmtId="4" fontId="17" fillId="4" borderId="7" xfId="0" applyNumberFormat="1" applyFont="1" applyFill="1" applyBorder="1" applyAlignment="1">
      <alignment horizontal="center" vertical="center"/>
    </xf>
    <xf numFmtId="4" fontId="17" fillId="4" borderId="9" xfId="0" applyNumberFormat="1" applyFont="1" applyFill="1" applyBorder="1" applyAlignment="1">
      <alignment horizontal="center" vertical="center"/>
    </xf>
    <xf numFmtId="0" fontId="16" fillId="3" borderId="0" xfId="0" applyFont="1" applyFill="1"/>
    <xf numFmtId="4" fontId="16" fillId="2" borderId="0" xfId="0" applyNumberFormat="1" applyFont="1" applyFill="1" applyAlignment="1">
      <alignment horizontal="center" vertical="center"/>
    </xf>
    <xf numFmtId="3" fontId="22" fillId="2" borderId="0" xfId="0" applyNumberFormat="1" applyFont="1" applyFill="1" applyBorder="1" applyAlignment="1">
      <alignment horizontal="center" vertical="center"/>
    </xf>
    <xf numFmtId="4" fontId="21" fillId="2" borderId="0" xfId="0" applyNumberFormat="1" applyFont="1" applyFill="1" applyBorder="1" applyAlignment="1" applyProtection="1">
      <alignment horizontal="center" vertical="center"/>
    </xf>
    <xf numFmtId="0" fontId="19" fillId="2" borderId="0" xfId="0" applyFont="1" applyFill="1" applyBorder="1"/>
    <xf numFmtId="0" fontId="25" fillId="2" borderId="0" xfId="0" applyFont="1" applyFill="1"/>
    <xf numFmtId="0" fontId="25" fillId="2" borderId="0" xfId="0" applyFont="1" applyFill="1" applyAlignment="1">
      <alignment horizontal="center"/>
    </xf>
    <xf numFmtId="0" fontId="8" fillId="5" borderId="47" xfId="0" applyFont="1" applyFill="1" applyBorder="1" applyAlignment="1">
      <alignment horizontal="left" vertical="center"/>
    </xf>
    <xf numFmtId="0" fontId="8" fillId="5" borderId="0" xfId="0" applyFont="1" applyFill="1" applyBorder="1" applyAlignment="1">
      <alignment horizontal="left" vertical="center"/>
    </xf>
    <xf numFmtId="0" fontId="8" fillId="5" borderId="0" xfId="0" applyFont="1" applyFill="1" applyBorder="1" applyAlignment="1">
      <alignment horizontal="left"/>
    </xf>
    <xf numFmtId="0" fontId="8" fillId="5" borderId="0" xfId="0" applyFont="1" applyFill="1" applyBorder="1" applyAlignment="1">
      <alignment horizontal="center"/>
    </xf>
    <xf numFmtId="0" fontId="8" fillId="5" borderId="0" xfId="0" applyFont="1" applyFill="1" applyBorder="1"/>
    <xf numFmtId="0" fontId="8" fillId="5" borderId="0" xfId="0" applyFont="1" applyFill="1" applyBorder="1" applyAlignment="1">
      <alignment horizontal="center" vertical="center"/>
    </xf>
    <xf numFmtId="0" fontId="8" fillId="5" borderId="48" xfId="0" applyFont="1" applyFill="1" applyBorder="1" applyAlignment="1">
      <alignment horizontal="center" vertical="center"/>
    </xf>
    <xf numFmtId="0" fontId="8" fillId="3" borderId="49" xfId="0" applyFont="1" applyFill="1" applyBorder="1" applyAlignment="1">
      <alignment horizontal="center" vertical="center" wrapText="1"/>
    </xf>
    <xf numFmtId="178" fontId="8" fillId="3" borderId="49" xfId="0" applyNumberFormat="1" applyFont="1" applyFill="1" applyBorder="1" applyAlignment="1">
      <alignment horizontal="right" vertical="center" wrapText="1"/>
    </xf>
    <xf numFmtId="9" fontId="8" fillId="5" borderId="0" xfId="1" applyFont="1" applyFill="1" applyBorder="1"/>
    <xf numFmtId="0" fontId="8" fillId="5" borderId="50" xfId="0" applyFont="1" applyFill="1" applyBorder="1" applyAlignment="1">
      <alignment horizontal="left" vertical="center"/>
    </xf>
    <xf numFmtId="0" fontId="8" fillId="5" borderId="51" xfId="0" applyFont="1" applyFill="1" applyBorder="1" applyAlignment="1">
      <alignment horizontal="left" vertical="center"/>
    </xf>
    <xf numFmtId="0" fontId="8" fillId="5" borderId="51" xfId="0" applyFont="1" applyFill="1" applyBorder="1" applyAlignment="1">
      <alignment horizontal="left"/>
    </xf>
    <xf numFmtId="0" fontId="8" fillId="5" borderId="51" xfId="0" applyFont="1" applyFill="1" applyBorder="1" applyAlignment="1">
      <alignment horizontal="center"/>
    </xf>
    <xf numFmtId="0" fontId="8" fillId="5" borderId="51" xfId="0" applyFont="1" applyFill="1" applyBorder="1"/>
    <xf numFmtId="0" fontId="8" fillId="5" borderId="51" xfId="0" applyFont="1" applyFill="1" applyBorder="1" applyAlignment="1">
      <alignment horizontal="center" vertical="center"/>
    </xf>
    <xf numFmtId="0" fontId="8" fillId="5" borderId="52" xfId="0" applyFont="1" applyFill="1" applyBorder="1" applyAlignment="1">
      <alignment horizontal="center" vertical="center"/>
    </xf>
    <xf numFmtId="0" fontId="28" fillId="4" borderId="5" xfId="0" applyFont="1" applyFill="1" applyBorder="1" applyAlignment="1">
      <alignment horizontal="center" vertical="center"/>
    </xf>
    <xf numFmtId="17" fontId="28" fillId="4" borderId="16" xfId="0" applyNumberFormat="1" applyFont="1" applyFill="1" applyBorder="1" applyAlignment="1">
      <alignment horizontal="center" vertical="center" wrapText="1"/>
    </xf>
    <xf numFmtId="17" fontId="28" fillId="4" borderId="5" xfId="0" applyNumberFormat="1" applyFont="1" applyFill="1" applyBorder="1" applyAlignment="1">
      <alignment horizontal="center" vertical="center" wrapText="1"/>
    </xf>
    <xf numFmtId="0" fontId="25" fillId="3" borderId="5" xfId="0" applyNumberFormat="1" applyFont="1" applyFill="1" applyBorder="1" applyAlignment="1">
      <alignment horizontal="center" vertical="center" wrapText="1"/>
    </xf>
    <xf numFmtId="0" fontId="25" fillId="3" borderId="14" xfId="0" applyNumberFormat="1" applyFont="1" applyFill="1" applyBorder="1" applyAlignment="1">
      <alignment vertical="top" wrapText="1"/>
    </xf>
    <xf numFmtId="164" fontId="25" fillId="3" borderId="4" xfId="0" applyNumberFormat="1" applyFont="1" applyFill="1" applyBorder="1" applyAlignment="1">
      <alignment horizontal="center" wrapText="1"/>
    </xf>
    <xf numFmtId="164" fontId="25" fillId="3" borderId="6" xfId="0" applyNumberFormat="1" applyFont="1" applyFill="1" applyBorder="1" applyAlignment="1">
      <alignment horizontal="center" wrapText="1"/>
    </xf>
    <xf numFmtId="0" fontId="29" fillId="9" borderId="16" xfId="0" applyNumberFormat="1" applyFont="1" applyFill="1" applyBorder="1" applyAlignment="1">
      <alignment vertical="center" wrapText="1"/>
    </xf>
    <xf numFmtId="0" fontId="29" fillId="9" borderId="5" xfId="0" applyNumberFormat="1" applyFont="1" applyFill="1" applyBorder="1" applyAlignment="1">
      <alignment vertical="center" wrapText="1"/>
    </xf>
    <xf numFmtId="0" fontId="25" fillId="2" borderId="0" xfId="0" applyFont="1" applyFill="1" applyBorder="1"/>
    <xf numFmtId="0" fontId="25" fillId="3" borderId="5" xfId="0" applyFont="1" applyFill="1" applyBorder="1" applyAlignment="1">
      <alignment horizontal="center" vertical="center"/>
    </xf>
    <xf numFmtId="0" fontId="25" fillId="6" borderId="5" xfId="0" applyNumberFormat="1" applyFont="1" applyFill="1" applyBorder="1" applyAlignment="1">
      <alignment horizontal="center" vertical="center" wrapText="1"/>
    </xf>
    <xf numFmtId="0" fontId="30" fillId="6" borderId="14" xfId="0" applyNumberFormat="1" applyFont="1" applyFill="1" applyBorder="1" applyAlignment="1">
      <alignment vertical="center" wrapText="1"/>
    </xf>
    <xf numFmtId="164" fontId="25" fillId="6" borderId="4" xfId="0" applyNumberFormat="1" applyFont="1" applyFill="1" applyBorder="1" applyAlignment="1">
      <alignment horizontal="center" wrapText="1"/>
    </xf>
    <xf numFmtId="164" fontId="25" fillId="6" borderId="6" xfId="0" applyNumberFormat="1" applyFont="1" applyFill="1" applyBorder="1" applyAlignment="1">
      <alignment horizontal="center" wrapText="1"/>
    </xf>
    <xf numFmtId="0" fontId="28" fillId="6" borderId="16" xfId="0" applyNumberFormat="1" applyFont="1" applyFill="1" applyBorder="1" applyAlignment="1">
      <alignment vertical="center" wrapText="1"/>
    </xf>
    <xf numFmtId="0" fontId="28" fillId="6" borderId="5" xfId="0" applyNumberFormat="1" applyFont="1" applyFill="1" applyBorder="1" applyAlignment="1">
      <alignment vertical="center" wrapText="1"/>
    </xf>
    <xf numFmtId="0" fontId="25" fillId="6" borderId="5" xfId="0" applyFont="1" applyFill="1" applyBorder="1"/>
    <xf numFmtId="0" fontId="25" fillId="6" borderId="5" xfId="0" applyFont="1" applyFill="1" applyBorder="1" applyAlignment="1">
      <alignment horizontal="center" vertical="center" wrapText="1"/>
    </xf>
    <xf numFmtId="0" fontId="25" fillId="3" borderId="14" xfId="0" applyNumberFormat="1" applyFont="1" applyFill="1" applyBorder="1" applyAlignment="1">
      <alignment horizontal="left" vertical="center" wrapText="1"/>
    </xf>
    <xf numFmtId="0" fontId="25" fillId="8" borderId="16" xfId="0" applyNumberFormat="1" applyFont="1" applyFill="1" applyBorder="1" applyAlignment="1">
      <alignment horizontal="left" vertical="top" wrapText="1"/>
    </xf>
    <xf numFmtId="0" fontId="25" fillId="8" borderId="5" xfId="0" applyNumberFormat="1" applyFont="1" applyFill="1" applyBorder="1" applyAlignment="1">
      <alignment horizontal="left" vertical="top" wrapText="1"/>
    </xf>
    <xf numFmtId="0" fontId="25" fillId="3" borderId="5" xfId="0" applyNumberFormat="1" applyFont="1" applyFill="1" applyBorder="1" applyAlignment="1">
      <alignment horizontal="left" vertical="top" wrapText="1"/>
    </xf>
    <xf numFmtId="0" fontId="25" fillId="3" borderId="5" xfId="0" applyFont="1" applyFill="1" applyBorder="1"/>
    <xf numFmtId="0" fontId="25" fillId="3" borderId="16" xfId="0" applyNumberFormat="1" applyFont="1" applyFill="1" applyBorder="1" applyAlignment="1">
      <alignment vertical="top" wrapText="1"/>
    </xf>
    <xf numFmtId="0" fontId="25" fillId="3" borderId="5" xfId="0" applyNumberFormat="1" applyFont="1" applyFill="1" applyBorder="1" applyAlignment="1">
      <alignment vertical="top" wrapText="1"/>
    </xf>
    <xf numFmtId="0" fontId="25" fillId="3" borderId="16" xfId="0" applyNumberFormat="1" applyFont="1" applyFill="1" applyBorder="1" applyAlignment="1">
      <alignment horizontal="left" vertical="top" wrapText="1"/>
    </xf>
    <xf numFmtId="0" fontId="25" fillId="3" borderId="16" xfId="0" applyFont="1" applyFill="1" applyBorder="1"/>
    <xf numFmtId="0" fontId="25" fillId="3" borderId="29" xfId="0" applyNumberFormat="1" applyFont="1" applyFill="1" applyBorder="1" applyAlignment="1">
      <alignment horizontal="left" vertical="center" wrapText="1"/>
    </xf>
    <xf numFmtId="164" fontId="25" fillId="3" borderId="19" xfId="0" applyNumberFormat="1" applyFont="1" applyFill="1" applyBorder="1" applyAlignment="1">
      <alignment horizontal="center" wrapText="1"/>
    </xf>
    <xf numFmtId="164" fontId="25" fillId="3" borderId="22" xfId="0" applyNumberFormat="1" applyFont="1" applyFill="1" applyBorder="1" applyAlignment="1">
      <alignment horizontal="center" wrapText="1"/>
    </xf>
    <xf numFmtId="0" fontId="25" fillId="3" borderId="31" xfId="0" applyFont="1" applyFill="1" applyBorder="1"/>
    <xf numFmtId="0" fontId="25" fillId="3" borderId="13" xfId="0" applyFont="1" applyFill="1" applyBorder="1"/>
    <xf numFmtId="0" fontId="25" fillId="8" borderId="13" xfId="0" applyNumberFormat="1" applyFont="1" applyFill="1" applyBorder="1" applyAlignment="1">
      <alignment horizontal="left" vertical="top" wrapText="1"/>
    </xf>
    <xf numFmtId="0" fontId="25" fillId="6" borderId="2" xfId="0" applyNumberFormat="1" applyFont="1" applyFill="1" applyBorder="1" applyAlignment="1">
      <alignment horizontal="center" vertical="center" wrapText="1"/>
    </xf>
    <xf numFmtId="0" fontId="25" fillId="6" borderId="2" xfId="0" applyNumberFormat="1" applyFont="1" applyFill="1" applyBorder="1" applyAlignment="1">
      <alignment vertical="center" wrapText="1"/>
    </xf>
    <xf numFmtId="164" fontId="25" fillId="6" borderId="2" xfId="0" applyNumberFormat="1" applyFont="1" applyFill="1" applyBorder="1" applyAlignment="1">
      <alignment horizontal="center" wrapText="1"/>
    </xf>
    <xf numFmtId="0" fontId="28" fillId="6" borderId="2" xfId="0" applyNumberFormat="1" applyFont="1" applyFill="1" applyBorder="1" applyAlignment="1">
      <alignment vertical="center" wrapText="1"/>
    </xf>
    <xf numFmtId="0" fontId="25" fillId="6" borderId="2" xfId="0" applyFont="1" applyFill="1" applyBorder="1"/>
    <xf numFmtId="0" fontId="25" fillId="6" borderId="3" xfId="0" applyFont="1" applyFill="1" applyBorder="1" applyAlignment="1">
      <alignment horizontal="center" vertical="center" wrapText="1"/>
    </xf>
    <xf numFmtId="0" fontId="25" fillId="10" borderId="5" xfId="0" applyNumberFormat="1" applyFont="1" applyFill="1" applyBorder="1" applyAlignment="1">
      <alignment horizontal="center" vertical="center" wrapText="1"/>
    </xf>
    <xf numFmtId="0" fontId="25" fillId="10" borderId="5" xfId="0" applyNumberFormat="1" applyFont="1" applyFill="1" applyBorder="1" applyAlignment="1">
      <alignment vertical="center" wrapText="1"/>
    </xf>
    <xf numFmtId="164" fontId="25" fillId="10" borderId="5" xfId="0" applyNumberFormat="1" applyFont="1" applyFill="1" applyBorder="1" applyAlignment="1">
      <alignment horizontal="center" wrapText="1"/>
    </xf>
    <xf numFmtId="0" fontId="28" fillId="10" borderId="5" xfId="0" applyNumberFormat="1" applyFont="1" applyFill="1" applyBorder="1" applyAlignment="1">
      <alignment vertical="center" wrapText="1"/>
    </xf>
    <xf numFmtId="0" fontId="25" fillId="10" borderId="6" xfId="0" applyFont="1" applyFill="1" applyBorder="1" applyAlignment="1">
      <alignment horizontal="center" vertical="center"/>
    </xf>
    <xf numFmtId="0" fontId="25" fillId="3" borderId="14" xfId="0" applyNumberFormat="1" applyFont="1" applyFill="1" applyBorder="1" applyAlignment="1">
      <alignment vertical="center" wrapText="1"/>
    </xf>
    <xf numFmtId="164" fontId="25" fillId="3" borderId="5" xfId="0" applyNumberFormat="1" applyFont="1" applyFill="1" applyBorder="1" applyAlignment="1">
      <alignment horizontal="center" wrapText="1"/>
    </xf>
    <xf numFmtId="0" fontId="25" fillId="8" borderId="5" xfId="0" applyFont="1" applyFill="1" applyBorder="1"/>
    <xf numFmtId="0" fontId="25" fillId="3" borderId="6" xfId="0" applyFont="1" applyFill="1" applyBorder="1"/>
    <xf numFmtId="0" fontId="28" fillId="3" borderId="5" xfId="0" applyNumberFormat="1" applyFont="1" applyFill="1" applyBorder="1" applyAlignment="1">
      <alignment vertical="center" wrapText="1"/>
    </xf>
    <xf numFmtId="0" fontId="25" fillId="10" borderId="5" xfId="0" applyNumberFormat="1" applyFont="1" applyFill="1" applyBorder="1" applyAlignment="1">
      <alignment horizontal="left" vertical="top" wrapText="1"/>
    </xf>
    <xf numFmtId="0" fontId="25" fillId="10" borderId="5" xfId="0" applyFont="1" applyFill="1" applyBorder="1"/>
    <xf numFmtId="0" fontId="25" fillId="10" borderId="6" xfId="0" applyFont="1" applyFill="1" applyBorder="1"/>
    <xf numFmtId="3" fontId="25" fillId="3" borderId="15" xfId="0" applyNumberFormat="1" applyFont="1" applyFill="1" applyBorder="1" applyAlignment="1">
      <alignment vertical="center" wrapText="1"/>
    </xf>
    <xf numFmtId="0" fontId="25" fillId="3" borderId="0" xfId="0" applyFont="1" applyFill="1" applyBorder="1"/>
    <xf numFmtId="0" fontId="25" fillId="10" borderId="6" xfId="0" applyFont="1" applyFill="1" applyBorder="1" applyAlignment="1">
      <alignment horizontal="center" vertical="center" wrapText="1"/>
    </xf>
    <xf numFmtId="3" fontId="25" fillId="3" borderId="15" xfId="0" applyNumberFormat="1" applyFont="1" applyFill="1" applyBorder="1" applyAlignment="1">
      <alignment horizontal="left" vertical="center" wrapText="1"/>
    </xf>
    <xf numFmtId="3" fontId="25" fillId="2" borderId="15" xfId="0" applyNumberFormat="1" applyFont="1" applyFill="1" applyBorder="1" applyAlignment="1">
      <alignment vertical="center" wrapText="1"/>
    </xf>
    <xf numFmtId="0" fontId="25" fillId="14" borderId="5" xfId="0" applyNumberFormat="1" applyFont="1" applyFill="1" applyBorder="1" applyAlignment="1">
      <alignment horizontal="center" vertical="center" wrapText="1"/>
    </xf>
    <xf numFmtId="3" fontId="25" fillId="14" borderId="15" xfId="0" applyNumberFormat="1" applyFont="1" applyFill="1" applyBorder="1" applyAlignment="1">
      <alignment vertical="center" wrapText="1"/>
    </xf>
    <xf numFmtId="164" fontId="25" fillId="14" borderId="5" xfId="0" applyNumberFormat="1" applyFont="1" applyFill="1" applyBorder="1" applyAlignment="1">
      <alignment horizontal="center" wrapText="1"/>
    </xf>
    <xf numFmtId="0" fontId="25" fillId="14" borderId="5" xfId="0" applyNumberFormat="1" applyFont="1" applyFill="1" applyBorder="1" applyAlignment="1">
      <alignment horizontal="left" vertical="top" wrapText="1"/>
    </xf>
    <xf numFmtId="0" fontId="28" fillId="14" borderId="5" xfId="0" applyNumberFormat="1" applyFont="1" applyFill="1" applyBorder="1" applyAlignment="1">
      <alignment vertical="center" wrapText="1"/>
    </xf>
    <xf numFmtId="0" fontId="25" fillId="14" borderId="5" xfId="0" applyFont="1" applyFill="1" applyBorder="1"/>
    <xf numFmtId="0" fontId="25" fillId="14" borderId="6" xfId="0" applyFont="1" applyFill="1" applyBorder="1"/>
    <xf numFmtId="0" fontId="25" fillId="2" borderId="14" xfId="0" applyNumberFormat="1" applyFont="1" applyFill="1" applyBorder="1" applyAlignment="1">
      <alignment vertical="center" wrapText="1"/>
    </xf>
    <xf numFmtId="0" fontId="25" fillId="3" borderId="5" xfId="0" applyNumberFormat="1" applyFont="1" applyFill="1" applyBorder="1" applyAlignment="1">
      <alignment vertical="center" wrapText="1"/>
    </xf>
    <xf numFmtId="0" fontId="25" fillId="6" borderId="35" xfId="0" applyNumberFormat="1" applyFont="1" applyFill="1" applyBorder="1" applyAlignment="1">
      <alignment horizontal="center" vertical="center" wrapText="1"/>
    </xf>
    <xf numFmtId="0" fontId="28" fillId="6" borderId="32" xfId="0" applyNumberFormat="1" applyFont="1" applyFill="1" applyBorder="1" applyAlignment="1">
      <alignment horizontal="left" vertical="center" wrapText="1"/>
    </xf>
    <xf numFmtId="164" fontId="25" fillId="6" borderId="27" xfId="0" applyNumberFormat="1" applyFont="1" applyFill="1" applyBorder="1" applyAlignment="1">
      <alignment horizontal="center" wrapText="1"/>
    </xf>
    <xf numFmtId="164" fontId="25" fillId="6" borderId="28" xfId="0" applyNumberFormat="1" applyFont="1" applyFill="1" applyBorder="1" applyAlignment="1">
      <alignment horizontal="center" wrapText="1"/>
    </xf>
    <xf numFmtId="0" fontId="25" fillId="6" borderId="34" xfId="0" applyFont="1" applyFill="1" applyBorder="1"/>
    <xf numFmtId="0" fontId="25" fillId="6" borderId="35" xfId="0" applyFont="1" applyFill="1" applyBorder="1"/>
    <xf numFmtId="0" fontId="25" fillId="6" borderId="35" xfId="0" applyNumberFormat="1" applyFont="1" applyFill="1" applyBorder="1" applyAlignment="1">
      <alignment vertical="top" wrapText="1"/>
    </xf>
    <xf numFmtId="0" fontId="25" fillId="6" borderId="35" xfId="0" applyFont="1" applyFill="1" applyBorder="1" applyAlignment="1">
      <alignment horizontal="center" vertical="center" wrapText="1"/>
    </xf>
    <xf numFmtId="0" fontId="25" fillId="3" borderId="55" xfId="0" applyNumberFormat="1" applyFont="1" applyFill="1" applyBorder="1" applyAlignment="1">
      <alignment horizontal="left" vertical="center" wrapText="1"/>
    </xf>
    <xf numFmtId="164" fontId="25" fillId="3" borderId="7" xfId="0" applyNumberFormat="1" applyFont="1" applyFill="1" applyBorder="1" applyAlignment="1">
      <alignment horizontal="center" wrapText="1"/>
    </xf>
    <xf numFmtId="164" fontId="25" fillId="3" borderId="9" xfId="0" applyNumberFormat="1" applyFont="1" applyFill="1" applyBorder="1" applyAlignment="1">
      <alignment horizontal="center" wrapText="1"/>
    </xf>
    <xf numFmtId="0" fontId="25" fillId="3" borderId="56" xfId="0" applyFont="1" applyFill="1" applyBorder="1"/>
    <xf numFmtId="0" fontId="25" fillId="3" borderId="8" xfId="0" applyFont="1" applyFill="1" applyBorder="1"/>
    <xf numFmtId="0" fontId="25" fillId="8" borderId="8" xfId="0" applyFont="1" applyFill="1" applyBorder="1"/>
    <xf numFmtId="0" fontId="25" fillId="6" borderId="53" xfId="0" applyNumberFormat="1" applyFont="1" applyFill="1" applyBorder="1" applyAlignment="1">
      <alignment vertical="center" wrapText="1"/>
    </xf>
    <xf numFmtId="164" fontId="25" fillId="6" borderId="1" xfId="0" applyNumberFormat="1" applyFont="1" applyFill="1" applyBorder="1" applyAlignment="1">
      <alignment horizontal="center" wrapText="1"/>
    </xf>
    <xf numFmtId="164" fontId="25" fillId="6" borderId="3" xfId="0" applyNumberFormat="1" applyFont="1" applyFill="1" applyBorder="1" applyAlignment="1">
      <alignment horizontal="center" wrapText="1"/>
    </xf>
    <xf numFmtId="0" fontId="25" fillId="6" borderId="54" xfId="0" applyFont="1" applyFill="1" applyBorder="1"/>
    <xf numFmtId="0" fontId="25" fillId="6" borderId="2" xfId="0" applyFont="1" applyFill="1" applyBorder="1" applyAlignment="1">
      <alignment horizontal="center" vertical="center" wrapText="1"/>
    </xf>
    <xf numFmtId="0" fontId="31" fillId="10" borderId="15" xfId="0" applyFont="1" applyFill="1" applyBorder="1" applyAlignment="1">
      <alignment horizontal="justify" vertical="center"/>
    </xf>
    <xf numFmtId="164" fontId="25" fillId="10" borderId="4" xfId="0" applyNumberFormat="1" applyFont="1" applyFill="1" applyBorder="1" applyAlignment="1">
      <alignment horizontal="center" wrapText="1"/>
    </xf>
    <xf numFmtId="164" fontId="25" fillId="10" borderId="6" xfId="0" applyNumberFormat="1" applyFont="1" applyFill="1" applyBorder="1" applyAlignment="1">
      <alignment horizontal="center" wrapText="1"/>
    </xf>
    <xf numFmtId="0" fontId="25" fillId="10" borderId="16" xfId="0" applyFont="1" applyFill="1" applyBorder="1"/>
    <xf numFmtId="0" fontId="25" fillId="10" borderId="5" xfId="0" applyFont="1" applyFill="1" applyBorder="1" applyAlignment="1">
      <alignment horizontal="center" vertical="center"/>
    </xf>
    <xf numFmtId="0" fontId="31" fillId="3" borderId="15" xfId="0" applyFont="1" applyFill="1" applyBorder="1" applyAlignment="1">
      <alignment horizontal="justify" vertical="center"/>
    </xf>
    <xf numFmtId="0" fontId="25" fillId="3" borderId="35" xfId="0" applyNumberFormat="1" applyFont="1" applyFill="1" applyBorder="1" applyAlignment="1">
      <alignment horizontal="center" vertical="center" wrapText="1"/>
    </xf>
    <xf numFmtId="0" fontId="31" fillId="3" borderId="33" xfId="0" applyFont="1" applyFill="1" applyBorder="1" applyAlignment="1">
      <alignment horizontal="justify" vertical="center"/>
    </xf>
    <xf numFmtId="164" fontId="25" fillId="3" borderId="27" xfId="0" applyNumberFormat="1" applyFont="1" applyFill="1" applyBorder="1" applyAlignment="1">
      <alignment horizontal="center" wrapText="1"/>
    </xf>
    <xf numFmtId="164" fontId="25" fillId="3" borderId="28" xfId="0" applyNumberFormat="1" applyFont="1" applyFill="1" applyBorder="1" applyAlignment="1">
      <alignment horizontal="center" wrapText="1"/>
    </xf>
    <xf numFmtId="0" fontId="25" fillId="3" borderId="34" xfId="0" applyFont="1" applyFill="1" applyBorder="1"/>
    <xf numFmtId="0" fontId="25" fillId="3" borderId="35" xfId="0" applyFont="1" applyFill="1" applyBorder="1"/>
    <xf numFmtId="0" fontId="25" fillId="3" borderId="35" xfId="0" applyFont="1" applyFill="1" applyBorder="1" applyAlignment="1">
      <alignment horizontal="center" vertical="center"/>
    </xf>
    <xf numFmtId="0" fontId="28" fillId="6" borderId="54" xfId="0" applyNumberFormat="1" applyFont="1" applyFill="1" applyBorder="1" applyAlignment="1">
      <alignment vertical="center" wrapText="1"/>
    </xf>
    <xf numFmtId="3" fontId="31" fillId="10" borderId="14" xfId="0" applyNumberFormat="1" applyFont="1" applyFill="1" applyBorder="1" applyAlignment="1">
      <alignment horizontal="left" vertical="center" wrapText="1"/>
    </xf>
    <xf numFmtId="0" fontId="28" fillId="10" borderId="16" xfId="0" applyNumberFormat="1" applyFont="1" applyFill="1" applyBorder="1" applyAlignment="1">
      <alignment vertical="center" wrapText="1"/>
    </xf>
    <xf numFmtId="3" fontId="32" fillId="3" borderId="14" xfId="0" applyNumberFormat="1" applyFont="1" applyFill="1" applyBorder="1" applyAlignment="1">
      <alignment horizontal="left" vertical="center" wrapText="1"/>
    </xf>
    <xf numFmtId="0" fontId="28" fillId="3" borderId="16" xfId="0" applyNumberFormat="1" applyFont="1" applyFill="1" applyBorder="1" applyAlignment="1">
      <alignment vertical="center" wrapText="1"/>
    </xf>
    <xf numFmtId="0" fontId="25" fillId="3" borderId="6" xfId="0" applyFont="1" applyFill="1" applyBorder="1" applyAlignment="1">
      <alignment horizontal="center" vertical="center"/>
    </xf>
    <xf numFmtId="3" fontId="32" fillId="3" borderId="14" xfId="1" applyNumberFormat="1" applyFont="1" applyFill="1" applyBorder="1" applyAlignment="1">
      <alignment vertical="center" wrapText="1"/>
    </xf>
    <xf numFmtId="3" fontId="31" fillId="3" borderId="14" xfId="0" applyNumberFormat="1" applyFont="1" applyFill="1" applyBorder="1" applyAlignment="1">
      <alignment horizontal="left" vertical="center" wrapText="1"/>
    </xf>
    <xf numFmtId="0" fontId="25" fillId="3" borderId="13" xfId="0" applyNumberFormat="1" applyFont="1" applyFill="1" applyBorder="1" applyAlignment="1">
      <alignment horizontal="center" vertical="center" wrapText="1"/>
    </xf>
    <xf numFmtId="3" fontId="31" fillId="3" borderId="29" xfId="0" applyNumberFormat="1" applyFont="1" applyFill="1" applyBorder="1" applyAlignment="1">
      <alignment horizontal="left" vertical="center" wrapText="1"/>
    </xf>
    <xf numFmtId="0" fontId="25" fillId="3" borderId="22" xfId="0" applyFont="1" applyFill="1" applyBorder="1"/>
    <xf numFmtId="0" fontId="25" fillId="10" borderId="8" xfId="0" applyFont="1" applyFill="1" applyBorder="1" applyAlignment="1">
      <alignment horizontal="center" vertical="center"/>
    </xf>
    <xf numFmtId="3" fontId="31" fillId="10" borderId="55" xfId="0" applyNumberFormat="1" applyFont="1" applyFill="1" applyBorder="1" applyAlignment="1">
      <alignment horizontal="left" vertical="center" wrapText="1"/>
    </xf>
    <xf numFmtId="0" fontId="25" fillId="10" borderId="7" xfId="0" applyFont="1" applyFill="1" applyBorder="1"/>
    <xf numFmtId="0" fontId="25" fillId="10" borderId="9" xfId="0" applyFont="1" applyFill="1" applyBorder="1"/>
    <xf numFmtId="0" fontId="25" fillId="10" borderId="56" xfId="0" applyFont="1" applyFill="1" applyBorder="1"/>
    <xf numFmtId="0" fontId="25" fillId="10" borderId="8" xfId="0" applyFont="1" applyFill="1" applyBorder="1"/>
    <xf numFmtId="0" fontId="25" fillId="2" borderId="0" xfId="0" applyFont="1" applyFill="1" applyBorder="1" applyAlignment="1">
      <alignment horizontal="center"/>
    </xf>
    <xf numFmtId="0" fontId="19" fillId="3" borderId="49" xfId="0" applyFont="1" applyFill="1" applyBorder="1" applyAlignment="1">
      <alignment horizontal="center" vertical="center" wrapText="1"/>
    </xf>
    <xf numFmtId="0" fontId="16" fillId="3" borderId="49" xfId="0" applyFont="1" applyFill="1" applyBorder="1" applyAlignment="1">
      <alignment horizontal="center" vertical="center"/>
    </xf>
    <xf numFmtId="0" fontId="12" fillId="3" borderId="5" xfId="0" applyFont="1" applyFill="1" applyBorder="1" applyAlignment="1">
      <alignment horizontal="center" vertical="center"/>
    </xf>
    <xf numFmtId="0" fontId="13" fillId="3" borderId="5" xfId="0" applyFont="1" applyFill="1" applyBorder="1" applyAlignment="1">
      <alignment horizontal="center" vertical="center"/>
    </xf>
    <xf numFmtId="0" fontId="13" fillId="3" borderId="5" xfId="0" applyFont="1" applyFill="1" applyBorder="1" applyAlignment="1">
      <alignment horizontal="left" vertical="center" wrapText="1"/>
    </xf>
    <xf numFmtId="0" fontId="13" fillId="3" borderId="5" xfId="0" applyFont="1" applyFill="1" applyBorder="1" applyAlignment="1">
      <alignment horizontal="center" vertical="center" wrapText="1"/>
    </xf>
    <xf numFmtId="14" fontId="13" fillId="3" borderId="5" xfId="0" applyNumberFormat="1" applyFont="1" applyFill="1" applyBorder="1" applyAlignment="1">
      <alignment horizontal="center" vertical="center"/>
    </xf>
    <xf numFmtId="4" fontId="12" fillId="3" borderId="5" xfId="0" applyNumberFormat="1" applyFont="1" applyFill="1" applyBorder="1" applyAlignment="1">
      <alignment horizontal="center" vertical="center"/>
    </xf>
    <xf numFmtId="0" fontId="13" fillId="2" borderId="45" xfId="0" applyFont="1" applyFill="1" applyBorder="1"/>
    <xf numFmtId="0" fontId="13" fillId="2" borderId="46" xfId="0" applyFont="1" applyFill="1" applyBorder="1" applyAlignment="1">
      <alignment horizontal="left" vertical="center" wrapText="1"/>
    </xf>
    <xf numFmtId="179" fontId="16" fillId="2" borderId="0" xfId="1" applyNumberFormat="1" applyFont="1" applyFill="1" applyAlignment="1">
      <alignment horizontal="center" vertical="center"/>
    </xf>
    <xf numFmtId="0" fontId="4" fillId="13" borderId="13" xfId="3" applyFont="1" applyFill="1" applyBorder="1" applyAlignment="1">
      <alignment horizontal="center" vertical="center" wrapText="1"/>
    </xf>
    <xf numFmtId="3" fontId="4" fillId="13" borderId="13" xfId="3" applyNumberFormat="1" applyFont="1" applyFill="1" applyBorder="1" applyAlignment="1">
      <alignment horizontal="center" vertical="center" wrapText="1"/>
    </xf>
    <xf numFmtId="4" fontId="4" fillId="13" borderId="13" xfId="3" applyNumberFormat="1" applyFont="1" applyFill="1" applyBorder="1" applyAlignment="1">
      <alignment horizontal="center" vertical="center" wrapText="1"/>
    </xf>
    <xf numFmtId="0" fontId="4" fillId="13" borderId="35" xfId="3" applyFont="1" applyFill="1" applyBorder="1" applyAlignment="1">
      <alignment horizontal="center" vertical="center" wrapText="1"/>
    </xf>
    <xf numFmtId="3" fontId="4" fillId="13" borderId="35" xfId="3" applyNumberFormat="1" applyFont="1" applyFill="1" applyBorder="1" applyAlignment="1">
      <alignment horizontal="center" vertical="center" wrapText="1"/>
    </xf>
    <xf numFmtId="4" fontId="4" fillId="13" borderId="35" xfId="3" applyNumberFormat="1" applyFont="1" applyFill="1" applyBorder="1" applyAlignment="1">
      <alignment horizontal="center" vertical="center" wrapText="1"/>
    </xf>
    <xf numFmtId="0" fontId="4" fillId="13" borderId="5" xfId="3" applyFont="1" applyFill="1" applyBorder="1" applyAlignment="1">
      <alignment horizontal="center" vertical="center" wrapText="1"/>
    </xf>
    <xf numFmtId="0" fontId="4" fillId="15" borderId="5" xfId="3" applyFont="1" applyFill="1" applyBorder="1" applyAlignment="1">
      <alignment horizontal="center" vertical="center"/>
    </xf>
    <xf numFmtId="49" fontId="4" fillId="15" borderId="5" xfId="3" applyNumberFormat="1" applyFont="1" applyFill="1" applyBorder="1" applyAlignment="1">
      <alignment horizontal="left" vertical="center"/>
    </xf>
    <xf numFmtId="4" fontId="4" fillId="15" borderId="5" xfId="3" applyNumberFormat="1" applyFont="1" applyFill="1" applyBorder="1" applyAlignment="1">
      <alignment horizontal="right" vertical="center"/>
    </xf>
    <xf numFmtId="4" fontId="4" fillId="15" borderId="5" xfId="3" applyNumberFormat="1" applyFont="1" applyFill="1" applyBorder="1" applyAlignment="1">
      <alignment horizontal="center" vertical="center"/>
    </xf>
    <xf numFmtId="4" fontId="4" fillId="15" borderId="5" xfId="3" applyNumberFormat="1" applyFont="1" applyFill="1" applyBorder="1" applyAlignment="1">
      <alignment horizontal="right" vertical="center" wrapText="1"/>
    </xf>
    <xf numFmtId="3" fontId="4" fillId="15" borderId="5" xfId="3" applyNumberFormat="1" applyFont="1" applyFill="1" applyBorder="1" applyAlignment="1">
      <alignment horizontal="center" vertical="center"/>
    </xf>
    <xf numFmtId="0" fontId="16" fillId="2" borderId="5" xfId="0" applyFont="1" applyFill="1" applyBorder="1" applyAlignment="1">
      <alignment horizontal="left" vertical="center"/>
    </xf>
    <xf numFmtId="4" fontId="19" fillId="3" borderId="13" xfId="0" applyNumberFormat="1" applyFont="1" applyFill="1" applyBorder="1" applyAlignment="1" applyProtection="1">
      <alignment horizontal="center" vertical="center"/>
    </xf>
    <xf numFmtId="0" fontId="16" fillId="16" borderId="16" xfId="0" applyFont="1" applyFill="1" applyBorder="1" applyAlignment="1">
      <alignment horizontal="center" vertical="center"/>
    </xf>
    <xf numFmtId="3" fontId="16" fillId="16" borderId="4" xfId="0" applyNumberFormat="1" applyFont="1" applyFill="1" applyBorder="1" applyAlignment="1">
      <alignment horizontal="center" vertical="center"/>
    </xf>
    <xf numFmtId="3" fontId="16" fillId="16" borderId="6" xfId="0" applyNumberFormat="1" applyFont="1" applyFill="1" applyBorder="1" applyAlignment="1">
      <alignment horizontal="center" vertical="center"/>
    </xf>
    <xf numFmtId="0" fontId="16" fillId="16" borderId="4" xfId="0" applyFont="1" applyFill="1" applyBorder="1" applyAlignment="1">
      <alignment horizontal="center" vertical="center"/>
    </xf>
    <xf numFmtId="0" fontId="19" fillId="16" borderId="0" xfId="0" applyFont="1" applyFill="1"/>
    <xf numFmtId="0" fontId="19" fillId="3" borderId="17" xfId="0" applyFont="1" applyFill="1" applyBorder="1" applyAlignment="1">
      <alignment horizontal="center" vertical="center" wrapText="1"/>
    </xf>
    <xf numFmtId="0" fontId="16" fillId="3" borderId="17" xfId="0" applyFont="1" applyFill="1" applyBorder="1" applyAlignment="1">
      <alignment horizontal="center"/>
    </xf>
    <xf numFmtId="0" fontId="16" fillId="2" borderId="0" xfId="0" applyFont="1" applyFill="1" applyAlignment="1">
      <alignment horizontal="left"/>
    </xf>
    <xf numFmtId="0" fontId="16" fillId="3" borderId="5" xfId="0" applyFont="1" applyFill="1" applyBorder="1" applyAlignment="1">
      <alignment horizontal="left" vertical="center"/>
    </xf>
    <xf numFmtId="3" fontId="16" fillId="3" borderId="5" xfId="0" applyNumberFormat="1" applyFont="1" applyFill="1" applyBorder="1" applyAlignment="1">
      <alignment horizontal="center" vertical="center"/>
    </xf>
    <xf numFmtId="0" fontId="16" fillId="3" borderId="0" xfId="0" applyFont="1" applyFill="1" applyBorder="1"/>
    <xf numFmtId="3" fontId="16" fillId="2" borderId="5" xfId="0" applyNumberFormat="1" applyFont="1" applyFill="1" applyBorder="1" applyAlignment="1">
      <alignment horizontal="center" vertical="center"/>
    </xf>
    <xf numFmtId="3" fontId="16" fillId="2" borderId="5" xfId="0" applyNumberFormat="1" applyFont="1" applyFill="1" applyBorder="1" applyAlignment="1">
      <alignment horizontal="center" vertical="center" wrapText="1"/>
    </xf>
    <xf numFmtId="3" fontId="16" fillId="2" borderId="0" xfId="0" applyNumberFormat="1" applyFont="1" applyFill="1" applyBorder="1" applyAlignment="1">
      <alignment horizontal="center" vertical="center"/>
    </xf>
    <xf numFmtId="3" fontId="19" fillId="2" borderId="0" xfId="0" applyNumberFormat="1" applyFont="1" applyFill="1" applyBorder="1" applyAlignment="1">
      <alignment horizontal="center" vertical="center"/>
    </xf>
    <xf numFmtId="171" fontId="17" fillId="2" borderId="0" xfId="0" applyNumberFormat="1" applyFont="1" applyFill="1" applyBorder="1" applyAlignment="1">
      <alignment horizontal="center" vertical="center"/>
    </xf>
    <xf numFmtId="3" fontId="19" fillId="2" borderId="46" xfId="0" applyNumberFormat="1" applyFont="1" applyFill="1" applyBorder="1" applyAlignment="1">
      <alignment horizontal="center" vertical="center" wrapText="1"/>
    </xf>
    <xf numFmtId="0" fontId="16" fillId="3" borderId="15" xfId="0" applyFont="1" applyFill="1" applyBorder="1"/>
    <xf numFmtId="169" fontId="13" fillId="2" borderId="0" xfId="0" applyNumberFormat="1" applyFont="1" applyFill="1"/>
    <xf numFmtId="167" fontId="13" fillId="2" borderId="0" xfId="0" applyNumberFormat="1" applyFont="1" applyFill="1"/>
    <xf numFmtId="2" fontId="13" fillId="2" borderId="0" xfId="0" applyNumberFormat="1" applyFont="1" applyFill="1"/>
    <xf numFmtId="0" fontId="16" fillId="2" borderId="4" xfId="0" applyFont="1" applyFill="1" applyBorder="1" applyAlignment="1">
      <alignment horizontal="center" vertical="center"/>
    </xf>
    <xf numFmtId="3" fontId="17" fillId="2" borderId="4" xfId="0" applyNumberFormat="1" applyFont="1" applyFill="1" applyBorder="1" applyAlignment="1">
      <alignment horizontal="center" vertical="center"/>
    </xf>
    <xf numFmtId="3" fontId="36" fillId="17" borderId="0" xfId="0" applyNumberFormat="1" applyFont="1" applyFill="1" applyAlignment="1">
      <alignment horizontal="center" vertical="center"/>
    </xf>
    <xf numFmtId="4" fontId="13" fillId="3" borderId="5" xfId="0" applyNumberFormat="1" applyFont="1" applyFill="1" applyBorder="1" applyAlignment="1">
      <alignment horizontal="center" vertical="center"/>
    </xf>
    <xf numFmtId="0" fontId="13" fillId="0" borderId="47" xfId="0" applyFont="1" applyFill="1" applyBorder="1"/>
    <xf numFmtId="0" fontId="12" fillId="0" borderId="5" xfId="0" applyFont="1" applyFill="1" applyBorder="1" applyAlignment="1">
      <alignment horizontal="center" vertical="center"/>
    </xf>
    <xf numFmtId="0" fontId="13" fillId="0" borderId="0" xfId="0" applyFont="1" applyFill="1"/>
    <xf numFmtId="173" fontId="13" fillId="2" borderId="0" xfId="0" applyNumberFormat="1" applyFont="1" applyFill="1"/>
    <xf numFmtId="3" fontId="19" fillId="18" borderId="1" xfId="0" applyNumberFormat="1" applyFont="1" applyFill="1" applyBorder="1" applyAlignment="1">
      <alignment horizontal="center" vertical="center"/>
    </xf>
    <xf numFmtId="0" fontId="19" fillId="18" borderId="54" xfId="0" applyFont="1" applyFill="1" applyBorder="1" applyAlignment="1">
      <alignment horizontal="center" vertical="center"/>
    </xf>
    <xf numFmtId="3" fontId="19" fillId="18" borderId="3" xfId="0" applyNumberFormat="1" applyFont="1" applyFill="1" applyBorder="1" applyAlignment="1">
      <alignment horizontal="center" vertical="center"/>
    </xf>
    <xf numFmtId="0" fontId="19" fillId="18" borderId="1" xfId="0" applyFont="1" applyFill="1" applyBorder="1" applyAlignment="1">
      <alignment horizontal="center" vertical="center"/>
    </xf>
    <xf numFmtId="3" fontId="16" fillId="16" borderId="5" xfId="0" applyNumberFormat="1" applyFont="1" applyFill="1" applyBorder="1" applyAlignment="1">
      <alignment horizontal="center" vertical="center"/>
    </xf>
    <xf numFmtId="0" fontId="16" fillId="16" borderId="5" xfId="0" applyFont="1" applyFill="1" applyBorder="1" applyAlignment="1">
      <alignment horizontal="center" vertical="center"/>
    </xf>
    <xf numFmtId="3" fontId="16" fillId="18" borderId="27" xfId="0" applyNumberFormat="1" applyFont="1" applyFill="1" applyBorder="1" applyAlignment="1">
      <alignment horizontal="center" vertical="center"/>
    </xf>
    <xf numFmtId="3" fontId="16" fillId="18" borderId="34" xfId="0" applyNumberFormat="1" applyFont="1" applyFill="1" applyBorder="1" applyAlignment="1">
      <alignment horizontal="center" vertical="center"/>
    </xf>
    <xf numFmtId="3" fontId="16" fillId="18" borderId="28" xfId="0" applyNumberFormat="1" applyFont="1" applyFill="1" applyBorder="1" applyAlignment="1">
      <alignment horizontal="center" vertical="center"/>
    </xf>
    <xf numFmtId="165" fontId="16" fillId="18" borderId="27" xfId="0" applyNumberFormat="1" applyFont="1" applyFill="1" applyBorder="1" applyAlignment="1">
      <alignment horizontal="center" vertical="center"/>
    </xf>
    <xf numFmtId="3" fontId="16" fillId="18" borderId="4" xfId="0" applyNumberFormat="1" applyFont="1" applyFill="1" applyBorder="1" applyAlignment="1">
      <alignment horizontal="center" vertical="center"/>
    </xf>
    <xf numFmtId="0" fontId="16" fillId="18" borderId="16" xfId="0" applyFont="1" applyFill="1" applyBorder="1" applyAlignment="1">
      <alignment horizontal="center" vertical="center"/>
    </xf>
    <xf numFmtId="3" fontId="16" fillId="18" borderId="6" xfId="0" applyNumberFormat="1" applyFont="1" applyFill="1" applyBorder="1" applyAlignment="1">
      <alignment horizontal="center" vertical="center"/>
    </xf>
    <xf numFmtId="0" fontId="16" fillId="18" borderId="4" xfId="0" applyFont="1" applyFill="1" applyBorder="1" applyAlignment="1">
      <alignment horizontal="center" vertical="center"/>
    </xf>
    <xf numFmtId="3" fontId="16" fillId="18" borderId="0" xfId="0" applyNumberFormat="1" applyFont="1" applyFill="1" applyBorder="1" applyAlignment="1">
      <alignment horizontal="center" vertical="center"/>
    </xf>
    <xf numFmtId="0" fontId="16" fillId="18" borderId="5" xfId="0" applyFont="1" applyFill="1" applyBorder="1" applyAlignment="1">
      <alignment horizontal="center" vertical="center"/>
    </xf>
    <xf numFmtId="3" fontId="19" fillId="3" borderId="49" xfId="0" applyNumberFormat="1" applyFont="1" applyFill="1" applyBorder="1" applyAlignment="1">
      <alignment horizontal="center" vertical="center" wrapText="1"/>
    </xf>
    <xf numFmtId="3" fontId="16" fillId="19" borderId="0" xfId="0" applyNumberFormat="1" applyFont="1" applyFill="1" applyBorder="1" applyAlignment="1">
      <alignment horizontal="center" vertical="center"/>
    </xf>
    <xf numFmtId="3" fontId="16" fillId="19" borderId="4" xfId="0" applyNumberFormat="1" applyFont="1" applyFill="1" applyBorder="1" applyAlignment="1">
      <alignment horizontal="center" vertical="center"/>
    </xf>
    <xf numFmtId="0" fontId="16" fillId="19" borderId="16" xfId="0" applyFont="1" applyFill="1" applyBorder="1" applyAlignment="1">
      <alignment horizontal="center" vertical="center"/>
    </xf>
    <xf numFmtId="3" fontId="16" fillId="19" borderId="6" xfId="0" applyNumberFormat="1" applyFont="1" applyFill="1" applyBorder="1" applyAlignment="1">
      <alignment horizontal="center" vertical="center"/>
    </xf>
    <xf numFmtId="0" fontId="16" fillId="19" borderId="4" xfId="0" applyFont="1" applyFill="1" applyBorder="1" applyAlignment="1">
      <alignment horizontal="center" vertical="center"/>
    </xf>
    <xf numFmtId="3" fontId="16" fillId="19" borderId="5" xfId="0" applyNumberFormat="1" applyFont="1" applyFill="1" applyBorder="1" applyAlignment="1">
      <alignment horizontal="center" vertical="center"/>
    </xf>
    <xf numFmtId="0" fontId="16" fillId="19" borderId="5" xfId="0" applyFont="1" applyFill="1" applyBorder="1" applyAlignment="1">
      <alignment horizontal="center" vertical="center"/>
    </xf>
    <xf numFmtId="3" fontId="19" fillId="18" borderId="5" xfId="0" applyNumberFormat="1" applyFont="1" applyFill="1" applyBorder="1" applyAlignment="1">
      <alignment horizontal="center" vertical="center"/>
    </xf>
    <xf numFmtId="0" fontId="19" fillId="18" borderId="5" xfId="0" applyFont="1" applyFill="1" applyBorder="1" applyAlignment="1">
      <alignment horizontal="center" vertical="center"/>
    </xf>
    <xf numFmtId="3" fontId="16" fillId="18" borderId="5" xfId="0" applyNumberFormat="1" applyFont="1" applyFill="1" applyBorder="1" applyAlignment="1">
      <alignment horizontal="center" vertical="center"/>
    </xf>
    <xf numFmtId="165" fontId="16" fillId="18" borderId="5" xfId="0" applyNumberFormat="1" applyFont="1" applyFill="1" applyBorder="1" applyAlignment="1">
      <alignment horizontal="center" vertical="center"/>
    </xf>
    <xf numFmtId="3" fontId="17" fillId="2" borderId="5" xfId="0" applyNumberFormat="1" applyFont="1" applyFill="1" applyBorder="1" applyAlignment="1">
      <alignment horizontal="center" vertical="center"/>
    </xf>
    <xf numFmtId="0" fontId="17" fillId="2" borderId="5" xfId="0" applyFont="1" applyFill="1" applyBorder="1" applyAlignment="1">
      <alignment horizontal="center" vertical="center"/>
    </xf>
    <xf numFmtId="3" fontId="16" fillId="5" borderId="5" xfId="0" applyNumberFormat="1" applyFont="1" applyFill="1" applyBorder="1" applyAlignment="1">
      <alignment horizontal="center" vertical="center"/>
    </xf>
    <xf numFmtId="3" fontId="19" fillId="18" borderId="4" xfId="0" applyNumberFormat="1" applyFont="1" applyFill="1" applyBorder="1" applyAlignment="1">
      <alignment horizontal="center" vertical="center"/>
    </xf>
    <xf numFmtId="3" fontId="19" fillId="18" borderId="6" xfId="0" applyNumberFormat="1" applyFont="1" applyFill="1" applyBorder="1" applyAlignment="1">
      <alignment horizontal="center" vertical="center"/>
    </xf>
    <xf numFmtId="3" fontId="17" fillId="2" borderId="6" xfId="0" applyNumberFormat="1" applyFont="1" applyFill="1" applyBorder="1" applyAlignment="1">
      <alignment horizontal="center" vertical="center"/>
    </xf>
    <xf numFmtId="3" fontId="17" fillId="4" borderId="8" xfId="0" applyNumberFormat="1" applyFont="1" applyFill="1" applyBorder="1" applyAlignment="1">
      <alignment horizontal="center" vertical="center"/>
    </xf>
    <xf numFmtId="0" fontId="16" fillId="4" borderId="8" xfId="0" applyFont="1" applyFill="1" applyBorder="1" applyAlignment="1">
      <alignment horizontal="center" vertical="center"/>
    </xf>
    <xf numFmtId="0" fontId="19" fillId="18" borderId="4" xfId="0" applyFont="1" applyFill="1" applyBorder="1" applyAlignment="1">
      <alignment horizontal="center" vertical="center"/>
    </xf>
    <xf numFmtId="3" fontId="17" fillId="2" borderId="0" xfId="0" applyNumberFormat="1" applyFont="1" applyFill="1" applyBorder="1" applyAlignment="1">
      <alignment horizontal="center" vertical="center"/>
    </xf>
    <xf numFmtId="3" fontId="17" fillId="4" borderId="7" xfId="0" applyNumberFormat="1" applyFont="1" applyFill="1" applyBorder="1" applyAlignment="1">
      <alignment horizontal="center" vertical="center"/>
    </xf>
    <xf numFmtId="3" fontId="19" fillId="18" borderId="5" xfId="0" applyNumberFormat="1" applyFont="1" applyFill="1" applyBorder="1" applyAlignment="1">
      <alignment horizontal="center" vertical="center" wrapText="1"/>
    </xf>
    <xf numFmtId="3" fontId="16" fillId="19" borderId="5" xfId="0" applyNumberFormat="1" applyFont="1" applyFill="1" applyBorder="1" applyAlignment="1">
      <alignment horizontal="center" vertical="center" wrapText="1"/>
    </xf>
    <xf numFmtId="3" fontId="16" fillId="3" borderId="5" xfId="0" applyNumberFormat="1" applyFont="1" applyFill="1" applyBorder="1" applyAlignment="1">
      <alignment horizontal="center" vertical="center" wrapText="1"/>
    </xf>
    <xf numFmtId="3" fontId="16" fillId="16" borderId="5" xfId="0" applyNumberFormat="1" applyFont="1" applyFill="1" applyBorder="1" applyAlignment="1">
      <alignment horizontal="center" vertical="center" wrapText="1"/>
    </xf>
    <xf numFmtId="3" fontId="16" fillId="18" borderId="5" xfId="0" applyNumberFormat="1" applyFont="1" applyFill="1" applyBorder="1" applyAlignment="1">
      <alignment horizontal="center" vertical="center" wrapText="1"/>
    </xf>
    <xf numFmtId="0" fontId="16" fillId="2" borderId="5" xfId="0" applyFont="1" applyFill="1" applyBorder="1" applyAlignment="1">
      <alignment horizontal="center" vertical="center"/>
    </xf>
    <xf numFmtId="3" fontId="16" fillId="5" borderId="5" xfId="0" applyNumberFormat="1" applyFont="1" applyFill="1" applyBorder="1" applyAlignment="1">
      <alignment horizontal="center" vertical="center" wrapText="1"/>
    </xf>
    <xf numFmtId="3" fontId="16" fillId="2" borderId="6" xfId="0" applyNumberFormat="1" applyFont="1" applyFill="1" applyBorder="1" applyAlignment="1">
      <alignment horizontal="center" vertical="center"/>
    </xf>
    <xf numFmtId="3" fontId="16" fillId="4" borderId="8" xfId="0" applyNumberFormat="1" applyFont="1" applyFill="1" applyBorder="1" applyAlignment="1">
      <alignment horizontal="center" vertical="center" wrapText="1"/>
    </xf>
    <xf numFmtId="3" fontId="16" fillId="4" borderId="9" xfId="0" applyNumberFormat="1" applyFont="1" applyFill="1" applyBorder="1" applyAlignment="1">
      <alignment horizontal="center" vertical="center"/>
    </xf>
    <xf numFmtId="0" fontId="19" fillId="18" borderId="5" xfId="0" applyFont="1" applyFill="1" applyBorder="1"/>
    <xf numFmtId="0" fontId="16" fillId="19" borderId="5" xfId="0" applyFont="1" applyFill="1" applyBorder="1"/>
    <xf numFmtId="9" fontId="16" fillId="16" borderId="5" xfId="0" applyNumberFormat="1" applyFont="1" applyFill="1" applyBorder="1" applyAlignment="1">
      <alignment horizontal="center" vertical="center"/>
    </xf>
    <xf numFmtId="14" fontId="16" fillId="16" borderId="5" xfId="0" applyNumberFormat="1" applyFont="1" applyFill="1" applyBorder="1" applyAlignment="1">
      <alignment horizontal="center" vertical="center"/>
    </xf>
    <xf numFmtId="0" fontId="16" fillId="3" borderId="5" xfId="0" applyFont="1" applyFill="1" applyBorder="1" applyAlignment="1">
      <alignment horizontal="center" vertical="center" wrapText="1"/>
    </xf>
    <xf numFmtId="0" fontId="16" fillId="18" borderId="5" xfId="0" applyFont="1" applyFill="1" applyBorder="1"/>
    <xf numFmtId="0" fontId="16" fillId="16" borderId="5" xfId="0" applyFont="1" applyFill="1" applyBorder="1"/>
    <xf numFmtId="0" fontId="13" fillId="16" borderId="5" xfId="0" applyFont="1" applyFill="1" applyBorder="1" applyAlignment="1">
      <alignment horizontal="center" vertical="center" wrapText="1"/>
    </xf>
    <xf numFmtId="0" fontId="16" fillId="2" borderId="5" xfId="0" applyFont="1" applyFill="1" applyBorder="1"/>
    <xf numFmtId="41" fontId="17" fillId="2" borderId="5" xfId="0" applyNumberFormat="1" applyFont="1" applyFill="1" applyBorder="1" applyAlignment="1">
      <alignment horizontal="center" vertical="center" wrapText="1"/>
    </xf>
    <xf numFmtId="171" fontId="17" fillId="2" borderId="5" xfId="0" applyNumberFormat="1" applyFont="1" applyFill="1" applyBorder="1" applyAlignment="1">
      <alignment horizontal="center" vertical="center"/>
    </xf>
    <xf numFmtId="0" fontId="16" fillId="5" borderId="5" xfId="0" applyFont="1" applyFill="1" applyBorder="1" applyAlignment="1">
      <alignment horizontal="left" vertical="center"/>
    </xf>
    <xf numFmtId="1" fontId="16" fillId="5" borderId="5" xfId="1" applyNumberFormat="1" applyFont="1" applyFill="1" applyBorder="1" applyAlignment="1">
      <alignment horizontal="center" vertical="center"/>
    </xf>
    <xf numFmtId="171" fontId="17" fillId="2" borderId="6" xfId="0" applyNumberFormat="1" applyFont="1" applyFill="1" applyBorder="1" applyAlignment="1">
      <alignment horizontal="center" vertical="center"/>
    </xf>
    <xf numFmtId="0" fontId="17" fillId="4" borderId="8" xfId="0" applyFont="1" applyFill="1" applyBorder="1" applyAlignment="1">
      <alignment horizontal="center" vertical="center"/>
    </xf>
    <xf numFmtId="0" fontId="17" fillId="4" borderId="8" xfId="0" applyFont="1" applyFill="1" applyBorder="1"/>
    <xf numFmtId="41" fontId="17" fillId="4" borderId="8" xfId="0" applyNumberFormat="1" applyFont="1" applyFill="1" applyBorder="1" applyAlignment="1">
      <alignment horizontal="center" vertical="center" wrapText="1"/>
    </xf>
    <xf numFmtId="171" fontId="17" fillId="4" borderId="8" xfId="0" applyNumberFormat="1" applyFont="1" applyFill="1" applyBorder="1" applyAlignment="1">
      <alignment horizontal="center" vertical="center"/>
    </xf>
    <xf numFmtId="171" fontId="17" fillId="4" borderId="9" xfId="0" applyNumberFormat="1" applyFont="1" applyFill="1" applyBorder="1" applyAlignment="1">
      <alignment horizontal="center" vertical="center"/>
    </xf>
    <xf numFmtId="0" fontId="16" fillId="19" borderId="5" xfId="0" applyFont="1" applyFill="1" applyBorder="1" applyAlignment="1">
      <alignment horizontal="left" vertical="center"/>
    </xf>
    <xf numFmtId="0" fontId="16" fillId="16" borderId="5" xfId="0" applyFont="1" applyFill="1" applyBorder="1" applyAlignment="1">
      <alignment horizontal="left" vertical="center"/>
    </xf>
    <xf numFmtId="0" fontId="17" fillId="4" borderId="5" xfId="0" applyFont="1" applyFill="1" applyBorder="1" applyAlignment="1">
      <alignment horizontal="left" vertical="center"/>
    </xf>
    <xf numFmtId="3" fontId="16" fillId="19" borderId="16" xfId="0" applyNumberFormat="1" applyFont="1" applyFill="1" applyBorder="1" applyAlignment="1">
      <alignment horizontal="center" vertical="center"/>
    </xf>
    <xf numFmtId="3" fontId="16" fillId="16" borderId="16" xfId="0" applyNumberFormat="1" applyFont="1" applyFill="1" applyBorder="1" applyAlignment="1">
      <alignment horizontal="center" vertical="center"/>
    </xf>
    <xf numFmtId="3" fontId="16" fillId="18" borderId="16" xfId="0" applyNumberFormat="1" applyFont="1" applyFill="1" applyBorder="1" applyAlignment="1">
      <alignment horizontal="center" vertical="center"/>
    </xf>
    <xf numFmtId="3" fontId="16" fillId="2" borderId="16" xfId="0" applyNumberFormat="1" applyFont="1" applyFill="1" applyBorder="1" applyAlignment="1">
      <alignment horizontal="center" vertical="center"/>
    </xf>
    <xf numFmtId="3" fontId="16" fillId="5" borderId="16" xfId="0" applyNumberFormat="1" applyFont="1" applyFill="1" applyBorder="1" applyAlignment="1">
      <alignment horizontal="center" vertical="center"/>
    </xf>
    <xf numFmtId="3" fontId="17" fillId="4" borderId="56" xfId="0" applyNumberFormat="1" applyFont="1" applyFill="1" applyBorder="1" applyAlignment="1">
      <alignment horizontal="center" vertical="center"/>
    </xf>
    <xf numFmtId="3" fontId="19" fillId="19" borderId="5" xfId="0" applyNumberFormat="1" applyFont="1" applyFill="1" applyBorder="1" applyAlignment="1">
      <alignment horizontal="left" vertical="center" wrapText="1"/>
    </xf>
    <xf numFmtId="0" fontId="19" fillId="3" borderId="5" xfId="0" applyNumberFormat="1" applyFont="1" applyFill="1" applyBorder="1" applyAlignment="1">
      <alignment horizontal="left" vertical="center" wrapText="1"/>
    </xf>
    <xf numFmtId="0" fontId="19" fillId="16" borderId="5" xfId="0" applyNumberFormat="1" applyFont="1" applyFill="1" applyBorder="1" applyAlignment="1">
      <alignment vertical="center" wrapText="1"/>
    </xf>
    <xf numFmtId="0" fontId="19" fillId="3" borderId="5" xfId="0" applyNumberFormat="1" applyFont="1" applyFill="1" applyBorder="1" applyAlignment="1">
      <alignment vertical="center" wrapText="1"/>
    </xf>
    <xf numFmtId="3" fontId="19" fillId="3" borderId="5" xfId="0" applyNumberFormat="1" applyFont="1" applyFill="1" applyBorder="1" applyAlignment="1">
      <alignment vertical="center" wrapText="1"/>
    </xf>
    <xf numFmtId="3" fontId="19" fillId="3" borderId="5" xfId="0" applyNumberFormat="1" applyFont="1" applyFill="1" applyBorder="1" applyAlignment="1">
      <alignment horizontal="left" vertical="center" wrapText="1"/>
    </xf>
    <xf numFmtId="3" fontId="19" fillId="16" borderId="5" xfId="0" applyNumberFormat="1" applyFont="1" applyFill="1" applyBorder="1" applyAlignment="1">
      <alignment vertical="center" wrapText="1"/>
    </xf>
    <xf numFmtId="3" fontId="19" fillId="19" borderId="5" xfId="0" applyNumberFormat="1" applyFont="1" applyFill="1" applyBorder="1" applyAlignment="1">
      <alignment vertical="center" wrapText="1"/>
    </xf>
    <xf numFmtId="0" fontId="23" fillId="3" borderId="5" xfId="0" applyFont="1" applyFill="1" applyBorder="1" applyAlignment="1">
      <alignment horizontal="justify" vertical="center"/>
    </xf>
    <xf numFmtId="0" fontId="23" fillId="19" borderId="5" xfId="0" applyFont="1" applyFill="1" applyBorder="1" applyAlignment="1">
      <alignment horizontal="justify" vertical="center"/>
    </xf>
    <xf numFmtId="3" fontId="23" fillId="19" borderId="5" xfId="0" applyNumberFormat="1" applyFont="1" applyFill="1" applyBorder="1" applyAlignment="1">
      <alignment horizontal="left" vertical="center" wrapText="1"/>
    </xf>
    <xf numFmtId="3" fontId="24" fillId="3" borderId="5" xfId="0" applyNumberFormat="1" applyFont="1" applyFill="1" applyBorder="1" applyAlignment="1">
      <alignment horizontal="left" vertical="center" wrapText="1"/>
    </xf>
    <xf numFmtId="3" fontId="24" fillId="3" borderId="5" xfId="1" applyNumberFormat="1" applyFont="1" applyFill="1" applyBorder="1" applyAlignment="1">
      <alignment vertical="center" wrapText="1"/>
    </xf>
    <xf numFmtId="3" fontId="23" fillId="3" borderId="5" xfId="0" applyNumberFormat="1" applyFont="1" applyFill="1" applyBorder="1" applyAlignment="1">
      <alignment horizontal="left" vertical="center" wrapText="1"/>
    </xf>
    <xf numFmtId="3" fontId="23" fillId="16" borderId="5" xfId="0" applyNumberFormat="1" applyFont="1" applyFill="1" applyBorder="1" applyAlignment="1">
      <alignment horizontal="left" vertical="center" wrapText="1"/>
    </xf>
    <xf numFmtId="3" fontId="19" fillId="2" borderId="5" xfId="0" applyNumberFormat="1" applyFont="1" applyFill="1" applyBorder="1" applyAlignment="1">
      <alignment horizontal="left" vertical="center" wrapText="1"/>
    </xf>
    <xf numFmtId="3" fontId="19" fillId="18" borderId="16" xfId="0" applyNumberFormat="1" applyFont="1" applyFill="1" applyBorder="1" applyAlignment="1">
      <alignment horizontal="center" vertical="center"/>
    </xf>
    <xf numFmtId="3" fontId="37" fillId="18" borderId="5" xfId="0" applyNumberFormat="1" applyFont="1" applyFill="1" applyBorder="1" applyAlignment="1">
      <alignment horizontal="left" vertical="center" wrapText="1"/>
    </xf>
    <xf numFmtId="0" fontId="37" fillId="18" borderId="35" xfId="0" applyFont="1" applyFill="1" applyBorder="1" applyAlignment="1">
      <alignment horizontal="left" vertical="center"/>
    </xf>
    <xf numFmtId="0" fontId="38" fillId="18" borderId="5" xfId="0" applyFont="1" applyFill="1" applyBorder="1" applyAlignment="1">
      <alignment horizontal="left" vertical="center"/>
    </xf>
    <xf numFmtId="4" fontId="19" fillId="3" borderId="5" xfId="0" applyNumberFormat="1" applyFont="1" applyFill="1" applyBorder="1" applyAlignment="1" applyProtection="1">
      <alignment horizontal="center" vertical="center"/>
    </xf>
    <xf numFmtId="2" fontId="12" fillId="3" borderId="5" xfId="0" applyNumberFormat="1" applyFont="1" applyFill="1" applyBorder="1" applyAlignment="1">
      <alignment horizontal="center" vertical="center"/>
    </xf>
    <xf numFmtId="169" fontId="12" fillId="3" borderId="5" xfId="0" applyNumberFormat="1" applyFont="1" applyFill="1" applyBorder="1" applyAlignment="1">
      <alignment horizontal="center" vertical="center"/>
    </xf>
    <xf numFmtId="167" fontId="12" fillId="3" borderId="5" xfId="0" applyNumberFormat="1" applyFont="1" applyFill="1" applyBorder="1" applyAlignment="1">
      <alignment horizontal="center" vertical="center"/>
    </xf>
    <xf numFmtId="2" fontId="13" fillId="3" borderId="5" xfId="0" applyNumberFormat="1" applyFont="1" applyFill="1" applyBorder="1" applyAlignment="1">
      <alignment horizontal="center" vertical="center"/>
    </xf>
    <xf numFmtId="0" fontId="2" fillId="2" borderId="5" xfId="0" applyFont="1" applyFill="1" applyBorder="1"/>
    <xf numFmtId="2" fontId="2" fillId="2" borderId="5" xfId="0" applyNumberFormat="1" applyFont="1" applyFill="1" applyBorder="1"/>
    <xf numFmtId="0" fontId="2" fillId="2" borderId="5" xfId="0" applyFont="1" applyFill="1" applyBorder="1" applyAlignment="1">
      <alignment horizontal="center" vertical="center"/>
    </xf>
    <xf numFmtId="0" fontId="13" fillId="3" borderId="5" xfId="0" applyFont="1" applyFill="1" applyBorder="1" applyAlignment="1">
      <alignment vertical="center" wrapText="1"/>
    </xf>
    <xf numFmtId="169" fontId="12" fillId="3" borderId="5" xfId="0" applyNumberFormat="1" applyFont="1" applyFill="1" applyBorder="1" applyAlignment="1">
      <alignment horizontal="center" vertical="center" wrapText="1"/>
    </xf>
    <xf numFmtId="4" fontId="13" fillId="3" borderId="5" xfId="0" applyNumberFormat="1" applyFont="1" applyFill="1" applyBorder="1" applyAlignment="1">
      <alignment horizontal="center" vertical="center" wrapText="1"/>
    </xf>
    <xf numFmtId="4" fontId="13" fillId="3" borderId="5" xfId="0" applyNumberFormat="1" applyFont="1" applyFill="1" applyBorder="1" applyAlignment="1">
      <alignment vertical="center" wrapText="1"/>
    </xf>
    <xf numFmtId="0" fontId="13" fillId="15" borderId="5" xfId="0" applyFont="1" applyFill="1" applyBorder="1" applyAlignment="1">
      <alignment vertical="center" wrapText="1"/>
    </xf>
    <xf numFmtId="0" fontId="13" fillId="15" borderId="5" xfId="0" applyFont="1" applyFill="1" applyBorder="1" applyAlignment="1">
      <alignment horizontal="center" vertical="center"/>
    </xf>
    <xf numFmtId="169" fontId="12" fillId="15" borderId="5" xfId="0" applyNumberFormat="1" applyFont="1" applyFill="1" applyBorder="1" applyAlignment="1">
      <alignment horizontal="center" vertical="center" wrapText="1"/>
    </xf>
    <xf numFmtId="2" fontId="13" fillId="2" borderId="0" xfId="0" applyNumberFormat="1" applyFont="1" applyFill="1" applyAlignment="1">
      <alignment horizontal="center" vertical="center"/>
    </xf>
    <xf numFmtId="180" fontId="12" fillId="3" borderId="5" xfId="0" applyNumberFormat="1" applyFont="1" applyFill="1" applyBorder="1" applyAlignment="1">
      <alignment horizontal="center" vertical="center"/>
    </xf>
    <xf numFmtId="3" fontId="16" fillId="3" borderId="27" xfId="0" applyNumberFormat="1" applyFont="1" applyFill="1" applyBorder="1" applyAlignment="1">
      <alignment horizontal="center" vertical="center"/>
    </xf>
    <xf numFmtId="0" fontId="16" fillId="3" borderId="34" xfId="0" applyFont="1" applyFill="1" applyBorder="1" applyAlignment="1">
      <alignment horizontal="center" vertical="center"/>
    </xf>
    <xf numFmtId="3" fontId="16" fillId="3" borderId="28" xfId="0" applyNumberFormat="1" applyFont="1" applyFill="1" applyBorder="1" applyAlignment="1">
      <alignment horizontal="center" vertical="center"/>
    </xf>
    <xf numFmtId="0" fontId="16" fillId="3" borderId="27" xfId="0" applyFont="1" applyFill="1" applyBorder="1" applyAlignment="1">
      <alignment horizontal="center" vertical="center"/>
    </xf>
    <xf numFmtId="0" fontId="19" fillId="19" borderId="5" xfId="0" applyNumberFormat="1" applyFont="1" applyFill="1" applyBorder="1" applyAlignment="1">
      <alignment vertical="center" wrapText="1"/>
    </xf>
    <xf numFmtId="9" fontId="16" fillId="19" borderId="5" xfId="0" applyNumberFormat="1" applyFont="1" applyFill="1" applyBorder="1" applyAlignment="1">
      <alignment horizontal="center" vertical="center"/>
    </xf>
    <xf numFmtId="14" fontId="16" fillId="19" borderId="5" xfId="0" applyNumberFormat="1" applyFont="1" applyFill="1" applyBorder="1" applyAlignment="1">
      <alignment horizontal="center" vertical="center"/>
    </xf>
    <xf numFmtId="0" fontId="14" fillId="4" borderId="5" xfId="0" applyFont="1" applyFill="1" applyBorder="1" applyAlignment="1">
      <alignment horizontal="center" vertical="center" wrapText="1"/>
    </xf>
    <xf numFmtId="44" fontId="13" fillId="15" borderId="0" xfId="0" applyNumberFormat="1" applyFont="1" applyFill="1" applyAlignment="1">
      <alignment horizontal="center" vertical="center" wrapText="1"/>
    </xf>
    <xf numFmtId="0" fontId="13" fillId="0" borderId="0" xfId="0" applyFont="1"/>
    <xf numFmtId="0" fontId="13" fillId="0" borderId="5" xfId="0" applyFont="1" applyBorder="1"/>
    <xf numFmtId="0" fontId="13" fillId="0" borderId="5" xfId="0" applyFont="1" applyBorder="1" applyAlignment="1">
      <alignment horizontal="center"/>
    </xf>
    <xf numFmtId="0" fontId="13" fillId="0" borderId="5" xfId="0" applyFont="1" applyBorder="1" applyAlignment="1">
      <alignment horizontal="center" vertical="center"/>
    </xf>
    <xf numFmtId="2" fontId="13" fillId="0" borderId="5" xfId="0" applyNumberFormat="1" applyFont="1" applyBorder="1" applyAlignment="1">
      <alignment horizontal="center" vertical="center"/>
    </xf>
    <xf numFmtId="0" fontId="13" fillId="15" borderId="5" xfId="0" applyFont="1" applyFill="1" applyBorder="1"/>
    <xf numFmtId="2" fontId="13" fillId="15" borderId="5" xfId="0" applyNumberFormat="1" applyFont="1" applyFill="1" applyBorder="1" applyAlignment="1">
      <alignment horizontal="center" vertical="center"/>
    </xf>
    <xf numFmtId="0" fontId="13" fillId="0" borderId="0" xfId="0" applyFont="1" applyAlignment="1">
      <alignment horizontal="center"/>
    </xf>
    <xf numFmtId="4" fontId="13" fillId="0" borderId="5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2" fontId="13" fillId="0" borderId="0" xfId="0" applyNumberFormat="1" applyFont="1" applyAlignment="1">
      <alignment horizontal="center" vertical="center"/>
    </xf>
    <xf numFmtId="0" fontId="12" fillId="3" borderId="0" xfId="0" applyFont="1" applyFill="1" applyBorder="1" applyAlignment="1">
      <alignment horizontal="center" vertical="center"/>
    </xf>
    <xf numFmtId="0" fontId="13" fillId="3" borderId="0" xfId="0" applyFont="1" applyFill="1" applyBorder="1" applyAlignment="1">
      <alignment horizontal="center" vertical="center"/>
    </xf>
    <xf numFmtId="0" fontId="12" fillId="3" borderId="0" xfId="0" applyFont="1" applyFill="1" applyBorder="1"/>
    <xf numFmtId="0" fontId="12" fillId="3" borderId="0" xfId="0" applyFont="1" applyFill="1" applyBorder="1" applyAlignment="1">
      <alignment horizontal="left" vertical="center" wrapText="1"/>
    </xf>
    <xf numFmtId="0" fontId="12" fillId="3" borderId="0" xfId="0" applyFont="1" applyFill="1" applyBorder="1" applyAlignment="1">
      <alignment horizontal="center" vertical="center" wrapText="1"/>
    </xf>
    <xf numFmtId="0" fontId="13" fillId="2" borderId="0" xfId="0" applyFont="1" applyFill="1" applyBorder="1"/>
    <xf numFmtId="0" fontId="13" fillId="2" borderId="0" xfId="0" applyFont="1" applyFill="1" applyBorder="1" applyAlignment="1">
      <alignment horizontal="left" vertical="center" wrapText="1"/>
    </xf>
    <xf numFmtId="0" fontId="13" fillId="0" borderId="0" xfId="0" applyFont="1" applyFill="1" applyBorder="1"/>
    <xf numFmtId="176" fontId="14" fillId="3" borderId="5" xfId="0" applyNumberFormat="1" applyFont="1" applyFill="1" applyBorder="1" applyAlignment="1">
      <alignment horizontal="center" vertical="center"/>
    </xf>
    <xf numFmtId="170" fontId="14" fillId="3" borderId="5" xfId="4" applyNumberFormat="1" applyFont="1" applyFill="1" applyBorder="1" applyAlignment="1">
      <alignment horizontal="center" vertical="center"/>
    </xf>
    <xf numFmtId="0" fontId="12" fillId="3" borderId="5" xfId="0" applyFont="1" applyFill="1" applyBorder="1" applyAlignment="1">
      <alignment horizontal="center"/>
    </xf>
    <xf numFmtId="173" fontId="14" fillId="3" borderId="5" xfId="0" applyNumberFormat="1" applyFont="1" applyFill="1" applyBorder="1" applyAlignment="1">
      <alignment horizontal="center" vertical="center"/>
    </xf>
    <xf numFmtId="0" fontId="13" fillId="3" borderId="0" xfId="0" applyFont="1" applyFill="1" applyBorder="1" applyAlignment="1">
      <alignment vertical="center"/>
    </xf>
    <xf numFmtId="0" fontId="13" fillId="3" borderId="0" xfId="0" applyFont="1" applyFill="1" applyBorder="1"/>
    <xf numFmtId="0" fontId="13" fillId="2" borderId="0" xfId="0" applyFont="1" applyFill="1" applyBorder="1" applyAlignment="1">
      <alignment horizontal="center" vertical="center"/>
    </xf>
    <xf numFmtId="0" fontId="13" fillId="2" borderId="0" xfId="0" applyFont="1" applyFill="1" applyBorder="1" applyAlignment="1">
      <alignment vertical="center"/>
    </xf>
    <xf numFmtId="4" fontId="13" fillId="2" borderId="0" xfId="0" applyNumberFormat="1" applyFont="1" applyFill="1" applyBorder="1"/>
    <xf numFmtId="4" fontId="13" fillId="2" borderId="0" xfId="0" applyNumberFormat="1" applyFont="1" applyFill="1" applyBorder="1" applyAlignment="1">
      <alignment horizontal="center" vertical="center" wrapText="1"/>
    </xf>
    <xf numFmtId="4" fontId="13" fillId="15" borderId="5" xfId="0" applyNumberFormat="1" applyFont="1" applyFill="1" applyBorder="1" applyAlignment="1">
      <alignment horizontal="center" vertical="center"/>
    </xf>
    <xf numFmtId="4" fontId="13" fillId="15" borderId="5" xfId="0" applyNumberFormat="1" applyFont="1" applyFill="1" applyBorder="1" applyAlignment="1">
      <alignment horizontal="center" vertical="center" wrapText="1"/>
    </xf>
    <xf numFmtId="0" fontId="13" fillId="3" borderId="5" xfId="2" applyFont="1" applyFill="1" applyBorder="1" applyAlignment="1">
      <alignment horizontal="left" vertical="center" wrapText="1"/>
    </xf>
    <xf numFmtId="0" fontId="13" fillId="3" borderId="5" xfId="2" applyFont="1" applyFill="1" applyBorder="1" applyAlignment="1">
      <alignment horizontal="center" vertical="center" wrapText="1"/>
    </xf>
    <xf numFmtId="0" fontId="13" fillId="3" borderId="5" xfId="2" applyFont="1" applyFill="1" applyBorder="1" applyAlignment="1">
      <alignment vertical="center" wrapText="1"/>
    </xf>
    <xf numFmtId="14" fontId="13" fillId="0" borderId="5" xfId="0" applyNumberFormat="1" applyFont="1" applyBorder="1" applyAlignment="1">
      <alignment horizontal="center" vertical="center"/>
    </xf>
    <xf numFmtId="14" fontId="13" fillId="15" borderId="5" xfId="0" applyNumberFormat="1" applyFont="1" applyFill="1" applyBorder="1" applyAlignment="1">
      <alignment horizontal="center" vertical="center"/>
    </xf>
    <xf numFmtId="3" fontId="16" fillId="3" borderId="19" xfId="0" applyNumberFormat="1" applyFont="1" applyFill="1" applyBorder="1" applyAlignment="1">
      <alignment horizontal="center" vertical="center"/>
    </xf>
    <xf numFmtId="0" fontId="16" fillId="3" borderId="31" xfId="0" applyFont="1" applyFill="1" applyBorder="1" applyAlignment="1">
      <alignment horizontal="center" vertical="center"/>
    </xf>
    <xf numFmtId="3" fontId="16" fillId="3" borderId="22" xfId="0" applyNumberFormat="1" applyFont="1" applyFill="1" applyBorder="1" applyAlignment="1">
      <alignment horizontal="center" vertical="center"/>
    </xf>
    <xf numFmtId="0" fontId="16" fillId="3" borderId="19" xfId="0" applyFont="1" applyFill="1" applyBorder="1" applyAlignment="1">
      <alignment horizontal="center" vertical="center"/>
    </xf>
    <xf numFmtId="4" fontId="13" fillId="2" borderId="0" xfId="0" applyNumberFormat="1" applyFont="1" applyFill="1" applyAlignment="1">
      <alignment horizontal="right" vertical="center"/>
    </xf>
    <xf numFmtId="0" fontId="13" fillId="3" borderId="63" xfId="0" applyFont="1" applyFill="1" applyBorder="1" applyAlignment="1">
      <alignment horizontal="center" vertical="center" wrapText="1"/>
    </xf>
    <xf numFmtId="0" fontId="13" fillId="3" borderId="63" xfId="0" applyFont="1" applyFill="1" applyBorder="1" applyAlignment="1">
      <alignment horizontal="left" vertical="center" wrapText="1"/>
    </xf>
    <xf numFmtId="14" fontId="13" fillId="3" borderId="63" xfId="0" applyNumberFormat="1" applyFont="1" applyFill="1" applyBorder="1" applyAlignment="1">
      <alignment horizontal="center" vertical="center"/>
    </xf>
    <xf numFmtId="0" fontId="13" fillId="3" borderId="63" xfId="0" applyFont="1" applyFill="1" applyBorder="1" applyAlignment="1">
      <alignment horizontal="center" vertical="center"/>
    </xf>
    <xf numFmtId="165" fontId="13" fillId="3" borderId="63" xfId="0" applyNumberFormat="1" applyFont="1" applyFill="1" applyBorder="1" applyAlignment="1">
      <alignment horizontal="center" vertical="center"/>
    </xf>
    <xf numFmtId="4" fontId="13" fillId="3" borderId="63" xfId="0" applyNumberFormat="1" applyFont="1" applyFill="1" applyBorder="1" applyAlignment="1">
      <alignment horizontal="right" vertical="center"/>
    </xf>
    <xf numFmtId="4" fontId="13" fillId="3" borderId="63" xfId="0" applyNumberFormat="1" applyFont="1" applyFill="1" applyBorder="1" applyAlignment="1">
      <alignment horizontal="right" vertical="center" wrapText="1"/>
    </xf>
    <xf numFmtId="2" fontId="13" fillId="3" borderId="63" xfId="0" applyNumberFormat="1" applyFont="1" applyFill="1" applyBorder="1" applyAlignment="1">
      <alignment horizontal="center" vertical="center"/>
    </xf>
    <xf numFmtId="0" fontId="13" fillId="3" borderId="63" xfId="0" quotePrefix="1" applyFont="1" applyFill="1" applyBorder="1" applyAlignment="1">
      <alignment horizontal="center" vertical="center"/>
    </xf>
    <xf numFmtId="0" fontId="13" fillId="3" borderId="63" xfId="0" quotePrefix="1" applyFont="1" applyFill="1" applyBorder="1" applyAlignment="1">
      <alignment horizontal="center" vertical="center" wrapText="1"/>
    </xf>
    <xf numFmtId="49" fontId="13" fillId="3" borderId="63" xfId="0" quotePrefix="1" applyNumberFormat="1" applyFont="1" applyFill="1" applyBorder="1" applyAlignment="1">
      <alignment horizontal="center" vertical="center" wrapText="1"/>
    </xf>
    <xf numFmtId="0" fontId="13" fillId="3" borderId="63" xfId="0" applyFont="1" applyFill="1" applyBorder="1" applyAlignment="1">
      <alignment vertical="center" wrapText="1"/>
    </xf>
    <xf numFmtId="4" fontId="13" fillId="3" borderId="63" xfId="0" applyNumberFormat="1" applyFont="1" applyFill="1" applyBorder="1" applyAlignment="1">
      <alignment vertical="center" wrapText="1"/>
    </xf>
    <xf numFmtId="49" fontId="13" fillId="3" borderId="63" xfId="0" applyNumberFormat="1" applyFont="1" applyFill="1" applyBorder="1" applyAlignment="1">
      <alignment horizontal="center" vertical="center" wrapText="1"/>
    </xf>
    <xf numFmtId="4" fontId="12" fillId="3" borderId="63" xfId="0" applyNumberFormat="1" applyFont="1" applyFill="1" applyBorder="1" applyAlignment="1">
      <alignment horizontal="right" vertical="center" wrapText="1"/>
    </xf>
    <xf numFmtId="0" fontId="13" fillId="3" borderId="63" xfId="0" applyFont="1" applyFill="1" applyBorder="1"/>
    <xf numFmtId="49" fontId="13" fillId="3" borderId="63" xfId="0" quotePrefix="1" applyNumberFormat="1" applyFont="1" applyFill="1" applyBorder="1" applyAlignment="1">
      <alignment horizontal="center" vertical="center"/>
    </xf>
    <xf numFmtId="4" fontId="13" fillId="3" borderId="66" xfId="0" applyNumberFormat="1" applyFont="1" applyFill="1" applyBorder="1" applyAlignment="1">
      <alignment horizontal="center" vertical="center" wrapText="1"/>
    </xf>
    <xf numFmtId="0" fontId="13" fillId="3" borderId="66" xfId="0" applyFont="1" applyFill="1" applyBorder="1" applyAlignment="1">
      <alignment horizontal="center" vertical="center"/>
    </xf>
    <xf numFmtId="0" fontId="13" fillId="3" borderId="5" xfId="0" applyFont="1" applyFill="1" applyBorder="1"/>
    <xf numFmtId="0" fontId="13" fillId="18" borderId="5" xfId="0" applyFont="1" applyFill="1" applyBorder="1"/>
    <xf numFmtId="0" fontId="13" fillId="18" borderId="66" xfId="0" applyFont="1" applyFill="1" applyBorder="1" applyAlignment="1">
      <alignment horizontal="center" vertical="center"/>
    </xf>
    <xf numFmtId="0" fontId="13" fillId="18" borderId="63" xfId="0" applyFont="1" applyFill="1" applyBorder="1" applyAlignment="1">
      <alignment horizontal="center" vertical="center"/>
    </xf>
    <xf numFmtId="0" fontId="13" fillId="18" borderId="63" xfId="0" applyFont="1" applyFill="1" applyBorder="1" applyAlignment="1">
      <alignment vertical="center" wrapText="1"/>
    </xf>
    <xf numFmtId="4" fontId="12" fillId="18" borderId="63" xfId="0" applyNumberFormat="1" applyFont="1" applyFill="1" applyBorder="1" applyAlignment="1">
      <alignment horizontal="right" vertical="center" wrapText="1"/>
    </xf>
    <xf numFmtId="4" fontId="13" fillId="18" borderId="63" xfId="0" applyNumberFormat="1" applyFont="1" applyFill="1" applyBorder="1" applyAlignment="1">
      <alignment horizontal="right" vertical="center"/>
    </xf>
    <xf numFmtId="4" fontId="13" fillId="18" borderId="63" xfId="0" applyNumberFormat="1" applyFont="1" applyFill="1" applyBorder="1" applyAlignment="1">
      <alignment horizontal="right" vertical="center" wrapText="1"/>
    </xf>
    <xf numFmtId="2" fontId="13" fillId="18" borderId="63" xfId="0" applyNumberFormat="1" applyFont="1" applyFill="1" applyBorder="1" applyAlignment="1">
      <alignment horizontal="center" vertical="center"/>
    </xf>
    <xf numFmtId="0" fontId="13" fillId="3" borderId="67" xfId="0" applyFont="1" applyFill="1" applyBorder="1" applyAlignment="1">
      <alignment vertical="center" wrapText="1"/>
    </xf>
    <xf numFmtId="0" fontId="13" fillId="3" borderId="69" xfId="0" applyFont="1" applyFill="1" applyBorder="1" applyAlignment="1">
      <alignment horizontal="center" vertical="center"/>
    </xf>
    <xf numFmtId="49" fontId="13" fillId="3" borderId="67" xfId="0" quotePrefix="1" applyNumberFormat="1" applyFont="1" applyFill="1" applyBorder="1" applyAlignment="1">
      <alignment horizontal="center" vertical="center" wrapText="1"/>
    </xf>
    <xf numFmtId="0" fontId="13" fillId="3" borderId="67" xfId="0" applyFont="1" applyFill="1" applyBorder="1" applyAlignment="1">
      <alignment horizontal="center" vertical="center"/>
    </xf>
    <xf numFmtId="4" fontId="12" fillId="3" borderId="67" xfId="0" applyNumberFormat="1" applyFont="1" applyFill="1" applyBorder="1" applyAlignment="1">
      <alignment horizontal="right" vertical="center" wrapText="1"/>
    </xf>
    <xf numFmtId="165" fontId="13" fillId="3" borderId="67" xfId="0" applyNumberFormat="1" applyFont="1" applyFill="1" applyBorder="1" applyAlignment="1">
      <alignment horizontal="center" vertical="center"/>
    </xf>
    <xf numFmtId="4" fontId="13" fillId="3" borderId="67" xfId="0" applyNumberFormat="1" applyFont="1" applyFill="1" applyBorder="1" applyAlignment="1">
      <alignment horizontal="right" vertical="center"/>
    </xf>
    <xf numFmtId="4" fontId="13" fillId="3" borderId="67" xfId="0" applyNumberFormat="1" applyFont="1" applyFill="1" applyBorder="1" applyAlignment="1">
      <alignment horizontal="right" vertical="center" wrapText="1"/>
    </xf>
    <xf numFmtId="2" fontId="13" fillId="3" borderId="67" xfId="0" applyNumberFormat="1" applyFont="1" applyFill="1" applyBorder="1" applyAlignment="1">
      <alignment horizontal="center" vertical="center"/>
    </xf>
    <xf numFmtId="4" fontId="13" fillId="3" borderId="5" xfId="0" applyNumberFormat="1" applyFont="1" applyFill="1" applyBorder="1" applyAlignment="1">
      <alignment horizontal="right" vertical="center"/>
    </xf>
    <xf numFmtId="0" fontId="0" fillId="3" borderId="0" xfId="0" applyFill="1"/>
    <xf numFmtId="14" fontId="13" fillId="18" borderId="5" xfId="0" applyNumberFormat="1" applyFont="1" applyFill="1" applyBorder="1" applyAlignment="1">
      <alignment horizontal="center" vertical="center"/>
    </xf>
    <xf numFmtId="0" fontId="13" fillId="18" borderId="67" xfId="0" applyFont="1" applyFill="1" applyBorder="1" applyAlignment="1">
      <alignment horizontal="center" vertical="center"/>
    </xf>
    <xf numFmtId="2" fontId="13" fillId="18" borderId="5" xfId="0" applyNumberFormat="1" applyFont="1" applyFill="1" applyBorder="1" applyAlignment="1">
      <alignment horizontal="center" vertical="center"/>
    </xf>
    <xf numFmtId="4" fontId="13" fillId="18" borderId="5" xfId="0" applyNumberFormat="1" applyFont="1" applyFill="1" applyBorder="1" applyAlignment="1">
      <alignment horizontal="right" vertical="center"/>
    </xf>
    <xf numFmtId="0" fontId="12" fillId="3" borderId="63" xfId="0" applyFont="1" applyFill="1" applyBorder="1" applyAlignment="1">
      <alignment horizontal="center" vertical="center" wrapText="1"/>
    </xf>
    <xf numFmtId="0" fontId="13" fillId="18" borderId="5" xfId="0" applyFont="1" applyFill="1" applyBorder="1" applyAlignment="1">
      <alignment horizontal="center" vertical="center"/>
    </xf>
    <xf numFmtId="0" fontId="13" fillId="2" borderId="0" xfId="0" applyFont="1" applyFill="1" applyAlignment="1">
      <alignment horizontal="right"/>
    </xf>
    <xf numFmtId="4" fontId="13" fillId="18" borderId="67" xfId="0" applyNumberFormat="1" applyFont="1" applyFill="1" applyBorder="1" applyAlignment="1">
      <alignment horizontal="right" vertical="center"/>
    </xf>
    <xf numFmtId="2" fontId="13" fillId="18" borderId="5" xfId="0" applyNumberFormat="1" applyFont="1" applyFill="1" applyBorder="1" applyAlignment="1">
      <alignment horizontal="right" vertical="center"/>
    </xf>
    <xf numFmtId="4" fontId="13" fillId="3" borderId="5" xfId="0" applyNumberFormat="1" applyFont="1" applyFill="1" applyBorder="1" applyAlignment="1">
      <alignment horizontal="right"/>
    </xf>
    <xf numFmtId="4" fontId="13" fillId="18" borderId="5" xfId="0" applyNumberFormat="1" applyFont="1" applyFill="1" applyBorder="1" applyAlignment="1">
      <alignment horizontal="right"/>
    </xf>
    <xf numFmtId="0" fontId="12" fillId="3" borderId="5" xfId="0" applyFont="1" applyFill="1" applyBorder="1" applyAlignment="1">
      <alignment horizontal="left" vertical="center" wrapText="1"/>
    </xf>
    <xf numFmtId="0" fontId="12" fillId="3" borderId="5" xfId="0" applyFont="1" applyFill="1" applyBorder="1" applyAlignment="1">
      <alignment horizontal="center" vertical="center" wrapText="1"/>
    </xf>
    <xf numFmtId="14" fontId="12" fillId="3" borderId="5" xfId="0" applyNumberFormat="1" applyFont="1" applyFill="1" applyBorder="1" applyAlignment="1">
      <alignment horizontal="center" vertical="center"/>
    </xf>
    <xf numFmtId="0" fontId="12" fillId="3" borderId="63" xfId="0" applyFont="1" applyFill="1" applyBorder="1" applyAlignment="1">
      <alignment horizontal="left" vertical="center" wrapText="1"/>
    </xf>
    <xf numFmtId="49" fontId="12" fillId="3" borderId="63" xfId="0" applyNumberFormat="1" applyFont="1" applyFill="1" applyBorder="1" applyAlignment="1">
      <alignment horizontal="center" vertical="center" wrapText="1"/>
    </xf>
    <xf numFmtId="0" fontId="12" fillId="3" borderId="63" xfId="0" quotePrefix="1" applyFont="1" applyFill="1" applyBorder="1" applyAlignment="1">
      <alignment horizontal="center" vertical="center"/>
    </xf>
    <xf numFmtId="14" fontId="12" fillId="3" borderId="63" xfId="0" applyNumberFormat="1" applyFont="1" applyFill="1" applyBorder="1" applyAlignment="1">
      <alignment horizontal="center" vertical="center"/>
    </xf>
    <xf numFmtId="0" fontId="12" fillId="3" borderId="63" xfId="0" applyFont="1" applyFill="1" applyBorder="1" applyAlignment="1">
      <alignment horizontal="center" vertical="center"/>
    </xf>
    <xf numFmtId="4" fontId="12" fillId="3" borderId="63" xfId="0" applyNumberFormat="1" applyFont="1" applyFill="1" applyBorder="1" applyAlignment="1">
      <alignment horizontal="right" vertical="center"/>
    </xf>
    <xf numFmtId="165" fontId="12" fillId="3" borderId="63" xfId="0" applyNumberFormat="1" applyFont="1" applyFill="1" applyBorder="1" applyAlignment="1">
      <alignment horizontal="center" vertical="center"/>
    </xf>
    <xf numFmtId="2" fontId="12" fillId="3" borderId="63" xfId="0" applyNumberFormat="1" applyFont="1" applyFill="1" applyBorder="1" applyAlignment="1">
      <alignment horizontal="center" vertical="center"/>
    </xf>
    <xf numFmtId="0" fontId="44" fillId="3" borderId="63" xfId="0" applyFont="1" applyFill="1" applyBorder="1" applyAlignment="1">
      <alignment horizontal="center" vertical="center" wrapText="1"/>
    </xf>
    <xf numFmtId="2" fontId="13" fillId="3" borderId="5" xfId="0" applyNumberFormat="1" applyFont="1" applyFill="1" applyBorder="1" applyAlignment="1">
      <alignment horizontal="right" vertical="center"/>
    </xf>
    <xf numFmtId="0" fontId="43" fillId="20" borderId="5" xfId="0" applyFont="1" applyFill="1" applyBorder="1" applyAlignment="1">
      <alignment horizontal="center" vertical="center"/>
    </xf>
    <xf numFmtId="0" fontId="43" fillId="20" borderId="0" xfId="0" applyFont="1" applyFill="1" applyAlignment="1">
      <alignment horizontal="center" vertical="center"/>
    </xf>
    <xf numFmtId="168" fontId="43" fillId="20" borderId="0" xfId="4" applyNumberFormat="1" applyFont="1" applyFill="1" applyAlignment="1">
      <alignment horizontal="center" vertical="center"/>
    </xf>
    <xf numFmtId="170" fontId="43" fillId="20" borderId="0" xfId="0" applyNumberFormat="1" applyFont="1" applyFill="1"/>
    <xf numFmtId="0" fontId="43" fillId="3" borderId="0" xfId="0" applyFont="1" applyFill="1" applyAlignment="1">
      <alignment horizontal="center" vertical="center"/>
    </xf>
    <xf numFmtId="170" fontId="43" fillId="3" borderId="0" xfId="0" applyNumberFormat="1" applyFont="1" applyFill="1"/>
    <xf numFmtId="4" fontId="0" fillId="3" borderId="5" xfId="0" applyNumberFormat="1" applyFill="1" applyBorder="1" applyAlignment="1">
      <alignment horizontal="center" vertical="center"/>
    </xf>
    <xf numFmtId="0" fontId="0" fillId="20" borderId="5" xfId="0" applyFill="1" applyBorder="1"/>
    <xf numFmtId="4" fontId="4" fillId="21" borderId="5" xfId="0" applyNumberFormat="1" applyFont="1" applyFill="1" applyBorder="1" applyAlignment="1">
      <alignment horizontal="center" vertical="center"/>
    </xf>
    <xf numFmtId="0" fontId="43" fillId="20" borderId="14" xfId="0" applyFont="1" applyFill="1" applyBorder="1" applyAlignment="1">
      <alignment horizontal="center" vertical="center"/>
    </xf>
    <xf numFmtId="4" fontId="0" fillId="3" borderId="14" xfId="0" applyNumberFormat="1" applyFill="1" applyBorder="1" applyAlignment="1">
      <alignment horizontal="center" vertical="center"/>
    </xf>
    <xf numFmtId="4" fontId="4" fillId="21" borderId="14" xfId="0" applyNumberFormat="1" applyFont="1" applyFill="1" applyBorder="1" applyAlignment="1">
      <alignment horizontal="center" vertical="center"/>
    </xf>
    <xf numFmtId="2" fontId="43" fillId="3" borderId="0" xfId="0" applyNumberFormat="1" applyFont="1" applyFill="1" applyBorder="1" applyAlignment="1">
      <alignment horizontal="center" vertical="center" wrapText="1"/>
    </xf>
    <xf numFmtId="9" fontId="43" fillId="3" borderId="0" xfId="1" applyFont="1" applyFill="1" applyBorder="1" applyAlignment="1">
      <alignment horizontal="center" vertical="center"/>
    </xf>
    <xf numFmtId="4" fontId="0" fillId="3" borderId="5" xfId="0" applyNumberFormat="1" applyFill="1" applyBorder="1"/>
    <xf numFmtId="4" fontId="6" fillId="21" borderId="5" xfId="0" applyNumberFormat="1" applyFont="1" applyFill="1" applyBorder="1"/>
    <xf numFmtId="0" fontId="0" fillId="3" borderId="11" xfId="0" applyFill="1" applyBorder="1" applyAlignment="1">
      <alignment horizontal="left" vertical="center" wrapText="1"/>
    </xf>
    <xf numFmtId="0" fontId="0" fillId="3" borderId="12" xfId="0" applyFill="1" applyBorder="1" applyAlignment="1">
      <alignment horizontal="left" vertical="center" wrapText="1"/>
    </xf>
    <xf numFmtId="0" fontId="1" fillId="6" borderId="17" xfId="0" applyFont="1" applyFill="1" applyBorder="1" applyAlignment="1">
      <alignment horizontal="center" vertical="center"/>
    </xf>
    <xf numFmtId="0" fontId="1" fillId="6" borderId="18" xfId="0" applyFont="1" applyFill="1" applyBorder="1" applyAlignment="1">
      <alignment horizontal="center" vertical="center"/>
    </xf>
    <xf numFmtId="0" fontId="1" fillId="6" borderId="26" xfId="0" applyFont="1" applyFill="1" applyBorder="1" applyAlignment="1">
      <alignment horizontal="center" vertical="center"/>
    </xf>
    <xf numFmtId="0" fontId="1" fillId="6" borderId="23" xfId="0" applyFont="1" applyFill="1" applyBorder="1" applyAlignment="1">
      <alignment horizontal="center" vertical="center"/>
    </xf>
    <xf numFmtId="0" fontId="1" fillId="6" borderId="24" xfId="0" applyFont="1" applyFill="1" applyBorder="1" applyAlignment="1">
      <alignment horizontal="center" vertical="center"/>
    </xf>
    <xf numFmtId="0" fontId="1" fillId="6" borderId="25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left" vertical="center" wrapText="1"/>
    </xf>
    <xf numFmtId="0" fontId="2" fillId="5" borderId="8" xfId="0" applyFont="1" applyFill="1" applyBorder="1" applyAlignment="1">
      <alignment horizontal="left" vertical="center" wrapText="1"/>
    </xf>
    <xf numFmtId="0" fontId="2" fillId="5" borderId="9" xfId="0" applyFont="1" applyFill="1" applyBorder="1" applyAlignment="1">
      <alignment horizontal="left" vertical="center" wrapText="1"/>
    </xf>
    <xf numFmtId="0" fontId="1" fillId="6" borderId="1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0" fillId="0" borderId="19" xfId="0" applyFill="1" applyBorder="1" applyAlignment="1">
      <alignment horizontal="left" vertical="center" wrapText="1"/>
    </xf>
    <xf numFmtId="0" fontId="0" fillId="0" borderId="20" xfId="0" applyFill="1" applyBorder="1" applyAlignment="1">
      <alignment horizontal="left" vertical="center" wrapText="1"/>
    </xf>
    <xf numFmtId="0" fontId="0" fillId="0" borderId="21" xfId="0" applyFill="1" applyBorder="1" applyAlignment="1">
      <alignment horizontal="left" vertical="center" wrapText="1"/>
    </xf>
    <xf numFmtId="0" fontId="26" fillId="3" borderId="17" xfId="0" applyFont="1" applyFill="1" applyBorder="1" applyAlignment="1">
      <alignment horizontal="center" vertical="center"/>
    </xf>
    <xf numFmtId="0" fontId="26" fillId="3" borderId="18" xfId="0" applyFont="1" applyFill="1" applyBorder="1" applyAlignment="1">
      <alignment horizontal="center" vertical="center"/>
    </xf>
    <xf numFmtId="0" fontId="26" fillId="3" borderId="44" xfId="0" applyFont="1" applyFill="1" applyBorder="1" applyAlignment="1">
      <alignment horizontal="center" vertical="center"/>
    </xf>
    <xf numFmtId="0" fontId="8" fillId="3" borderId="17" xfId="0" applyFont="1" applyFill="1" applyBorder="1" applyAlignment="1">
      <alignment horizontal="center" vertical="center" wrapText="1"/>
    </xf>
    <xf numFmtId="0" fontId="8" fillId="3" borderId="18" xfId="0" applyFont="1" applyFill="1" applyBorder="1" applyAlignment="1">
      <alignment horizontal="center" vertical="center" wrapText="1"/>
    </xf>
    <xf numFmtId="0" fontId="8" fillId="3" borderId="44" xfId="0" applyFont="1" applyFill="1" applyBorder="1" applyAlignment="1">
      <alignment horizontal="center" vertical="center" wrapText="1"/>
    </xf>
    <xf numFmtId="0" fontId="27" fillId="5" borderId="0" xfId="0" applyFont="1" applyFill="1" applyBorder="1" applyAlignment="1">
      <alignment horizontal="left" vertical="center" wrapText="1"/>
    </xf>
    <xf numFmtId="0" fontId="8" fillId="5" borderId="0" xfId="1" applyNumberFormat="1" applyFont="1" applyFill="1" applyBorder="1" applyAlignment="1">
      <alignment horizontal="right" vertical="center"/>
    </xf>
    <xf numFmtId="9" fontId="8" fillId="5" borderId="0" xfId="1" applyFont="1" applyFill="1" applyBorder="1" applyAlignment="1">
      <alignment horizontal="right" vertical="center"/>
    </xf>
    <xf numFmtId="0" fontId="27" fillId="5" borderId="48" xfId="0" applyFont="1" applyFill="1" applyBorder="1" applyAlignment="1">
      <alignment horizontal="left" vertical="center" wrapText="1"/>
    </xf>
    <xf numFmtId="1" fontId="8" fillId="3" borderId="17" xfId="0" applyNumberFormat="1" applyFont="1" applyFill="1" applyBorder="1" applyAlignment="1">
      <alignment horizontal="center" vertical="center" wrapText="1"/>
    </xf>
    <xf numFmtId="1" fontId="8" fillId="3" borderId="44" xfId="0" applyNumberFormat="1" applyFont="1" applyFill="1" applyBorder="1" applyAlignment="1">
      <alignment horizontal="center" vertical="center" wrapText="1"/>
    </xf>
    <xf numFmtId="0" fontId="27" fillId="5" borderId="47" xfId="0" applyFont="1" applyFill="1" applyBorder="1" applyAlignment="1">
      <alignment horizontal="left" vertical="center" wrapText="1"/>
    </xf>
    <xf numFmtId="170" fontId="8" fillId="3" borderId="17" xfId="0" applyNumberFormat="1" applyFont="1" applyFill="1" applyBorder="1" applyAlignment="1">
      <alignment horizontal="right" vertical="center"/>
    </xf>
    <xf numFmtId="170" fontId="8" fillId="3" borderId="44" xfId="0" applyNumberFormat="1" applyFont="1" applyFill="1" applyBorder="1" applyAlignment="1">
      <alignment horizontal="right" vertical="center"/>
    </xf>
    <xf numFmtId="170" fontId="8" fillId="5" borderId="0" xfId="0" applyNumberFormat="1" applyFont="1" applyFill="1" applyBorder="1" applyAlignment="1">
      <alignment horizontal="right" vertical="center"/>
    </xf>
    <xf numFmtId="177" fontId="8" fillId="3" borderId="17" xfId="0" applyNumberFormat="1" applyFont="1" applyFill="1" applyBorder="1" applyAlignment="1">
      <alignment horizontal="center" vertical="center"/>
    </xf>
    <xf numFmtId="177" fontId="8" fillId="3" borderId="44" xfId="0" applyNumberFormat="1" applyFont="1" applyFill="1" applyBorder="1" applyAlignment="1">
      <alignment horizontal="center" vertical="center"/>
    </xf>
    <xf numFmtId="0" fontId="28" fillId="4" borderId="5" xfId="0" applyFont="1" applyFill="1" applyBorder="1" applyAlignment="1">
      <alignment horizontal="center" vertical="center"/>
    </xf>
    <xf numFmtId="0" fontId="28" fillId="4" borderId="5" xfId="0" applyNumberFormat="1" applyFont="1" applyFill="1" applyBorder="1" applyAlignment="1">
      <alignment horizontal="center" vertical="center" wrapText="1"/>
    </xf>
    <xf numFmtId="0" fontId="28" fillId="4" borderId="14" xfId="0" applyNumberFormat="1" applyFont="1" applyFill="1" applyBorder="1" applyAlignment="1">
      <alignment horizontal="center" vertical="center" wrapText="1"/>
    </xf>
    <xf numFmtId="0" fontId="28" fillId="4" borderId="1" xfId="0" applyNumberFormat="1" applyFont="1" applyFill="1" applyBorder="1" applyAlignment="1">
      <alignment horizontal="center" vertical="center" wrapText="1"/>
    </xf>
    <xf numFmtId="0" fontId="28" fillId="4" borderId="4" xfId="0" applyNumberFormat="1" applyFont="1" applyFill="1" applyBorder="1" applyAlignment="1">
      <alignment horizontal="center" vertical="center" wrapText="1"/>
    </xf>
    <xf numFmtId="0" fontId="28" fillId="4" borderId="3" xfId="0" applyNumberFormat="1" applyFont="1" applyFill="1" applyBorder="1" applyAlignment="1">
      <alignment horizontal="center" vertical="center" wrapText="1"/>
    </xf>
    <xf numFmtId="0" fontId="28" fillId="4" borderId="6" xfId="0" applyNumberFormat="1" applyFont="1" applyFill="1" applyBorder="1" applyAlignment="1">
      <alignment horizontal="center" vertical="center" wrapText="1"/>
    </xf>
    <xf numFmtId="0" fontId="28" fillId="4" borderId="16" xfId="0" applyFont="1" applyFill="1" applyBorder="1" applyAlignment="1">
      <alignment horizontal="center" vertical="center"/>
    </xf>
    <xf numFmtId="3" fontId="19" fillId="3" borderId="3" xfId="0" applyNumberFormat="1" applyFont="1" applyFill="1" applyBorder="1" applyAlignment="1">
      <alignment horizontal="center" vertical="center" wrapText="1"/>
    </xf>
    <xf numFmtId="3" fontId="19" fillId="3" borderId="6" xfId="0" applyNumberFormat="1" applyFont="1" applyFill="1" applyBorder="1" applyAlignment="1">
      <alignment horizontal="center" vertical="center"/>
    </xf>
    <xf numFmtId="3" fontId="19" fillId="3" borderId="2" xfId="0" applyNumberFormat="1" applyFont="1" applyFill="1" applyBorder="1" applyAlignment="1">
      <alignment horizontal="center" vertical="center" wrapText="1"/>
    </xf>
    <xf numFmtId="3" fontId="19" fillId="3" borderId="5" xfId="0" applyNumberFormat="1" applyFont="1" applyFill="1" applyBorder="1" applyAlignment="1">
      <alignment horizontal="center" vertical="center" wrapText="1"/>
    </xf>
    <xf numFmtId="3" fontId="21" fillId="3" borderId="1" xfId="0" applyNumberFormat="1" applyFont="1" applyFill="1" applyBorder="1" applyAlignment="1">
      <alignment horizontal="center" vertical="center" wrapText="1"/>
    </xf>
    <xf numFmtId="3" fontId="21" fillId="3" borderId="2" xfId="0" applyNumberFormat="1" applyFont="1" applyFill="1" applyBorder="1" applyAlignment="1">
      <alignment horizontal="center" vertical="center"/>
    </xf>
    <xf numFmtId="2" fontId="19" fillId="3" borderId="40" xfId="0" applyNumberFormat="1" applyFont="1" applyFill="1" applyBorder="1" applyAlignment="1">
      <alignment horizontal="left" vertical="center" wrapText="1"/>
    </xf>
    <xf numFmtId="2" fontId="19" fillId="3" borderId="41" xfId="0" applyNumberFormat="1" applyFont="1" applyFill="1" applyBorder="1" applyAlignment="1">
      <alignment horizontal="left" vertical="center" wrapText="1"/>
    </xf>
    <xf numFmtId="2" fontId="19" fillId="3" borderId="32" xfId="0" applyNumberFormat="1" applyFont="1" applyFill="1" applyBorder="1" applyAlignment="1">
      <alignment horizontal="left" vertical="center" wrapText="1"/>
    </xf>
    <xf numFmtId="0" fontId="19" fillId="3" borderId="2" xfId="0" applyFont="1" applyFill="1" applyBorder="1" applyAlignment="1">
      <alignment horizontal="center" vertical="center" wrapText="1"/>
    </xf>
    <xf numFmtId="0" fontId="19" fillId="3" borderId="5" xfId="0" applyFont="1" applyFill="1" applyBorder="1" applyAlignment="1">
      <alignment horizontal="center" vertical="center" wrapText="1"/>
    </xf>
    <xf numFmtId="3" fontId="19" fillId="3" borderId="61" xfId="0" applyNumberFormat="1" applyFont="1" applyFill="1" applyBorder="1" applyAlignment="1">
      <alignment horizontal="center" vertical="center" wrapText="1"/>
    </xf>
    <xf numFmtId="3" fontId="19" fillId="3" borderId="43" xfId="0" applyNumberFormat="1" applyFont="1" applyFill="1" applyBorder="1" applyAlignment="1">
      <alignment horizontal="center" vertical="center" wrapText="1"/>
    </xf>
    <xf numFmtId="3" fontId="19" fillId="3" borderId="62" xfId="0" applyNumberFormat="1" applyFont="1" applyFill="1" applyBorder="1" applyAlignment="1">
      <alignment horizontal="center" vertical="center" wrapText="1"/>
    </xf>
    <xf numFmtId="3" fontId="19" fillId="3" borderId="1" xfId="0" applyNumberFormat="1" applyFont="1" applyFill="1" applyBorder="1" applyAlignment="1">
      <alignment horizontal="center" vertical="center" wrapText="1"/>
    </xf>
    <xf numFmtId="3" fontId="19" fillId="3" borderId="4" xfId="0" applyNumberFormat="1" applyFont="1" applyFill="1" applyBorder="1" applyAlignment="1">
      <alignment horizontal="center" vertical="center" wrapText="1"/>
    </xf>
    <xf numFmtId="3" fontId="19" fillId="3" borderId="5" xfId="0" applyNumberFormat="1" applyFont="1" applyFill="1" applyBorder="1" applyAlignment="1" applyProtection="1">
      <alignment horizontal="center" vertical="center" wrapText="1"/>
    </xf>
    <xf numFmtId="3" fontId="19" fillId="3" borderId="5" xfId="0" applyNumberFormat="1" applyFont="1" applyFill="1" applyBorder="1" applyAlignment="1" applyProtection="1">
      <alignment horizontal="center" vertical="center"/>
    </xf>
    <xf numFmtId="3" fontId="19" fillId="3" borderId="5" xfId="0" applyNumberFormat="1" applyFont="1" applyFill="1" applyBorder="1" applyAlignment="1">
      <alignment horizontal="center" vertical="center"/>
    </xf>
    <xf numFmtId="3" fontId="19" fillId="3" borderId="4" xfId="0" applyNumberFormat="1" applyFont="1" applyFill="1" applyBorder="1" applyAlignment="1">
      <alignment horizontal="center" vertical="center"/>
    </xf>
    <xf numFmtId="3" fontId="19" fillId="3" borderId="6" xfId="0" applyNumberFormat="1" applyFont="1" applyFill="1" applyBorder="1" applyAlignment="1">
      <alignment horizontal="center" vertical="center" wrapText="1"/>
    </xf>
    <xf numFmtId="3" fontId="19" fillId="3" borderId="37" xfId="0" applyNumberFormat="1" applyFont="1" applyFill="1" applyBorder="1" applyAlignment="1">
      <alignment horizontal="center" vertical="center"/>
    </xf>
    <xf numFmtId="3" fontId="19" fillId="3" borderId="20" xfId="0" applyNumberFormat="1" applyFont="1" applyFill="1" applyBorder="1" applyAlignment="1">
      <alignment horizontal="center" vertical="center"/>
    </xf>
    <xf numFmtId="3" fontId="19" fillId="3" borderId="3" xfId="0" applyNumberFormat="1" applyFont="1" applyFill="1" applyBorder="1" applyAlignment="1">
      <alignment horizontal="center" vertical="center"/>
    </xf>
    <xf numFmtId="3" fontId="19" fillId="3" borderId="22" xfId="0" applyNumberFormat="1" applyFont="1" applyFill="1" applyBorder="1" applyAlignment="1">
      <alignment horizontal="center" vertical="center"/>
    </xf>
    <xf numFmtId="3" fontId="19" fillId="3" borderId="19" xfId="0" applyNumberFormat="1" applyFont="1" applyFill="1" applyBorder="1" applyAlignment="1">
      <alignment horizontal="center" vertical="center"/>
    </xf>
    <xf numFmtId="3" fontId="19" fillId="3" borderId="6" xfId="0" applyNumberFormat="1" applyFont="1" applyFill="1" applyBorder="1" applyAlignment="1" applyProtection="1">
      <alignment horizontal="center" vertical="center" wrapText="1"/>
    </xf>
    <xf numFmtId="3" fontId="19" fillId="3" borderId="22" xfId="0" applyNumberFormat="1" applyFont="1" applyFill="1" applyBorder="1" applyAlignment="1" applyProtection="1">
      <alignment horizontal="center" vertical="center"/>
    </xf>
    <xf numFmtId="3" fontId="21" fillId="3" borderId="3" xfId="0" applyNumberFormat="1" applyFont="1" applyFill="1" applyBorder="1" applyAlignment="1">
      <alignment horizontal="center" vertical="center"/>
    </xf>
    <xf numFmtId="3" fontId="21" fillId="2" borderId="0" xfId="0" applyNumberFormat="1" applyFont="1" applyFill="1" applyBorder="1" applyAlignment="1">
      <alignment horizontal="center" vertical="center" wrapText="1"/>
    </xf>
    <xf numFmtId="0" fontId="41" fillId="3" borderId="45" xfId="0" applyFont="1" applyFill="1" applyBorder="1" applyAlignment="1">
      <alignment horizontal="center" vertical="center" wrapText="1"/>
    </xf>
    <xf numFmtId="0" fontId="41" fillId="3" borderId="46" xfId="0" applyFont="1" applyFill="1" applyBorder="1" applyAlignment="1">
      <alignment horizontal="center" vertical="center" wrapText="1"/>
    </xf>
    <xf numFmtId="0" fontId="41" fillId="3" borderId="26" xfId="0" applyFont="1" applyFill="1" applyBorder="1" applyAlignment="1">
      <alignment horizontal="center" vertical="center" wrapText="1"/>
    </xf>
    <xf numFmtId="0" fontId="41" fillId="4" borderId="19" xfId="0" applyFont="1" applyFill="1" applyBorder="1" applyAlignment="1">
      <alignment horizontal="center" vertical="center"/>
    </xf>
    <xf numFmtId="0" fontId="41" fillId="4" borderId="20" xfId="0" applyFont="1" applyFill="1" applyBorder="1" applyAlignment="1">
      <alignment horizontal="center" vertical="center"/>
    </xf>
    <xf numFmtId="0" fontId="41" fillId="4" borderId="13" xfId="0" applyFont="1" applyFill="1" applyBorder="1" applyAlignment="1">
      <alignment horizontal="center" vertical="center" wrapText="1"/>
    </xf>
    <xf numFmtId="0" fontId="41" fillId="4" borderId="36" xfId="0" applyFont="1" applyFill="1" applyBorder="1" applyAlignment="1">
      <alignment horizontal="center" vertical="center" wrapText="1"/>
    </xf>
    <xf numFmtId="0" fontId="41" fillId="4" borderId="5" xfId="0" applyFont="1" applyFill="1" applyBorder="1" applyAlignment="1">
      <alignment horizontal="center" vertical="center" wrapText="1"/>
    </xf>
    <xf numFmtId="172" fontId="41" fillId="4" borderId="22" xfId="0" applyNumberFormat="1" applyFont="1" applyFill="1" applyBorder="1" applyAlignment="1">
      <alignment horizontal="center" vertical="center" wrapText="1"/>
    </xf>
    <xf numFmtId="172" fontId="41" fillId="4" borderId="38" xfId="0" applyNumberFormat="1" applyFont="1" applyFill="1" applyBorder="1" applyAlignment="1">
      <alignment horizontal="center" vertical="center" wrapText="1"/>
    </xf>
    <xf numFmtId="167" fontId="41" fillId="4" borderId="13" xfId="0" applyNumberFormat="1" applyFont="1" applyFill="1" applyBorder="1" applyAlignment="1">
      <alignment horizontal="center" vertical="center" wrapText="1"/>
    </xf>
    <xf numFmtId="167" fontId="41" fillId="4" borderId="36" xfId="0" applyNumberFormat="1" applyFont="1" applyFill="1" applyBorder="1" applyAlignment="1">
      <alignment horizontal="center" vertical="center" wrapText="1"/>
    </xf>
    <xf numFmtId="2" fontId="41" fillId="4" borderId="5" xfId="0" applyNumberFormat="1" applyFont="1" applyFill="1" applyBorder="1" applyAlignment="1">
      <alignment horizontal="center" vertical="center" wrapText="1"/>
    </xf>
    <xf numFmtId="2" fontId="41" fillId="4" borderId="13" xfId="0" applyNumberFormat="1" applyFont="1" applyFill="1" applyBorder="1" applyAlignment="1">
      <alignment horizontal="center" vertical="center" wrapText="1"/>
    </xf>
    <xf numFmtId="0" fontId="4" fillId="3" borderId="0" xfId="0" applyFont="1" applyFill="1" applyBorder="1" applyAlignment="1">
      <alignment horizontal="center" vertical="center" wrapText="1"/>
    </xf>
    <xf numFmtId="2" fontId="14" fillId="4" borderId="5" xfId="0" applyNumberFormat="1" applyFont="1" applyFill="1" applyBorder="1" applyAlignment="1">
      <alignment horizontal="center" vertical="center" wrapText="1"/>
    </xf>
    <xf numFmtId="0" fontId="14" fillId="4" borderId="5" xfId="0" applyFont="1" applyFill="1" applyBorder="1" applyAlignment="1">
      <alignment horizontal="center" vertical="center" wrapText="1"/>
    </xf>
    <xf numFmtId="172" fontId="14" fillId="4" borderId="5" xfId="0" applyNumberFormat="1" applyFont="1" applyFill="1" applyBorder="1" applyAlignment="1">
      <alignment horizontal="center" vertical="center" wrapText="1"/>
    </xf>
    <xf numFmtId="0" fontId="14" fillId="4" borderId="13" xfId="0" applyFont="1" applyFill="1" applyBorder="1" applyAlignment="1">
      <alignment horizontal="center" vertical="center" wrapText="1"/>
    </xf>
    <xf numFmtId="167" fontId="14" fillId="4" borderId="5" xfId="0" applyNumberFormat="1" applyFont="1" applyFill="1" applyBorder="1" applyAlignment="1">
      <alignment horizontal="center" vertical="center" wrapText="1"/>
    </xf>
    <xf numFmtId="0" fontId="14" fillId="4" borderId="5" xfId="0" applyFont="1" applyFill="1" applyBorder="1" applyAlignment="1">
      <alignment horizontal="center" vertical="center"/>
    </xf>
    <xf numFmtId="0" fontId="12" fillId="3" borderId="0" xfId="0" applyFont="1" applyFill="1" applyBorder="1" applyAlignment="1">
      <alignment horizontal="center" vertical="center" wrapText="1"/>
    </xf>
    <xf numFmtId="0" fontId="12" fillId="4" borderId="5" xfId="0" applyFont="1" applyFill="1" applyBorder="1" applyAlignment="1">
      <alignment horizontal="center" vertical="center" wrapText="1"/>
    </xf>
    <xf numFmtId="2" fontId="12" fillId="4" borderId="5" xfId="0" applyNumberFormat="1" applyFont="1" applyFill="1" applyBorder="1" applyAlignment="1">
      <alignment horizontal="center" vertical="center" wrapText="1"/>
    </xf>
    <xf numFmtId="167" fontId="12" fillId="4" borderId="5" xfId="0" applyNumberFormat="1" applyFont="1" applyFill="1" applyBorder="1" applyAlignment="1">
      <alignment horizontal="center" vertical="center" wrapText="1"/>
    </xf>
    <xf numFmtId="172" fontId="12" fillId="4" borderId="5" xfId="0" applyNumberFormat="1" applyFont="1" applyFill="1" applyBorder="1" applyAlignment="1">
      <alignment horizontal="center" vertical="center" wrapText="1"/>
    </xf>
    <xf numFmtId="0" fontId="12" fillId="4" borderId="5" xfId="0" applyFont="1" applyFill="1" applyBorder="1" applyAlignment="1">
      <alignment horizontal="center" vertical="center"/>
    </xf>
    <xf numFmtId="0" fontId="4" fillId="13" borderId="5" xfId="3" applyFont="1" applyFill="1" applyBorder="1" applyAlignment="1">
      <alignment horizontal="center" vertical="center" wrapText="1"/>
    </xf>
    <xf numFmtId="0" fontId="4" fillId="13" borderId="13" xfId="3" applyFont="1" applyFill="1" applyBorder="1" applyAlignment="1">
      <alignment horizontal="center" vertical="center" wrapText="1"/>
    </xf>
    <xf numFmtId="0" fontId="4" fillId="13" borderId="35" xfId="3" applyFont="1" applyFill="1" applyBorder="1" applyAlignment="1">
      <alignment horizontal="center" vertical="center" wrapText="1"/>
    </xf>
    <xf numFmtId="0" fontId="42" fillId="0" borderId="33" xfId="0" applyFont="1" applyBorder="1" applyAlignment="1">
      <alignment horizontal="center" vertical="center"/>
    </xf>
    <xf numFmtId="0" fontId="12" fillId="4" borderId="13" xfId="0" applyFont="1" applyFill="1" applyBorder="1" applyAlignment="1">
      <alignment horizontal="center" vertical="center" wrapText="1"/>
    </xf>
    <xf numFmtId="0" fontId="12" fillId="4" borderId="35" xfId="0" applyFont="1" applyFill="1" applyBorder="1" applyAlignment="1">
      <alignment horizontal="center" vertical="center" wrapText="1"/>
    </xf>
    <xf numFmtId="0" fontId="12" fillId="4" borderId="19" xfId="0" applyFont="1" applyFill="1" applyBorder="1" applyAlignment="1">
      <alignment horizontal="center" vertical="center"/>
    </xf>
    <xf numFmtId="0" fontId="12" fillId="4" borderId="27" xfId="0" applyFont="1" applyFill="1" applyBorder="1" applyAlignment="1">
      <alignment horizontal="center" vertical="center"/>
    </xf>
    <xf numFmtId="0" fontId="12" fillId="4" borderId="5" xfId="0" applyFont="1" applyFill="1" applyBorder="1" applyAlignment="1">
      <alignment horizontal="center" wrapText="1"/>
    </xf>
    <xf numFmtId="167" fontId="12" fillId="4" borderId="13" xfId="0" applyNumberFormat="1" applyFont="1" applyFill="1" applyBorder="1" applyAlignment="1">
      <alignment horizontal="center" vertical="center" wrapText="1"/>
    </xf>
    <xf numFmtId="167" fontId="12" fillId="4" borderId="35" xfId="0" applyNumberFormat="1" applyFont="1" applyFill="1" applyBorder="1" applyAlignment="1">
      <alignment horizontal="center" vertical="center" wrapText="1"/>
    </xf>
    <xf numFmtId="0" fontId="0" fillId="2" borderId="14" xfId="0" applyFont="1" applyFill="1" applyBorder="1" applyAlignment="1">
      <alignment horizontal="center"/>
    </xf>
    <xf numFmtId="0" fontId="0" fillId="2" borderId="15" xfId="0" applyFont="1" applyFill="1" applyBorder="1" applyAlignment="1">
      <alignment horizontal="center"/>
    </xf>
    <xf numFmtId="0" fontId="0" fillId="2" borderId="42" xfId="0" applyFont="1" applyFill="1" applyBorder="1" applyAlignment="1">
      <alignment horizontal="center"/>
    </xf>
    <xf numFmtId="0" fontId="0" fillId="2" borderId="55" xfId="0" applyFont="1" applyFill="1" applyBorder="1" applyAlignment="1">
      <alignment horizontal="center"/>
    </xf>
    <xf numFmtId="0" fontId="0" fillId="2" borderId="57" xfId="0" applyFont="1" applyFill="1" applyBorder="1" applyAlignment="1">
      <alignment horizontal="center"/>
    </xf>
    <xf numFmtId="0" fontId="0" fillId="2" borderId="58" xfId="0" applyFont="1" applyFill="1" applyBorder="1" applyAlignment="1">
      <alignment horizontal="center"/>
    </xf>
    <xf numFmtId="0" fontId="4" fillId="4" borderId="29" xfId="0" applyFont="1" applyFill="1" applyBorder="1" applyAlignment="1">
      <alignment horizontal="center" vertical="center" wrapText="1"/>
    </xf>
    <xf numFmtId="0" fontId="4" fillId="4" borderId="31" xfId="0" applyFont="1" applyFill="1" applyBorder="1" applyAlignment="1">
      <alignment horizontal="center" vertical="center" wrapText="1"/>
    </xf>
    <xf numFmtId="0" fontId="4" fillId="4" borderId="32" xfId="0" applyFont="1" applyFill="1" applyBorder="1" applyAlignment="1">
      <alignment horizontal="center" vertical="center" wrapText="1"/>
    </xf>
    <xf numFmtId="0" fontId="4" fillId="4" borderId="34" xfId="0" applyFont="1" applyFill="1" applyBorder="1" applyAlignment="1">
      <alignment horizontal="center" vertical="center" wrapText="1"/>
    </xf>
    <xf numFmtId="3" fontId="4" fillId="4" borderId="14" xfId="0" applyNumberFormat="1" applyFont="1" applyFill="1" applyBorder="1" applyAlignment="1">
      <alignment horizontal="center" vertical="center" wrapText="1"/>
    </xf>
    <xf numFmtId="3" fontId="4" fillId="4" borderId="16" xfId="0" applyNumberFormat="1" applyFont="1" applyFill="1" applyBorder="1" applyAlignment="1">
      <alignment horizontal="center" vertical="center" wrapText="1"/>
    </xf>
    <xf numFmtId="3" fontId="0" fillId="2" borderId="14" xfId="0" applyNumberFormat="1" applyFont="1" applyFill="1" applyBorder="1" applyAlignment="1">
      <alignment horizontal="center" vertical="center"/>
    </xf>
    <xf numFmtId="3" fontId="0" fillId="2" borderId="16" xfId="0" applyNumberFormat="1" applyFont="1" applyFill="1" applyBorder="1" applyAlignment="1">
      <alignment horizontal="center" vertical="center"/>
    </xf>
    <xf numFmtId="3" fontId="0" fillId="2" borderId="55" xfId="0" applyNumberFormat="1" applyFont="1" applyFill="1" applyBorder="1" applyAlignment="1">
      <alignment horizontal="center" vertical="center"/>
    </xf>
    <xf numFmtId="3" fontId="0" fillId="2" borderId="56" xfId="0" applyNumberFormat="1" applyFont="1" applyFill="1" applyBorder="1" applyAlignment="1">
      <alignment horizontal="center" vertical="center"/>
    </xf>
    <xf numFmtId="3" fontId="2" fillId="4" borderId="14" xfId="0" applyNumberFormat="1" applyFont="1" applyFill="1" applyBorder="1" applyAlignment="1">
      <alignment horizontal="center" vertical="center"/>
    </xf>
    <xf numFmtId="3" fontId="2" fillId="4" borderId="16" xfId="0" applyNumberFormat="1" applyFont="1" applyFill="1" applyBorder="1" applyAlignment="1">
      <alignment horizontal="center" vertical="center"/>
    </xf>
    <xf numFmtId="0" fontId="0" fillId="2" borderId="14" xfId="0" applyFont="1" applyFill="1" applyBorder="1" applyAlignment="1">
      <alignment horizontal="center" vertical="center"/>
    </xf>
    <xf numFmtId="0" fontId="0" fillId="2" borderId="16" xfId="0" applyFont="1" applyFill="1" applyBorder="1" applyAlignment="1">
      <alignment horizontal="center" vertical="center"/>
    </xf>
    <xf numFmtId="0" fontId="0" fillId="2" borderId="55" xfId="0" applyFont="1" applyFill="1" applyBorder="1" applyAlignment="1">
      <alignment horizontal="center" vertical="center"/>
    </xf>
    <xf numFmtId="0" fontId="0" fillId="2" borderId="56" xfId="0" applyFont="1" applyFill="1" applyBorder="1" applyAlignment="1">
      <alignment horizontal="center" vertical="center"/>
    </xf>
    <xf numFmtId="0" fontId="2" fillId="4" borderId="14" xfId="0" applyFont="1" applyFill="1" applyBorder="1" applyAlignment="1">
      <alignment horizontal="center"/>
    </xf>
    <xf numFmtId="0" fontId="2" fillId="4" borderId="15" xfId="0" applyFont="1" applyFill="1" applyBorder="1" applyAlignment="1">
      <alignment horizontal="center"/>
    </xf>
    <xf numFmtId="0" fontId="2" fillId="4" borderId="16" xfId="0" applyFont="1" applyFill="1" applyBorder="1" applyAlignment="1">
      <alignment horizontal="center"/>
    </xf>
    <xf numFmtId="0" fontId="0" fillId="2" borderId="14" xfId="0" applyFont="1" applyFill="1" applyBorder="1" applyAlignment="1">
      <alignment horizontal="left" vertical="center" wrapText="1"/>
    </xf>
    <xf numFmtId="0" fontId="0" fillId="2" borderId="15" xfId="0" applyFont="1" applyFill="1" applyBorder="1" applyAlignment="1">
      <alignment horizontal="left" vertical="center" wrapText="1"/>
    </xf>
    <xf numFmtId="0" fontId="0" fillId="2" borderId="16" xfId="0" applyFont="1" applyFill="1" applyBorder="1" applyAlignment="1">
      <alignment horizontal="left" vertical="center" wrapText="1"/>
    </xf>
    <xf numFmtId="0" fontId="6" fillId="2" borderId="14" xfId="0" applyFont="1" applyFill="1" applyBorder="1" applyAlignment="1">
      <alignment horizontal="left" vertical="center" wrapText="1"/>
    </xf>
    <xf numFmtId="0" fontId="6" fillId="2" borderId="15" xfId="0" applyFont="1" applyFill="1" applyBorder="1" applyAlignment="1">
      <alignment horizontal="left" vertical="center" wrapText="1"/>
    </xf>
    <xf numFmtId="0" fontId="6" fillId="2" borderId="16" xfId="0" applyFont="1" applyFill="1" applyBorder="1" applyAlignment="1">
      <alignment horizontal="left" vertical="center" wrapText="1"/>
    </xf>
    <xf numFmtId="0" fontId="0" fillId="2" borderId="15" xfId="0" applyFont="1" applyFill="1" applyBorder="1" applyAlignment="1">
      <alignment horizontal="center" vertical="center"/>
    </xf>
    <xf numFmtId="0" fontId="0" fillId="2" borderId="57" xfId="0" applyFont="1" applyFill="1" applyBorder="1" applyAlignment="1">
      <alignment horizontal="center" vertical="center"/>
    </xf>
    <xf numFmtId="0" fontId="10" fillId="4" borderId="17" xfId="0" applyFont="1" applyFill="1" applyBorder="1" applyAlignment="1">
      <alignment horizontal="left" vertical="center"/>
    </xf>
    <xf numFmtId="0" fontId="10" fillId="4" borderId="18" xfId="0" applyFont="1" applyFill="1" applyBorder="1" applyAlignment="1">
      <alignment horizontal="left" vertical="center"/>
    </xf>
    <xf numFmtId="0" fontId="10" fillId="4" borderId="44" xfId="0" applyFont="1" applyFill="1" applyBorder="1" applyAlignment="1">
      <alignment horizontal="left" vertical="center"/>
    </xf>
    <xf numFmtId="0" fontId="7" fillId="3" borderId="17" xfId="0" applyFont="1" applyFill="1" applyBorder="1" applyAlignment="1">
      <alignment horizontal="center" vertical="center"/>
    </xf>
    <xf numFmtId="0" fontId="7" fillId="3" borderId="18" xfId="0" applyFont="1" applyFill="1" applyBorder="1" applyAlignment="1">
      <alignment horizontal="center" vertical="center"/>
    </xf>
    <xf numFmtId="0" fontId="7" fillId="3" borderId="44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 wrapText="1"/>
    </xf>
    <xf numFmtId="0" fontId="4" fillId="4" borderId="6" xfId="0" applyFont="1" applyFill="1" applyBorder="1" applyAlignment="1">
      <alignment horizontal="center" vertical="center" wrapText="1"/>
    </xf>
    <xf numFmtId="0" fontId="2" fillId="4" borderId="42" xfId="0" applyFont="1" applyFill="1" applyBorder="1" applyAlignment="1">
      <alignment horizontal="center"/>
    </xf>
    <xf numFmtId="0" fontId="4" fillId="4" borderId="30" xfId="0" applyFont="1" applyFill="1" applyBorder="1" applyAlignment="1">
      <alignment horizontal="center" vertical="center" wrapText="1"/>
    </xf>
    <xf numFmtId="0" fontId="4" fillId="4" borderId="33" xfId="0" applyFont="1" applyFill="1" applyBorder="1" applyAlignment="1">
      <alignment horizontal="center" vertical="center" wrapText="1"/>
    </xf>
    <xf numFmtId="0" fontId="4" fillId="4" borderId="14" xfId="0" applyFont="1" applyFill="1" applyBorder="1" applyAlignment="1">
      <alignment horizontal="center" vertical="center" wrapText="1"/>
    </xf>
    <xf numFmtId="0" fontId="4" fillId="4" borderId="15" xfId="0" applyFont="1" applyFill="1" applyBorder="1" applyAlignment="1">
      <alignment horizontal="center" vertical="center" wrapText="1"/>
    </xf>
    <xf numFmtId="0" fontId="4" fillId="4" borderId="16" xfId="0" applyFont="1" applyFill="1" applyBorder="1" applyAlignment="1">
      <alignment horizontal="center" vertical="center" wrapText="1"/>
    </xf>
    <xf numFmtId="0" fontId="0" fillId="2" borderId="14" xfId="0" applyFont="1" applyFill="1" applyBorder="1" applyAlignment="1">
      <alignment horizontal="center" vertical="center" wrapText="1"/>
    </xf>
    <xf numFmtId="0" fontId="0" fillId="2" borderId="15" xfId="0" applyFont="1" applyFill="1" applyBorder="1" applyAlignment="1">
      <alignment horizontal="center" vertical="center" wrapText="1"/>
    </xf>
    <xf numFmtId="0" fontId="0" fillId="2" borderId="16" xfId="0" applyFont="1" applyFill="1" applyBorder="1" applyAlignment="1">
      <alignment horizontal="center" vertical="center" wrapText="1"/>
    </xf>
    <xf numFmtId="0" fontId="1" fillId="5" borderId="47" xfId="0" applyFont="1" applyFill="1" applyBorder="1" applyAlignment="1">
      <alignment horizontal="left" vertical="center" wrapText="1"/>
    </xf>
    <xf numFmtId="0" fontId="1" fillId="5" borderId="48" xfId="0" applyFont="1" applyFill="1" applyBorder="1" applyAlignment="1">
      <alignment horizontal="left" vertical="center" wrapText="1"/>
    </xf>
    <xf numFmtId="0" fontId="1" fillId="5" borderId="0" xfId="0" applyFont="1" applyFill="1" applyBorder="1" applyAlignment="1">
      <alignment horizontal="left" vertical="center" wrapText="1"/>
    </xf>
    <xf numFmtId="177" fontId="0" fillId="3" borderId="17" xfId="0" applyNumberFormat="1" applyFill="1" applyBorder="1" applyAlignment="1">
      <alignment horizontal="center" vertical="center"/>
    </xf>
    <xf numFmtId="177" fontId="0" fillId="3" borderId="44" xfId="0" applyNumberFormat="1" applyFill="1" applyBorder="1" applyAlignment="1">
      <alignment horizontal="center" vertical="center"/>
    </xf>
    <xf numFmtId="1" fontId="0" fillId="3" borderId="17" xfId="0" applyNumberFormat="1" applyFill="1" applyBorder="1" applyAlignment="1">
      <alignment horizontal="center" vertical="center" wrapText="1"/>
    </xf>
    <xf numFmtId="1" fontId="0" fillId="3" borderId="44" xfId="0" applyNumberFormat="1" applyFill="1" applyBorder="1" applyAlignment="1">
      <alignment horizontal="center" vertical="center" wrapText="1"/>
    </xf>
    <xf numFmtId="0" fontId="0" fillId="5" borderId="0" xfId="1" applyNumberFormat="1" applyFont="1" applyFill="1" applyBorder="1" applyAlignment="1">
      <alignment horizontal="right" vertical="center"/>
    </xf>
    <xf numFmtId="9" fontId="0" fillId="5" borderId="48" xfId="1" applyFont="1" applyFill="1" applyBorder="1" applyAlignment="1">
      <alignment horizontal="right" vertical="center"/>
    </xf>
    <xf numFmtId="0" fontId="10" fillId="4" borderId="39" xfId="0" applyFont="1" applyFill="1" applyBorder="1" applyAlignment="1">
      <alignment horizontal="left" vertical="center"/>
    </xf>
    <xf numFmtId="0" fontId="10" fillId="4" borderId="59" xfId="0" applyFont="1" applyFill="1" applyBorder="1" applyAlignment="1">
      <alignment horizontal="left" vertical="center"/>
    </xf>
    <xf numFmtId="0" fontId="10" fillId="4" borderId="60" xfId="0" applyFont="1" applyFill="1" applyBorder="1" applyAlignment="1">
      <alignment horizontal="left" vertical="center"/>
    </xf>
    <xf numFmtId="170" fontId="0" fillId="3" borderId="17" xfId="0" applyNumberFormat="1" applyFill="1" applyBorder="1" applyAlignment="1">
      <alignment horizontal="right" vertical="center"/>
    </xf>
    <xf numFmtId="170" fontId="0" fillId="3" borderId="44" xfId="0" applyNumberFormat="1" applyFill="1" applyBorder="1" applyAlignment="1">
      <alignment horizontal="right" vertical="center"/>
    </xf>
    <xf numFmtId="168" fontId="0" fillId="5" borderId="0" xfId="0" applyNumberFormat="1" applyFill="1" applyBorder="1" applyAlignment="1">
      <alignment horizontal="right" vertical="center"/>
    </xf>
    <xf numFmtId="0" fontId="4" fillId="4" borderId="16" xfId="0" applyFont="1" applyFill="1" applyBorder="1" applyAlignment="1">
      <alignment horizontal="center" vertical="center"/>
    </xf>
    <xf numFmtId="0" fontId="1" fillId="4" borderId="19" xfId="0" applyFont="1" applyFill="1" applyBorder="1" applyAlignment="1">
      <alignment horizontal="center" vertical="center"/>
    </xf>
    <xf numFmtId="0" fontId="1" fillId="4" borderId="27" xfId="0" applyFont="1" applyFill="1" applyBorder="1" applyAlignment="1">
      <alignment horizontal="center" vertical="center"/>
    </xf>
    <xf numFmtId="0" fontId="0" fillId="2" borderId="55" xfId="0" applyFont="1" applyFill="1" applyBorder="1" applyAlignment="1">
      <alignment horizontal="center" vertical="center" wrapText="1"/>
    </xf>
    <xf numFmtId="0" fontId="0" fillId="2" borderId="57" xfId="0" applyFont="1" applyFill="1" applyBorder="1" applyAlignment="1">
      <alignment horizontal="center" vertical="center" wrapText="1"/>
    </xf>
    <xf numFmtId="0" fontId="0" fillId="2" borderId="56" xfId="0" applyFont="1" applyFill="1" applyBorder="1" applyAlignment="1">
      <alignment horizontal="center" vertical="center" wrapText="1"/>
    </xf>
    <xf numFmtId="0" fontId="2" fillId="0" borderId="33" xfId="0" applyFont="1" applyBorder="1" applyAlignment="1">
      <alignment horizontal="center" vertical="center"/>
    </xf>
    <xf numFmtId="0" fontId="43" fillId="20" borderId="5" xfId="0" applyFont="1" applyFill="1" applyBorder="1" applyAlignment="1">
      <alignment horizontal="center"/>
    </xf>
    <xf numFmtId="0" fontId="43" fillId="20" borderId="14" xfId="0" applyFont="1" applyFill="1" applyBorder="1" applyAlignment="1">
      <alignment horizontal="center"/>
    </xf>
    <xf numFmtId="0" fontId="43" fillId="20" borderId="5" xfId="0" applyFont="1" applyFill="1" applyBorder="1" applyAlignment="1">
      <alignment horizontal="center" vertical="center" wrapText="1"/>
    </xf>
    <xf numFmtId="0" fontId="43" fillId="20" borderId="5" xfId="0" applyFont="1" applyFill="1" applyBorder="1" applyAlignment="1">
      <alignment horizontal="center" vertical="center"/>
    </xf>
    <xf numFmtId="2" fontId="43" fillId="20" borderId="5" xfId="0" applyNumberFormat="1" applyFont="1" applyFill="1" applyBorder="1" applyAlignment="1">
      <alignment horizontal="center" vertical="center" wrapText="1"/>
    </xf>
    <xf numFmtId="9" fontId="43" fillId="20" borderId="5" xfId="1" applyFont="1" applyFill="1" applyBorder="1" applyAlignment="1">
      <alignment horizontal="center" vertical="center"/>
    </xf>
    <xf numFmtId="0" fontId="43" fillId="20" borderId="0" xfId="0" applyFont="1" applyFill="1" applyAlignment="1">
      <alignment horizontal="center" vertical="center"/>
    </xf>
    <xf numFmtId="4" fontId="12" fillId="4" borderId="5" xfId="0" applyNumberFormat="1" applyFont="1" applyFill="1" applyBorder="1" applyAlignment="1">
      <alignment horizontal="center" vertical="center" wrapText="1"/>
    </xf>
    <xf numFmtId="4" fontId="13" fillId="0" borderId="5" xfId="0" applyNumberFormat="1" applyFont="1" applyBorder="1"/>
    <xf numFmtId="4" fontId="13" fillId="15" borderId="5" xfId="0" applyNumberFormat="1" applyFont="1" applyFill="1" applyBorder="1"/>
    <xf numFmtId="4" fontId="13" fillId="0" borderId="0" xfId="0" applyNumberFormat="1" applyFont="1"/>
    <xf numFmtId="4" fontId="12" fillId="4" borderId="13" xfId="0" applyNumberFormat="1" applyFont="1" applyFill="1" applyBorder="1" applyAlignment="1">
      <alignment horizontal="center" vertical="center" wrapText="1"/>
    </xf>
    <xf numFmtId="4" fontId="12" fillId="4" borderId="35" xfId="0" applyNumberFormat="1" applyFont="1" applyFill="1" applyBorder="1" applyAlignment="1">
      <alignment horizontal="center" vertical="center" wrapText="1"/>
    </xf>
    <xf numFmtId="0" fontId="13" fillId="18" borderId="63" xfId="0" applyFont="1" applyFill="1" applyBorder="1" applyAlignment="1">
      <alignment horizontal="center" vertical="center" wrapText="1"/>
    </xf>
    <xf numFmtId="0" fontId="13" fillId="3" borderId="67" xfId="0" applyFont="1" applyFill="1" applyBorder="1" applyAlignment="1">
      <alignment horizontal="center" vertical="center" wrapText="1"/>
    </xf>
    <xf numFmtId="165" fontId="13" fillId="18" borderId="67" xfId="0" applyNumberFormat="1" applyFont="1" applyFill="1" applyBorder="1" applyAlignment="1">
      <alignment horizontal="center" vertical="center"/>
    </xf>
    <xf numFmtId="2" fontId="13" fillId="18" borderId="67" xfId="0" applyNumberFormat="1" applyFont="1" applyFill="1" applyBorder="1" applyAlignment="1">
      <alignment horizontal="center" vertical="center"/>
    </xf>
    <xf numFmtId="49" fontId="13" fillId="3" borderId="5" xfId="0" applyNumberFormat="1" applyFont="1" applyFill="1" applyBorder="1" applyAlignment="1">
      <alignment horizontal="center" vertical="center"/>
    </xf>
    <xf numFmtId="49" fontId="13" fillId="18" borderId="5" xfId="0" applyNumberFormat="1" applyFont="1" applyFill="1" applyBorder="1" applyAlignment="1">
      <alignment horizontal="center" vertical="center"/>
    </xf>
    <xf numFmtId="49" fontId="13" fillId="3" borderId="5" xfId="0" applyNumberFormat="1" applyFont="1" applyFill="1" applyBorder="1" applyAlignment="1">
      <alignment horizontal="center" vertical="center" wrapText="1"/>
    </xf>
    <xf numFmtId="0" fontId="13" fillId="3" borderId="5" xfId="0" applyFont="1" applyFill="1" applyBorder="1" applyAlignment="1">
      <alignment vertical="center"/>
    </xf>
    <xf numFmtId="0" fontId="13" fillId="0" borderId="5" xfId="0" applyFont="1" applyBorder="1" applyAlignment="1">
      <alignment vertical="center"/>
    </xf>
    <xf numFmtId="0" fontId="13" fillId="0" borderId="13" xfId="0" applyFont="1" applyBorder="1" applyAlignment="1">
      <alignment vertical="center"/>
    </xf>
    <xf numFmtId="0" fontId="13" fillId="18" borderId="14" xfId="0" applyFont="1" applyFill="1" applyBorder="1" applyAlignment="1">
      <alignment vertical="center"/>
    </xf>
    <xf numFmtId="0" fontId="13" fillId="18" borderId="5" xfId="0" applyFont="1" applyFill="1" applyBorder="1" applyAlignment="1">
      <alignment vertical="center"/>
    </xf>
    <xf numFmtId="0" fontId="13" fillId="3" borderId="64" xfId="0" applyFont="1" applyFill="1" applyBorder="1" applyAlignment="1">
      <alignment horizontal="center" vertical="center" wrapText="1"/>
    </xf>
    <xf numFmtId="0" fontId="13" fillId="3" borderId="64" xfId="0" applyFont="1" applyFill="1" applyBorder="1" applyAlignment="1">
      <alignment horizontal="left" vertical="center" wrapText="1"/>
    </xf>
    <xf numFmtId="14" fontId="13" fillId="3" borderId="64" xfId="0" applyNumberFormat="1" applyFont="1" applyFill="1" applyBorder="1" applyAlignment="1">
      <alignment horizontal="center" vertical="center"/>
    </xf>
    <xf numFmtId="0" fontId="13" fillId="3" borderId="64" xfId="0" applyFont="1" applyFill="1" applyBorder="1" applyAlignment="1">
      <alignment horizontal="center" vertical="center"/>
    </xf>
    <xf numFmtId="4" fontId="13" fillId="3" borderId="64" xfId="0" applyNumberFormat="1" applyFont="1" applyFill="1" applyBorder="1" applyAlignment="1">
      <alignment horizontal="right" vertical="center"/>
    </xf>
    <xf numFmtId="165" fontId="13" fillId="3" borderId="64" xfId="0" applyNumberFormat="1" applyFont="1" applyFill="1" applyBorder="1" applyAlignment="1">
      <alignment horizontal="center" vertical="center"/>
    </xf>
    <xf numFmtId="4" fontId="13" fillId="3" borderId="64" xfId="0" applyNumberFormat="1" applyFont="1" applyFill="1" applyBorder="1" applyAlignment="1">
      <alignment horizontal="right" vertical="center" wrapText="1"/>
    </xf>
    <xf numFmtId="2" fontId="13" fillId="3" borderId="64" xfId="0" applyNumberFormat="1" applyFont="1" applyFill="1" applyBorder="1" applyAlignment="1">
      <alignment horizontal="center" vertical="center"/>
    </xf>
    <xf numFmtId="0" fontId="13" fillId="3" borderId="0" xfId="0" applyFont="1" applyFill="1" applyAlignment="1">
      <alignment horizontal="center" vertical="center"/>
    </xf>
    <xf numFmtId="0" fontId="13" fillId="3" borderId="0" xfId="0" applyFont="1" applyFill="1"/>
    <xf numFmtId="4" fontId="13" fillId="3" borderId="0" xfId="0" applyNumberFormat="1" applyFont="1" applyFill="1" applyAlignment="1">
      <alignment horizontal="right" vertical="center"/>
    </xf>
    <xf numFmtId="0" fontId="13" fillId="3" borderId="0" xfId="0" applyFont="1" applyFill="1" applyAlignment="1">
      <alignment horizontal="right"/>
    </xf>
    <xf numFmtId="2" fontId="13" fillId="3" borderId="0" xfId="0" applyNumberFormat="1" applyFont="1" applyFill="1" applyAlignment="1">
      <alignment horizontal="center" vertical="center"/>
    </xf>
    <xf numFmtId="0" fontId="13" fillId="19" borderId="64" xfId="0" applyFont="1" applyFill="1" applyBorder="1" applyAlignment="1">
      <alignment horizontal="center" vertical="center" wrapText="1"/>
    </xf>
    <xf numFmtId="0" fontId="13" fillId="19" borderId="63" xfId="0" applyFont="1" applyFill="1" applyBorder="1" applyAlignment="1">
      <alignment horizontal="center" vertical="center" wrapText="1"/>
    </xf>
    <xf numFmtId="0" fontId="12" fillId="19" borderId="63" xfId="0" applyFont="1" applyFill="1" applyBorder="1" applyAlignment="1">
      <alignment horizontal="center" vertical="center" wrapText="1"/>
    </xf>
    <xf numFmtId="0" fontId="13" fillId="19" borderId="65" xfId="0" applyFont="1" applyFill="1" applyBorder="1" applyAlignment="1">
      <alignment horizontal="center" vertical="center" wrapText="1"/>
    </xf>
    <xf numFmtId="0" fontId="13" fillId="19" borderId="68" xfId="0" applyFont="1" applyFill="1" applyBorder="1" applyAlignment="1">
      <alignment horizontal="center" vertical="center" wrapText="1"/>
    </xf>
    <xf numFmtId="0" fontId="13" fillId="19" borderId="5" xfId="0" applyFont="1" applyFill="1" applyBorder="1" applyAlignment="1">
      <alignment horizontal="center" vertical="center" wrapText="1"/>
    </xf>
    <xf numFmtId="165" fontId="14" fillId="4" borderId="5" xfId="0" applyNumberFormat="1" applyFont="1" applyFill="1" applyBorder="1" applyAlignment="1">
      <alignment horizontal="center" vertical="center" wrapText="1"/>
    </xf>
    <xf numFmtId="4" fontId="14" fillId="4" borderId="5" xfId="0" applyNumberFormat="1" applyFont="1" applyFill="1" applyBorder="1" applyAlignment="1">
      <alignment horizontal="center" vertical="center" wrapText="1"/>
    </xf>
    <xf numFmtId="4" fontId="13" fillId="2" borderId="13" xfId="0" applyNumberFormat="1" applyFont="1" applyFill="1" applyBorder="1" applyAlignment="1">
      <alignment horizontal="right" vertical="center"/>
    </xf>
    <xf numFmtId="4" fontId="13" fillId="2" borderId="70" xfId="0" applyNumberFormat="1" applyFont="1" applyFill="1" applyBorder="1" applyAlignment="1">
      <alignment horizontal="right" vertical="center"/>
    </xf>
    <xf numFmtId="4" fontId="15" fillId="2" borderId="35" xfId="0" applyNumberFormat="1" applyFont="1" applyFill="1" applyBorder="1" applyAlignment="1">
      <alignment horizontal="right" vertical="center"/>
    </xf>
    <xf numFmtId="4" fontId="15" fillId="2" borderId="5" xfId="0" applyNumberFormat="1" applyFont="1" applyFill="1" applyBorder="1" applyAlignment="1">
      <alignment horizontal="right" vertical="center"/>
    </xf>
    <xf numFmtId="4" fontId="14" fillId="4" borderId="13" xfId="0" applyNumberFormat="1" applyFont="1" applyFill="1" applyBorder="1" applyAlignment="1">
      <alignment horizontal="center" vertical="center" wrapText="1"/>
    </xf>
    <xf numFmtId="4" fontId="14" fillId="4" borderId="35" xfId="0" applyNumberFormat="1" applyFont="1" applyFill="1" applyBorder="1" applyAlignment="1">
      <alignment horizontal="center" vertical="center" wrapText="1"/>
    </xf>
    <xf numFmtId="170" fontId="15" fillId="2" borderId="5" xfId="0" applyNumberFormat="1" applyFont="1" applyFill="1" applyBorder="1" applyAlignment="1">
      <alignment horizontal="right" vertical="center"/>
    </xf>
    <xf numFmtId="168" fontId="15" fillId="2" borderId="5" xfId="0" applyNumberFormat="1" applyFont="1" applyFill="1" applyBorder="1" applyAlignment="1">
      <alignment horizontal="right" vertical="center"/>
    </xf>
  </cellXfs>
  <cellStyles count="5">
    <cellStyle name="40% - Accent5" xfId="2" builtinId="47"/>
    <cellStyle name="Currency" xfId="4" builtinId="4"/>
    <cellStyle name="Normal" xfId="0" builtinId="0"/>
    <cellStyle name="Normal 2" xfId="3"/>
    <cellStyle name="Percent" xfId="1" builtinId="5"/>
  </cellStyles>
  <dxfs count="0"/>
  <tableStyles count="0" defaultTableStyle="TableStyleMedium2" defaultPivotStyle="PivotStyleLight16"/>
  <colors>
    <mruColors>
      <color rgb="FFFFFF99"/>
      <color rgb="FFFF6600"/>
      <color rgb="FFFF3300"/>
      <color rgb="FF66FF66"/>
      <color rgb="FF00CC66"/>
      <color rgb="FFFF7C80"/>
      <color rgb="FFFCB99E"/>
      <color rgb="FFC9C400"/>
      <color rgb="FFFAFA5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21"/>
    </mc:Choice>
    <mc:Fallback>
      <c:style val="21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Lbls>
            <c:numFmt formatCode="[$$-409]#,##0.00" sourceLinked="0"/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'Resumen a la fecha'!$C$8:$I$8</c:f>
              <c:strCache>
                <c:ptCount val="7"/>
                <c:pt idx="0">
                  <c:v>Diciembre</c:v>
                </c:pt>
                <c:pt idx="1">
                  <c:v>Enero </c:v>
                </c:pt>
                <c:pt idx="2">
                  <c:v>Febrero</c:v>
                </c:pt>
                <c:pt idx="3">
                  <c:v>Marzo</c:v>
                </c:pt>
                <c:pt idx="4">
                  <c:v>Abril</c:v>
                </c:pt>
                <c:pt idx="5">
                  <c:v>Mayo</c:v>
                </c:pt>
                <c:pt idx="6">
                  <c:v>Junio</c:v>
                </c:pt>
              </c:strCache>
            </c:strRef>
          </c:cat>
          <c:val>
            <c:numRef>
              <c:f>'Resumen a la fecha'!$C$11:$I$11</c:f>
              <c:numCache>
                <c:formatCode>#,##0.00</c:formatCode>
                <c:ptCount val="7"/>
                <c:pt idx="0">
                  <c:v>68.94</c:v>
                </c:pt>
                <c:pt idx="1">
                  <c:v>4188.38</c:v>
                </c:pt>
                <c:pt idx="2">
                  <c:v>10689.460000000001</c:v>
                </c:pt>
                <c:pt idx="3">
                  <c:v>17366.12</c:v>
                </c:pt>
                <c:pt idx="4">
                  <c:v>14797.64</c:v>
                </c:pt>
                <c:pt idx="5">
                  <c:v>17689.66</c:v>
                </c:pt>
                <c:pt idx="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020992"/>
        <c:axId val="154085056"/>
      </c:barChart>
      <c:catAx>
        <c:axId val="144020992"/>
        <c:scaling>
          <c:orientation val="minMax"/>
        </c:scaling>
        <c:delete val="0"/>
        <c:axPos val="b"/>
        <c:majorTickMark val="out"/>
        <c:minorTickMark val="none"/>
        <c:tickLblPos val="nextTo"/>
        <c:crossAx val="154085056"/>
        <c:crosses val="autoZero"/>
        <c:auto val="1"/>
        <c:lblAlgn val="ctr"/>
        <c:lblOffset val="100"/>
        <c:noMultiLvlLbl val="0"/>
      </c:catAx>
      <c:valAx>
        <c:axId val="154085056"/>
        <c:scaling>
          <c:orientation val="minMax"/>
        </c:scaling>
        <c:delete val="0"/>
        <c:axPos val="l"/>
        <c:majorGridlines/>
        <c:numFmt formatCode="#,##0.00" sourceLinked="1"/>
        <c:majorTickMark val="out"/>
        <c:minorTickMark val="none"/>
        <c:tickLblPos val="nextTo"/>
        <c:crossAx val="1440209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61548</xdr:colOff>
      <xdr:row>1</xdr:row>
      <xdr:rowOff>95249</xdr:rowOff>
    </xdr:from>
    <xdr:to>
      <xdr:col>5</xdr:col>
      <xdr:colOff>409937</xdr:colOff>
      <xdr:row>3</xdr:row>
      <xdr:rowOff>157161</xdr:rowOff>
    </xdr:to>
    <xdr:pic>
      <xdr:nvPicPr>
        <xdr:cNvPr id="4" name="Picture 3" descr="C:\Users\cvidal\AppData\Local\Microsoft\Windows\Temporary Internet Files\Content.Outlook\8NZ260C0\Logo FASERT horizontal (2)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62048" y="285749"/>
          <a:ext cx="3074920" cy="895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400050</xdr:colOff>
      <xdr:row>12</xdr:row>
      <xdr:rowOff>90487</xdr:rowOff>
    </xdr:from>
    <xdr:to>
      <xdr:col>7</xdr:col>
      <xdr:colOff>542925</xdr:colOff>
      <xdr:row>26</xdr:row>
      <xdr:rowOff>166687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7"/>
  <sheetViews>
    <sheetView zoomScale="90" zoomScaleNormal="90" zoomScalePageLayoutView="90" workbookViewId="0">
      <selection activeCell="B13" sqref="B13:B16"/>
    </sheetView>
  </sheetViews>
  <sheetFormatPr defaultColWidth="8.85546875" defaultRowHeight="15"/>
  <cols>
    <col min="1" max="1" width="1.7109375" style="1" customWidth="1"/>
    <col min="2" max="5" width="39.85546875" style="1" customWidth="1"/>
    <col min="6" max="6" width="1.7109375" style="1" customWidth="1"/>
    <col min="7" max="7" width="27.42578125" style="1" customWidth="1"/>
    <col min="8" max="16384" width="8.85546875" style="1"/>
  </cols>
  <sheetData>
    <row r="1" spans="2:6" ht="9" customHeight="1" thickBot="1"/>
    <row r="2" spans="2:6">
      <c r="B2" s="607" t="s">
        <v>2</v>
      </c>
      <c r="C2" s="608"/>
      <c r="D2" s="608"/>
      <c r="E2" s="609"/>
    </row>
    <row r="3" spans="2:6" ht="30" customHeight="1" thickBot="1">
      <c r="B3" s="610" t="s">
        <v>22</v>
      </c>
      <c r="C3" s="611"/>
      <c r="D3" s="611"/>
      <c r="E3" s="612"/>
    </row>
    <row r="4" spans="2:6" ht="9" customHeight="1" thickBot="1"/>
    <row r="5" spans="2:6">
      <c r="B5" s="613" t="s">
        <v>21</v>
      </c>
      <c r="C5" s="614"/>
      <c r="D5" s="614"/>
      <c r="E5" s="615"/>
    </row>
    <row r="6" spans="2:6">
      <c r="B6" s="5" t="s">
        <v>0</v>
      </c>
      <c r="C6" s="6" t="s">
        <v>3</v>
      </c>
      <c r="D6" s="6" t="s">
        <v>19</v>
      </c>
      <c r="E6" s="17" t="s">
        <v>4</v>
      </c>
      <c r="F6" s="2"/>
    </row>
    <row r="7" spans="2:6" ht="45" customHeight="1">
      <c r="B7" s="616"/>
      <c r="C7" s="13"/>
      <c r="D7" s="13"/>
      <c r="E7" s="14"/>
    </row>
    <row r="8" spans="2:6" ht="45" customHeight="1">
      <c r="B8" s="617"/>
      <c r="C8" s="13"/>
      <c r="D8" s="13"/>
      <c r="E8" s="14"/>
    </row>
    <row r="9" spans="2:6" ht="45" customHeight="1" thickBot="1">
      <c r="B9" s="618"/>
      <c r="C9" s="15"/>
      <c r="D9" s="15"/>
      <c r="E9" s="16"/>
    </row>
    <row r="10" spans="2:6" ht="9" customHeight="1" thickBot="1"/>
    <row r="11" spans="2:6">
      <c r="B11" s="613" t="s">
        <v>18</v>
      </c>
      <c r="C11" s="614"/>
      <c r="D11" s="614"/>
      <c r="E11" s="615"/>
    </row>
    <row r="12" spans="2:6">
      <c r="B12" s="5" t="s">
        <v>1</v>
      </c>
      <c r="C12" s="6" t="s">
        <v>3</v>
      </c>
      <c r="D12" s="6" t="s">
        <v>20</v>
      </c>
      <c r="E12" s="17" t="s">
        <v>4</v>
      </c>
      <c r="F12" s="2"/>
    </row>
    <row r="13" spans="2:6" ht="45" customHeight="1">
      <c r="B13" s="616"/>
      <c r="C13" s="13"/>
      <c r="D13" s="13"/>
      <c r="E13" s="14"/>
    </row>
    <row r="14" spans="2:6" ht="45" customHeight="1">
      <c r="B14" s="617"/>
      <c r="C14" s="13"/>
      <c r="D14" s="13"/>
      <c r="E14" s="14"/>
    </row>
    <row r="15" spans="2:6" ht="45" customHeight="1">
      <c r="B15" s="617"/>
      <c r="C15" s="7"/>
      <c r="D15" s="7"/>
      <c r="E15" s="8"/>
    </row>
    <row r="16" spans="2:6" ht="45" customHeight="1" thickBot="1">
      <c r="B16" s="618"/>
      <c r="C16" s="15"/>
      <c r="D16" s="15"/>
      <c r="E16" s="16"/>
    </row>
    <row r="17" spans="2:6" ht="9" customHeight="1" thickBot="1"/>
    <row r="18" spans="2:6" ht="15.75" thickBot="1">
      <c r="B18" s="604" t="s">
        <v>5</v>
      </c>
      <c r="C18" s="605"/>
      <c r="D18" s="605"/>
      <c r="E18" s="606"/>
    </row>
    <row r="19" spans="2:6">
      <c r="B19" s="9" t="s">
        <v>6</v>
      </c>
      <c r="C19" s="9" t="s">
        <v>3</v>
      </c>
      <c r="D19" s="9" t="s">
        <v>19</v>
      </c>
      <c r="E19" s="9" t="s">
        <v>4</v>
      </c>
      <c r="F19" s="2"/>
    </row>
    <row r="20" spans="2:6" s="4" customFormat="1" ht="45" customHeight="1">
      <c r="B20" s="599"/>
      <c r="C20" s="10"/>
      <c r="D20" s="10"/>
      <c r="E20" s="10"/>
    </row>
    <row r="21" spans="2:6" s="4" customFormat="1" ht="45" customHeight="1">
      <c r="B21" s="599"/>
      <c r="C21" s="10"/>
      <c r="D21" s="10"/>
      <c r="E21" s="10"/>
    </row>
    <row r="22" spans="2:6" s="4" customFormat="1" ht="45" customHeight="1">
      <c r="B22" s="599"/>
      <c r="C22" s="10"/>
      <c r="D22" s="10"/>
      <c r="E22" s="10"/>
    </row>
    <row r="23" spans="2:6" s="4" customFormat="1" ht="45" customHeight="1" thickBot="1">
      <c r="B23" s="600"/>
      <c r="C23" s="3"/>
      <c r="D23" s="3"/>
      <c r="E23" s="3"/>
    </row>
    <row r="24" spans="2:6">
      <c r="B24" s="9" t="s">
        <v>7</v>
      </c>
      <c r="C24" s="9" t="s">
        <v>3</v>
      </c>
      <c r="D24" s="9" t="s">
        <v>19</v>
      </c>
      <c r="E24" s="9" t="s">
        <v>4</v>
      </c>
      <c r="F24" s="2"/>
    </row>
    <row r="25" spans="2:6" s="4" customFormat="1" ht="45" customHeight="1">
      <c r="B25" s="599"/>
      <c r="C25" s="10"/>
      <c r="D25" s="10"/>
      <c r="E25" s="10"/>
    </row>
    <row r="26" spans="2:6" s="4" customFormat="1" ht="45" customHeight="1">
      <c r="B26" s="599"/>
      <c r="C26" s="10"/>
      <c r="D26" s="10"/>
      <c r="E26" s="10"/>
    </row>
    <row r="27" spans="2:6" s="4" customFormat="1" ht="45" customHeight="1">
      <c r="B27" s="599"/>
      <c r="C27" s="10"/>
      <c r="D27" s="10"/>
      <c r="E27" s="10"/>
    </row>
    <row r="28" spans="2:6" s="4" customFormat="1" ht="45" customHeight="1" thickBot="1">
      <c r="B28" s="600"/>
      <c r="C28" s="3"/>
      <c r="D28" s="3"/>
      <c r="E28" s="3"/>
    </row>
    <row r="29" spans="2:6">
      <c r="B29" s="9" t="s">
        <v>8</v>
      </c>
      <c r="C29" s="9" t="s">
        <v>3</v>
      </c>
      <c r="D29" s="9" t="s">
        <v>19</v>
      </c>
      <c r="E29" s="9" t="s">
        <v>4</v>
      </c>
      <c r="F29" s="2"/>
    </row>
    <row r="30" spans="2:6" s="4" customFormat="1" ht="45" customHeight="1">
      <c r="B30" s="599"/>
      <c r="C30" s="10"/>
      <c r="D30" s="10"/>
      <c r="E30" s="10"/>
    </row>
    <row r="31" spans="2:6" s="4" customFormat="1" ht="45" customHeight="1">
      <c r="B31" s="599"/>
      <c r="C31" s="10"/>
      <c r="D31" s="10"/>
      <c r="E31" s="10"/>
    </row>
    <row r="32" spans="2:6" s="4" customFormat="1" ht="45" customHeight="1">
      <c r="B32" s="599"/>
      <c r="C32" s="10"/>
      <c r="D32" s="10"/>
      <c r="E32" s="10"/>
    </row>
    <row r="33" spans="2:6" s="4" customFormat="1" ht="45" customHeight="1" thickBot="1">
      <c r="B33" s="600"/>
      <c r="C33" s="3"/>
      <c r="D33" s="3"/>
      <c r="E33" s="3"/>
    </row>
    <row r="34" spans="2:6">
      <c r="B34" s="9" t="s">
        <v>9</v>
      </c>
      <c r="C34" s="9" t="s">
        <v>3</v>
      </c>
      <c r="D34" s="9" t="s">
        <v>19</v>
      </c>
      <c r="E34" s="9" t="s">
        <v>4</v>
      </c>
      <c r="F34" s="2"/>
    </row>
    <row r="35" spans="2:6" s="4" customFormat="1" ht="45" customHeight="1">
      <c r="B35" s="599"/>
      <c r="C35" s="10"/>
      <c r="D35" s="10"/>
      <c r="E35" s="10"/>
    </row>
    <row r="36" spans="2:6" s="4" customFormat="1" ht="45" customHeight="1">
      <c r="B36" s="599"/>
      <c r="C36" s="10"/>
      <c r="D36" s="10"/>
      <c r="E36" s="10"/>
    </row>
    <row r="37" spans="2:6" s="4" customFormat="1" ht="45" customHeight="1">
      <c r="B37" s="599"/>
      <c r="C37" s="10"/>
      <c r="D37" s="10"/>
      <c r="E37" s="10"/>
    </row>
    <row r="38" spans="2:6" s="4" customFormat="1" ht="45" customHeight="1" thickBot="1">
      <c r="B38" s="600"/>
      <c r="C38" s="3"/>
      <c r="D38" s="3"/>
      <c r="E38" s="3"/>
    </row>
    <row r="39" spans="2:6" ht="9" customHeight="1" thickBot="1"/>
    <row r="40" spans="2:6" ht="15.75" thickBot="1">
      <c r="B40" s="601" t="s">
        <v>10</v>
      </c>
      <c r="C40" s="602"/>
      <c r="D40" s="602"/>
      <c r="E40" s="603"/>
    </row>
    <row r="41" spans="2:6">
      <c r="B41" s="9" t="s">
        <v>11</v>
      </c>
      <c r="C41" s="9" t="s">
        <v>12</v>
      </c>
      <c r="D41" s="9" t="s">
        <v>13</v>
      </c>
      <c r="E41" s="9" t="s">
        <v>17</v>
      </c>
    </row>
    <row r="42" spans="2:6" ht="30" customHeight="1">
      <c r="B42" s="11"/>
      <c r="C42" s="11"/>
      <c r="D42" s="11"/>
      <c r="E42" s="11"/>
    </row>
    <row r="43" spans="2:6" ht="30" customHeight="1">
      <c r="B43" s="11"/>
      <c r="C43" s="11"/>
      <c r="D43" s="11"/>
      <c r="E43" s="11"/>
    </row>
    <row r="44" spans="2:6" ht="30" customHeight="1">
      <c r="B44" s="11"/>
      <c r="C44" s="11"/>
      <c r="D44" s="11"/>
      <c r="E44" s="11"/>
    </row>
    <row r="45" spans="2:6" ht="30" customHeight="1">
      <c r="B45" s="11"/>
      <c r="C45" s="11"/>
      <c r="D45" s="11"/>
      <c r="E45" s="11"/>
    </row>
    <row r="46" spans="2:6" ht="30" customHeight="1">
      <c r="B46" s="11"/>
      <c r="C46" s="11"/>
      <c r="D46" s="11"/>
      <c r="E46" s="11"/>
    </row>
    <row r="47" spans="2:6" ht="30" customHeight="1">
      <c r="B47" s="11"/>
      <c r="C47" s="11"/>
      <c r="D47" s="11"/>
      <c r="E47" s="11"/>
    </row>
    <row r="48" spans="2:6" ht="30" customHeight="1">
      <c r="B48" s="11"/>
      <c r="C48" s="11"/>
      <c r="D48" s="11"/>
      <c r="E48" s="11"/>
    </row>
    <row r="49" spans="2:5" ht="30" customHeight="1" thickBot="1">
      <c r="B49" s="12"/>
      <c r="C49" s="12"/>
      <c r="D49" s="12"/>
      <c r="E49" s="12"/>
    </row>
    <row r="50" spans="2:5">
      <c r="B50" s="9" t="s">
        <v>14</v>
      </c>
      <c r="C50" s="9" t="s">
        <v>12</v>
      </c>
      <c r="D50" s="9" t="s">
        <v>13</v>
      </c>
      <c r="E50" s="9" t="s">
        <v>17</v>
      </c>
    </row>
    <row r="51" spans="2:5" ht="30" customHeight="1">
      <c r="B51" s="11"/>
      <c r="C51" s="11"/>
      <c r="D51" s="11"/>
      <c r="E51" s="11"/>
    </row>
    <row r="52" spans="2:5" ht="30" customHeight="1">
      <c r="B52" s="11"/>
      <c r="C52" s="11"/>
      <c r="D52" s="11"/>
      <c r="E52" s="11"/>
    </row>
    <row r="53" spans="2:5" ht="30" customHeight="1">
      <c r="B53" s="11"/>
      <c r="C53" s="11"/>
      <c r="D53" s="11"/>
      <c r="E53" s="11"/>
    </row>
    <row r="54" spans="2:5" ht="30" customHeight="1">
      <c r="B54" s="11"/>
      <c r="C54" s="11"/>
      <c r="D54" s="11"/>
      <c r="E54" s="11"/>
    </row>
    <row r="55" spans="2:5" ht="30" customHeight="1">
      <c r="B55" s="11"/>
      <c r="C55" s="11"/>
      <c r="D55" s="11"/>
      <c r="E55" s="11"/>
    </row>
    <row r="56" spans="2:5" ht="30" customHeight="1">
      <c r="B56" s="11"/>
      <c r="C56" s="11"/>
      <c r="D56" s="11"/>
      <c r="E56" s="11"/>
    </row>
    <row r="57" spans="2:5" ht="30" customHeight="1">
      <c r="B57" s="11"/>
      <c r="C57" s="11"/>
      <c r="D57" s="11"/>
      <c r="E57" s="11"/>
    </row>
    <row r="58" spans="2:5" ht="30" customHeight="1" thickBot="1">
      <c r="B58" s="12"/>
      <c r="C58" s="12"/>
      <c r="D58" s="12"/>
      <c r="E58" s="12"/>
    </row>
    <row r="59" spans="2:5">
      <c r="B59" s="9" t="s">
        <v>15</v>
      </c>
      <c r="C59" s="9" t="s">
        <v>12</v>
      </c>
      <c r="D59" s="9" t="s">
        <v>13</v>
      </c>
      <c r="E59" s="9" t="s">
        <v>17</v>
      </c>
    </row>
    <row r="60" spans="2:5" ht="30" customHeight="1">
      <c r="B60" s="11"/>
      <c r="C60" s="11"/>
      <c r="D60" s="11"/>
      <c r="E60" s="11"/>
    </row>
    <row r="61" spans="2:5" ht="30" customHeight="1">
      <c r="B61" s="11"/>
      <c r="C61" s="11"/>
      <c r="D61" s="11"/>
      <c r="E61" s="11"/>
    </row>
    <row r="62" spans="2:5" ht="30" customHeight="1">
      <c r="B62" s="11"/>
      <c r="C62" s="11"/>
      <c r="D62" s="11"/>
      <c r="E62" s="11"/>
    </row>
    <row r="63" spans="2:5" ht="30" customHeight="1">
      <c r="B63" s="11"/>
      <c r="C63" s="11"/>
      <c r="D63" s="11"/>
      <c r="E63" s="11"/>
    </row>
    <row r="64" spans="2:5" ht="30" customHeight="1">
      <c r="B64" s="11"/>
      <c r="C64" s="11"/>
      <c r="D64" s="11"/>
      <c r="E64" s="11"/>
    </row>
    <row r="65" spans="2:5" ht="30" customHeight="1">
      <c r="B65" s="11"/>
      <c r="C65" s="11"/>
      <c r="D65" s="11"/>
      <c r="E65" s="11"/>
    </row>
    <row r="66" spans="2:5" ht="30" customHeight="1">
      <c r="B66" s="11"/>
      <c r="C66" s="11"/>
      <c r="D66" s="11"/>
      <c r="E66" s="11"/>
    </row>
    <row r="67" spans="2:5" ht="30" customHeight="1" thickBot="1">
      <c r="B67" s="12"/>
      <c r="C67" s="12"/>
      <c r="D67" s="12"/>
      <c r="E67" s="12"/>
    </row>
    <row r="68" spans="2:5">
      <c r="B68" s="9" t="s">
        <v>16</v>
      </c>
      <c r="C68" s="9" t="s">
        <v>12</v>
      </c>
      <c r="D68" s="9" t="s">
        <v>13</v>
      </c>
      <c r="E68" s="9" t="s">
        <v>17</v>
      </c>
    </row>
    <row r="69" spans="2:5" ht="30" customHeight="1">
      <c r="B69" s="11"/>
      <c r="C69" s="11"/>
      <c r="D69" s="11"/>
      <c r="E69" s="11"/>
    </row>
    <row r="70" spans="2:5" ht="30" customHeight="1">
      <c r="B70" s="11"/>
      <c r="C70" s="11"/>
      <c r="D70" s="11"/>
      <c r="E70" s="11"/>
    </row>
    <row r="71" spans="2:5" ht="30" customHeight="1">
      <c r="B71" s="11"/>
      <c r="C71" s="11"/>
      <c r="D71" s="11"/>
      <c r="E71" s="11"/>
    </row>
    <row r="72" spans="2:5" ht="30" customHeight="1">
      <c r="B72" s="11"/>
      <c r="C72" s="11"/>
      <c r="D72" s="11"/>
      <c r="E72" s="11"/>
    </row>
    <row r="73" spans="2:5" ht="30" customHeight="1">
      <c r="B73" s="11"/>
      <c r="C73" s="11"/>
      <c r="D73" s="11"/>
      <c r="E73" s="11"/>
    </row>
    <row r="74" spans="2:5" ht="30" customHeight="1">
      <c r="B74" s="11"/>
      <c r="C74" s="11"/>
      <c r="D74" s="11"/>
      <c r="E74" s="11"/>
    </row>
    <row r="75" spans="2:5" ht="30" customHeight="1">
      <c r="B75" s="11"/>
      <c r="C75" s="11"/>
      <c r="D75" s="11"/>
      <c r="E75" s="11"/>
    </row>
    <row r="76" spans="2:5" ht="30" customHeight="1" thickBot="1">
      <c r="B76" s="12"/>
      <c r="C76" s="12"/>
      <c r="D76" s="12"/>
      <c r="E76" s="12"/>
    </row>
    <row r="77" spans="2:5" ht="9" customHeight="1"/>
  </sheetData>
  <mergeCells count="12">
    <mergeCell ref="B18:E18"/>
    <mergeCell ref="B2:E2"/>
    <mergeCell ref="B3:E3"/>
    <mergeCell ref="B5:E5"/>
    <mergeCell ref="B7:B9"/>
    <mergeCell ref="B11:E11"/>
    <mergeCell ref="B13:B16"/>
    <mergeCell ref="B20:B23"/>
    <mergeCell ref="B25:B28"/>
    <mergeCell ref="B30:B33"/>
    <mergeCell ref="B35:B38"/>
    <mergeCell ref="B40:E40"/>
  </mergeCells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2:K16"/>
  <sheetViews>
    <sheetView workbookViewId="0">
      <selection activeCell="G32" sqref="G32"/>
    </sheetView>
  </sheetViews>
  <sheetFormatPr defaultRowHeight="11.25"/>
  <cols>
    <col min="1" max="1" width="4.140625" style="479" customWidth="1"/>
    <col min="2" max="2" width="15.42578125" style="479" customWidth="1"/>
    <col min="3" max="3" width="16.5703125" style="479" customWidth="1"/>
    <col min="4" max="4" width="40" style="479" customWidth="1"/>
    <col min="5" max="5" width="10.5703125" style="479" customWidth="1"/>
    <col min="6" max="7" width="15.42578125" style="479" customWidth="1"/>
    <col min="8" max="8" width="6.85546875" style="479" customWidth="1"/>
    <col min="9" max="9" width="9.140625" style="479" customWidth="1"/>
    <col min="10" max="10" width="9.7109375" style="479" customWidth="1"/>
    <col min="11" max="11" width="10.140625" style="479" customWidth="1"/>
    <col min="12" max="16384" width="9.140625" style="479"/>
  </cols>
  <sheetData>
    <row r="2" spans="1:11" ht="25.5" customHeight="1">
      <c r="A2" s="784" t="s">
        <v>558</v>
      </c>
      <c r="B2" s="784"/>
      <c r="C2" s="784"/>
      <c r="D2" s="784"/>
      <c r="E2" s="784"/>
      <c r="F2" s="784"/>
      <c r="G2" s="784"/>
      <c r="H2" s="784"/>
      <c r="I2" s="784"/>
      <c r="J2" s="784"/>
      <c r="K2" s="784"/>
    </row>
    <row r="3" spans="1:11">
      <c r="A3" s="708"/>
      <c r="B3" s="706" t="s">
        <v>107</v>
      </c>
      <c r="C3" s="710" t="s">
        <v>348</v>
      </c>
      <c r="D3" s="706" t="s">
        <v>108</v>
      </c>
      <c r="E3" s="697" t="s">
        <v>327</v>
      </c>
      <c r="F3" s="697" t="s">
        <v>109</v>
      </c>
      <c r="G3" s="711" t="s">
        <v>116</v>
      </c>
      <c r="H3" s="698" t="s">
        <v>99</v>
      </c>
      <c r="I3" s="706" t="s">
        <v>110</v>
      </c>
      <c r="J3" s="697" t="s">
        <v>99</v>
      </c>
      <c r="K3" s="698" t="s">
        <v>184</v>
      </c>
    </row>
    <row r="4" spans="1:11">
      <c r="A4" s="709"/>
      <c r="B4" s="707"/>
      <c r="C4" s="710"/>
      <c r="D4" s="707"/>
      <c r="E4" s="697"/>
      <c r="F4" s="697"/>
      <c r="G4" s="712"/>
      <c r="H4" s="698"/>
      <c r="I4" s="707"/>
      <c r="J4" s="697"/>
      <c r="K4" s="698"/>
    </row>
    <row r="5" spans="1:11">
      <c r="A5" s="480">
        <v>1</v>
      </c>
      <c r="B5" s="480"/>
      <c r="C5" s="480"/>
      <c r="D5" s="480"/>
      <c r="E5" s="480"/>
      <c r="F5" s="480"/>
      <c r="G5" s="480"/>
      <c r="H5" s="480"/>
      <c r="I5" s="480"/>
      <c r="J5" s="480"/>
      <c r="K5" s="480"/>
    </row>
    <row r="6" spans="1:11">
      <c r="A6" s="480">
        <f>1+A5</f>
        <v>2</v>
      </c>
      <c r="B6" s="480"/>
      <c r="C6" s="480"/>
      <c r="D6" s="480"/>
      <c r="E6" s="480"/>
      <c r="F6" s="480"/>
      <c r="G6" s="480"/>
      <c r="H6" s="480"/>
      <c r="I6" s="480"/>
      <c r="J6" s="480"/>
      <c r="K6" s="480"/>
    </row>
    <row r="7" spans="1:11">
      <c r="A7" s="480">
        <f t="shared" ref="A7:A16" si="0">1+A6</f>
        <v>3</v>
      </c>
      <c r="B7" s="480"/>
      <c r="C7" s="480"/>
      <c r="D7" s="480"/>
      <c r="E7" s="480"/>
      <c r="F7" s="480"/>
      <c r="G7" s="480"/>
      <c r="H7" s="480"/>
      <c r="I7" s="480"/>
      <c r="J7" s="480"/>
      <c r="K7" s="480"/>
    </row>
    <row r="8" spans="1:11">
      <c r="A8" s="480">
        <f t="shared" si="0"/>
        <v>4</v>
      </c>
      <c r="B8" s="480"/>
      <c r="C8" s="480"/>
      <c r="D8" s="480"/>
      <c r="E8" s="480"/>
      <c r="F8" s="480"/>
      <c r="G8" s="480"/>
      <c r="H8" s="480"/>
      <c r="I8" s="480"/>
      <c r="J8" s="480"/>
      <c r="K8" s="480"/>
    </row>
    <row r="9" spans="1:11">
      <c r="A9" s="480">
        <f t="shared" si="0"/>
        <v>5</v>
      </c>
      <c r="B9" s="480"/>
      <c r="C9" s="480"/>
      <c r="D9" s="480"/>
      <c r="E9" s="480"/>
      <c r="F9" s="480"/>
      <c r="G9" s="480"/>
      <c r="H9" s="480"/>
      <c r="I9" s="480"/>
      <c r="J9" s="480"/>
      <c r="K9" s="480"/>
    </row>
    <row r="10" spans="1:11">
      <c r="A10" s="480">
        <f t="shared" si="0"/>
        <v>6</v>
      </c>
      <c r="B10" s="480"/>
      <c r="C10" s="480"/>
      <c r="D10" s="480"/>
      <c r="E10" s="480"/>
      <c r="F10" s="480"/>
      <c r="G10" s="480"/>
      <c r="H10" s="480"/>
      <c r="I10" s="480"/>
      <c r="J10" s="480"/>
      <c r="K10" s="480"/>
    </row>
    <row r="11" spans="1:11">
      <c r="A11" s="480">
        <f t="shared" si="0"/>
        <v>7</v>
      </c>
      <c r="B11" s="480"/>
      <c r="C11" s="480"/>
      <c r="D11" s="480"/>
      <c r="E11" s="480"/>
      <c r="F11" s="480"/>
      <c r="G11" s="480"/>
      <c r="H11" s="480"/>
      <c r="I11" s="480"/>
      <c r="J11" s="480"/>
      <c r="K11" s="480"/>
    </row>
    <row r="12" spans="1:11">
      <c r="A12" s="480">
        <f t="shared" si="0"/>
        <v>8</v>
      </c>
      <c r="B12" s="480"/>
      <c r="C12" s="480"/>
      <c r="D12" s="480"/>
      <c r="E12" s="480"/>
      <c r="F12" s="480"/>
      <c r="G12" s="480"/>
      <c r="H12" s="480"/>
      <c r="I12" s="480"/>
      <c r="J12" s="480"/>
      <c r="K12" s="480"/>
    </row>
    <row r="13" spans="1:11">
      <c r="A13" s="480">
        <f t="shared" si="0"/>
        <v>9</v>
      </c>
      <c r="B13" s="480"/>
      <c r="C13" s="480"/>
      <c r="D13" s="480"/>
      <c r="E13" s="480"/>
      <c r="F13" s="480"/>
      <c r="G13" s="480"/>
      <c r="H13" s="480"/>
      <c r="I13" s="480"/>
      <c r="J13" s="480"/>
      <c r="K13" s="480"/>
    </row>
    <row r="14" spans="1:11">
      <c r="A14" s="480">
        <f t="shared" si="0"/>
        <v>10</v>
      </c>
      <c r="B14" s="480"/>
      <c r="C14" s="480"/>
      <c r="D14" s="480"/>
      <c r="E14" s="480"/>
      <c r="F14" s="480"/>
      <c r="G14" s="480"/>
      <c r="H14" s="480"/>
      <c r="I14" s="480"/>
      <c r="J14" s="480"/>
      <c r="K14" s="480"/>
    </row>
    <row r="15" spans="1:11">
      <c r="A15" s="480">
        <f t="shared" si="0"/>
        <v>11</v>
      </c>
      <c r="B15" s="480"/>
      <c r="C15" s="480"/>
      <c r="D15" s="480"/>
      <c r="E15" s="480"/>
      <c r="F15" s="480"/>
      <c r="G15" s="480"/>
      <c r="H15" s="480"/>
      <c r="I15" s="480"/>
      <c r="J15" s="480"/>
      <c r="K15" s="480"/>
    </row>
    <row r="16" spans="1:11">
      <c r="A16" s="480">
        <f t="shared" si="0"/>
        <v>12</v>
      </c>
      <c r="B16" s="480"/>
      <c r="C16" s="480"/>
      <c r="D16" s="480"/>
      <c r="E16" s="480"/>
      <c r="F16" s="480"/>
      <c r="G16" s="480"/>
      <c r="H16" s="480"/>
      <c r="I16" s="480"/>
      <c r="J16" s="480"/>
      <c r="K16" s="480"/>
    </row>
  </sheetData>
  <mergeCells count="12">
    <mergeCell ref="J3:J4"/>
    <mergeCell ref="K3:K4"/>
    <mergeCell ref="A2:K2"/>
    <mergeCell ref="A3:A4"/>
    <mergeCell ref="B3:B4"/>
    <mergeCell ref="C3:C4"/>
    <mergeCell ref="D3:D4"/>
    <mergeCell ref="E3:E4"/>
    <mergeCell ref="F3:F4"/>
    <mergeCell ref="G3:G4"/>
    <mergeCell ref="H3:H4"/>
    <mergeCell ref="I3:I4"/>
  </mergeCells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99"/>
  </sheetPr>
  <dimension ref="B1:Q84"/>
  <sheetViews>
    <sheetView tabSelected="1" zoomScaleNormal="100" workbookViewId="0">
      <pane xSplit="2" ySplit="4" topLeftCell="F65" activePane="bottomRight" state="frozen"/>
      <selection pane="topRight" activeCell="C1" sqref="C1"/>
      <selection pane="bottomLeft" activeCell="A5" sqref="A5"/>
      <selection pane="bottomRight" activeCell="I82" sqref="I82"/>
    </sheetView>
  </sheetViews>
  <sheetFormatPr defaultRowHeight="11.25"/>
  <cols>
    <col min="1" max="1" width="0.5703125" style="107" customWidth="1"/>
    <col min="2" max="2" width="3.140625" style="111" customWidth="1"/>
    <col min="3" max="3" width="33.140625" style="107" customWidth="1"/>
    <col min="4" max="4" width="7.5703125" style="111" customWidth="1"/>
    <col min="5" max="5" width="13.42578125" style="111" customWidth="1"/>
    <col min="6" max="6" width="78" style="107" customWidth="1"/>
    <col min="7" max="7" width="11.140625" style="111" customWidth="1"/>
    <col min="8" max="8" width="13" style="107" customWidth="1"/>
    <col min="9" max="9" width="9.7109375" style="111" customWidth="1"/>
    <col min="10" max="10" width="6.85546875" style="107" customWidth="1"/>
    <col min="11" max="11" width="9.140625" style="519" customWidth="1"/>
    <col min="12" max="12" width="6.140625" style="107" customWidth="1"/>
    <col min="13" max="13" width="9.7109375" style="519" customWidth="1"/>
    <col min="14" max="14" width="9.7109375" style="565" customWidth="1"/>
    <col min="15" max="15" width="5.7109375" style="468" customWidth="1"/>
    <col min="16" max="16" width="8.85546875" style="519" customWidth="1"/>
    <col min="17" max="16384" width="9.140625" style="107"/>
  </cols>
  <sheetData>
    <row r="1" spans="2:16" s="819" customFormat="1">
      <c r="B1" s="818"/>
      <c r="D1" s="818"/>
      <c r="E1" s="818"/>
      <c r="G1" s="818"/>
      <c r="I1" s="818"/>
      <c r="K1" s="820"/>
      <c r="M1" s="820"/>
      <c r="N1" s="821"/>
      <c r="O1" s="822"/>
      <c r="P1" s="820"/>
    </row>
    <row r="2" spans="2:16" s="819" customFormat="1">
      <c r="B2" s="818"/>
      <c r="D2" s="818"/>
      <c r="E2" s="818"/>
      <c r="G2" s="818"/>
      <c r="I2" s="818"/>
      <c r="K2" s="820"/>
      <c r="M2" s="820"/>
      <c r="N2" s="821"/>
      <c r="O2" s="822"/>
      <c r="P2" s="820"/>
    </row>
    <row r="3" spans="2:16" ht="21.75" customHeight="1">
      <c r="B3" s="691" t="s">
        <v>559</v>
      </c>
      <c r="C3" s="691" t="s">
        <v>350</v>
      </c>
      <c r="D3" s="691" t="s">
        <v>135</v>
      </c>
      <c r="E3" s="691" t="s">
        <v>563</v>
      </c>
      <c r="F3" s="691" t="s">
        <v>351</v>
      </c>
      <c r="G3" s="691" t="s">
        <v>663</v>
      </c>
      <c r="H3" s="691" t="s">
        <v>352</v>
      </c>
      <c r="I3" s="691" t="s">
        <v>471</v>
      </c>
      <c r="J3" s="691" t="s">
        <v>520</v>
      </c>
      <c r="K3" s="835" t="s">
        <v>526</v>
      </c>
      <c r="L3" s="829" t="s">
        <v>374</v>
      </c>
      <c r="M3" s="830" t="s">
        <v>568</v>
      </c>
      <c r="N3" s="691" t="s">
        <v>458</v>
      </c>
      <c r="O3" s="690" t="s">
        <v>374</v>
      </c>
      <c r="P3" s="830" t="s">
        <v>569</v>
      </c>
    </row>
    <row r="4" spans="2:16" ht="21.75" customHeight="1">
      <c r="B4" s="691"/>
      <c r="C4" s="691"/>
      <c r="D4" s="691"/>
      <c r="E4" s="691"/>
      <c r="F4" s="691"/>
      <c r="G4" s="691"/>
      <c r="H4" s="691"/>
      <c r="I4" s="691"/>
      <c r="J4" s="691"/>
      <c r="K4" s="836"/>
      <c r="L4" s="829"/>
      <c r="M4" s="830"/>
      <c r="N4" s="691"/>
      <c r="O4" s="690"/>
      <c r="P4" s="830"/>
    </row>
    <row r="5" spans="2:16" ht="18" customHeight="1">
      <c r="B5" s="823">
        <v>1</v>
      </c>
      <c r="C5" s="811" t="s">
        <v>522</v>
      </c>
      <c r="D5" s="810" t="s">
        <v>277</v>
      </c>
      <c r="E5" s="810" t="s">
        <v>482</v>
      </c>
      <c r="F5" s="811" t="s">
        <v>560</v>
      </c>
      <c r="G5" s="810"/>
      <c r="H5" s="810" t="s">
        <v>525</v>
      </c>
      <c r="I5" s="812">
        <v>41628</v>
      </c>
      <c r="J5" s="813" t="s">
        <v>515</v>
      </c>
      <c r="K5" s="814">
        <v>43.54</v>
      </c>
      <c r="L5" s="815">
        <v>1.3427</v>
      </c>
      <c r="M5" s="814">
        <f>+K5/L5</f>
        <v>32.427198927534072</v>
      </c>
      <c r="N5" s="816">
        <f>+M5</f>
        <v>32.427198927534072</v>
      </c>
      <c r="O5" s="817">
        <f>+P5/K5</f>
        <v>2.7790537436839688</v>
      </c>
      <c r="P5" s="814">
        <f>31+90</f>
        <v>121</v>
      </c>
    </row>
    <row r="6" spans="2:16" ht="18" customHeight="1">
      <c r="B6" s="824">
        <f>1+B5</f>
        <v>2</v>
      </c>
      <c r="C6" s="521" t="s">
        <v>523</v>
      </c>
      <c r="D6" s="520" t="s">
        <v>516</v>
      </c>
      <c r="E6" s="520" t="s">
        <v>523</v>
      </c>
      <c r="F6" s="521" t="s">
        <v>524</v>
      </c>
      <c r="G6" s="520"/>
      <c r="H6" s="563"/>
      <c r="I6" s="522">
        <v>41628</v>
      </c>
      <c r="J6" s="523" t="s">
        <v>515</v>
      </c>
      <c r="K6" s="525">
        <v>20</v>
      </c>
      <c r="L6" s="524">
        <v>1.3427</v>
      </c>
      <c r="M6" s="525">
        <f t="shared" ref="M6:M48" si="0">+K6/L6</f>
        <v>14.895360095330304</v>
      </c>
      <c r="N6" s="526">
        <f t="shared" ref="N6:N48" si="1">+M6</f>
        <v>14.895360095330304</v>
      </c>
      <c r="O6" s="527">
        <f t="shared" ref="O6:O48" si="2">+P6/K6</f>
        <v>2.7789999999999999</v>
      </c>
      <c r="P6" s="525">
        <v>55.58</v>
      </c>
    </row>
    <row r="7" spans="2:16" ht="18" customHeight="1">
      <c r="B7" s="824">
        <f t="shared" ref="B7:B70" si="3">1+B6</f>
        <v>3</v>
      </c>
      <c r="C7" s="521" t="s">
        <v>456</v>
      </c>
      <c r="D7" s="520" t="s">
        <v>268</v>
      </c>
      <c r="E7" s="520" t="s">
        <v>562</v>
      </c>
      <c r="F7" s="521" t="s">
        <v>457</v>
      </c>
      <c r="G7" s="520">
        <v>100003773</v>
      </c>
      <c r="H7" s="523" t="s">
        <v>477</v>
      </c>
      <c r="I7" s="522">
        <v>41670</v>
      </c>
      <c r="J7" s="523" t="s">
        <v>515</v>
      </c>
      <c r="K7" s="525">
        <v>3860.26</v>
      </c>
      <c r="L7" s="524">
        <v>1.3427</v>
      </c>
      <c r="M7" s="525">
        <f>+K7/L7</f>
        <v>2874.9981380799882</v>
      </c>
      <c r="N7" s="526">
        <f t="shared" si="1"/>
        <v>2874.9981380799882</v>
      </c>
      <c r="O7" s="527">
        <f t="shared" si="2"/>
        <v>0.74476848709672405</v>
      </c>
      <c r="P7" s="525">
        <f>2637.56+237.44</f>
        <v>2875</v>
      </c>
    </row>
    <row r="8" spans="2:16" ht="18" customHeight="1">
      <c r="B8" s="824">
        <f t="shared" si="3"/>
        <v>4</v>
      </c>
      <c r="C8" s="521" t="s">
        <v>459</v>
      </c>
      <c r="D8" s="520" t="s">
        <v>284</v>
      </c>
      <c r="E8" s="533" t="s">
        <v>461</v>
      </c>
      <c r="F8" s="521" t="s">
        <v>561</v>
      </c>
      <c r="G8" s="520">
        <v>1900002945</v>
      </c>
      <c r="H8" s="523" t="s">
        <v>460</v>
      </c>
      <c r="I8" s="522">
        <v>41673</v>
      </c>
      <c r="J8" s="523" t="s">
        <v>515</v>
      </c>
      <c r="K8" s="525">
        <v>446.77</v>
      </c>
      <c r="L8" s="524">
        <v>1.3427</v>
      </c>
      <c r="M8" s="525">
        <f>+K8/L8</f>
        <v>332.74000148953598</v>
      </c>
      <c r="N8" s="526">
        <f t="shared" si="1"/>
        <v>332.74000148953598</v>
      </c>
      <c r="O8" s="527">
        <f>+P8/K8</f>
        <v>2.8180047899366567</v>
      </c>
      <c r="P8" s="525">
        <v>1259</v>
      </c>
    </row>
    <row r="9" spans="2:16" ht="18" customHeight="1">
      <c r="B9" s="824">
        <f t="shared" si="3"/>
        <v>5</v>
      </c>
      <c r="C9" s="521" t="s">
        <v>564</v>
      </c>
      <c r="D9" s="520" t="s">
        <v>358</v>
      </c>
      <c r="E9" s="533" t="s">
        <v>462</v>
      </c>
      <c r="F9" s="521" t="s">
        <v>565</v>
      </c>
      <c r="G9" s="520">
        <v>1900002944</v>
      </c>
      <c r="H9" s="523" t="s">
        <v>463</v>
      </c>
      <c r="I9" s="522">
        <v>41673</v>
      </c>
      <c r="J9" s="523" t="s">
        <v>515</v>
      </c>
      <c r="K9" s="525">
        <v>1241.6600000000001</v>
      </c>
      <c r="L9" s="524">
        <v>1.3427</v>
      </c>
      <c r="M9" s="525">
        <f t="shared" si="0"/>
        <v>924.74864079839131</v>
      </c>
      <c r="N9" s="526">
        <f t="shared" si="1"/>
        <v>924.74864079839131</v>
      </c>
      <c r="O9" s="527">
        <f t="shared" si="2"/>
        <v>2.8180017073917174</v>
      </c>
      <c r="P9" s="525">
        <v>3499</v>
      </c>
    </row>
    <row r="10" spans="2:16" ht="18" customHeight="1">
      <c r="B10" s="824">
        <f t="shared" si="3"/>
        <v>6</v>
      </c>
      <c r="C10" s="521" t="s">
        <v>464</v>
      </c>
      <c r="D10" s="520" t="s">
        <v>283</v>
      </c>
      <c r="E10" s="533" t="s">
        <v>465</v>
      </c>
      <c r="F10" s="521" t="s">
        <v>566</v>
      </c>
      <c r="G10" s="520">
        <v>1900002986</v>
      </c>
      <c r="H10" s="528" t="s">
        <v>466</v>
      </c>
      <c r="I10" s="522">
        <v>41675</v>
      </c>
      <c r="J10" s="523" t="s">
        <v>515</v>
      </c>
      <c r="K10" s="525">
        <v>7.09</v>
      </c>
      <c r="L10" s="524">
        <v>1.3427</v>
      </c>
      <c r="M10" s="525">
        <f t="shared" si="0"/>
        <v>5.2804051537945931</v>
      </c>
      <c r="N10" s="526">
        <f t="shared" si="1"/>
        <v>5.2804051537945931</v>
      </c>
      <c r="O10" s="527">
        <f t="shared" si="2"/>
        <v>2.8208744710860367</v>
      </c>
      <c r="P10" s="525">
        <v>20</v>
      </c>
    </row>
    <row r="11" spans="2:16" ht="18" customHeight="1">
      <c r="B11" s="824">
        <f t="shared" si="3"/>
        <v>7</v>
      </c>
      <c r="C11" s="521" t="s">
        <v>467</v>
      </c>
      <c r="D11" s="520" t="s">
        <v>284</v>
      </c>
      <c r="E11" s="530" t="s">
        <v>468</v>
      </c>
      <c r="F11" s="521" t="s">
        <v>632</v>
      </c>
      <c r="G11" s="520" t="s">
        <v>664</v>
      </c>
      <c r="H11" s="528" t="s">
        <v>567</v>
      </c>
      <c r="I11" s="522">
        <v>41681</v>
      </c>
      <c r="J11" s="523" t="s">
        <v>515</v>
      </c>
      <c r="K11" s="525">
        <v>334.98</v>
      </c>
      <c r="L11" s="524">
        <v>1.3427</v>
      </c>
      <c r="M11" s="525">
        <f t="shared" si="0"/>
        <v>249.48238623668729</v>
      </c>
      <c r="N11" s="526">
        <f t="shared" si="1"/>
        <v>249.48238623668729</v>
      </c>
      <c r="O11" s="527">
        <f t="shared" si="2"/>
        <v>2.8180786912651499</v>
      </c>
      <c r="P11" s="525">
        <v>944</v>
      </c>
    </row>
    <row r="12" spans="2:16" ht="18" customHeight="1">
      <c r="B12" s="824">
        <f t="shared" si="3"/>
        <v>8</v>
      </c>
      <c r="C12" s="521" t="s">
        <v>571</v>
      </c>
      <c r="D12" s="529" t="s">
        <v>277</v>
      </c>
      <c r="E12" s="529" t="s">
        <v>469</v>
      </c>
      <c r="F12" s="521" t="s">
        <v>570</v>
      </c>
      <c r="G12" s="520">
        <v>1900003038</v>
      </c>
      <c r="H12" s="528" t="s">
        <v>470</v>
      </c>
      <c r="I12" s="522">
        <v>41688</v>
      </c>
      <c r="J12" s="523" t="s">
        <v>515</v>
      </c>
      <c r="K12" s="525">
        <v>1232.83</v>
      </c>
      <c r="L12" s="524">
        <v>1.3427</v>
      </c>
      <c r="M12" s="525">
        <f t="shared" si="0"/>
        <v>918.1723393163029</v>
      </c>
      <c r="N12" s="526">
        <f t="shared" si="1"/>
        <v>918.1723393163029</v>
      </c>
      <c r="O12" s="527">
        <f t="shared" si="2"/>
        <v>2.802008387206671</v>
      </c>
      <c r="P12" s="525">
        <v>3454.4</v>
      </c>
    </row>
    <row r="13" spans="2:16" ht="18" customHeight="1">
      <c r="B13" s="824">
        <f t="shared" si="3"/>
        <v>9</v>
      </c>
      <c r="C13" s="521" t="s">
        <v>572</v>
      </c>
      <c r="D13" s="520" t="s">
        <v>284</v>
      </c>
      <c r="E13" s="530" t="s">
        <v>472</v>
      </c>
      <c r="F13" s="521" t="s">
        <v>573</v>
      </c>
      <c r="G13" s="520">
        <v>1900003056</v>
      </c>
      <c r="H13" s="528" t="s">
        <v>473</v>
      </c>
      <c r="I13" s="522">
        <v>41696</v>
      </c>
      <c r="J13" s="523" t="s">
        <v>515</v>
      </c>
      <c r="K13" s="525">
        <v>48.47</v>
      </c>
      <c r="L13" s="524">
        <v>1.3427</v>
      </c>
      <c r="M13" s="525">
        <f t="shared" si="0"/>
        <v>36.098905191032991</v>
      </c>
      <c r="N13" s="526">
        <f t="shared" si="1"/>
        <v>36.098905191032991</v>
      </c>
      <c r="O13" s="527">
        <f t="shared" si="2"/>
        <v>2.8058592944089127</v>
      </c>
      <c r="P13" s="525">
        <v>136</v>
      </c>
    </row>
    <row r="14" spans="2:16" ht="18" customHeight="1">
      <c r="B14" s="824">
        <f t="shared" si="3"/>
        <v>10</v>
      </c>
      <c r="C14" s="521" t="s">
        <v>575</v>
      </c>
      <c r="D14" s="520" t="s">
        <v>475</v>
      </c>
      <c r="E14" s="533" t="s">
        <v>574</v>
      </c>
      <c r="F14" s="521" t="s">
        <v>476</v>
      </c>
      <c r="G14" s="520">
        <v>100003840</v>
      </c>
      <c r="H14" s="523" t="s">
        <v>477</v>
      </c>
      <c r="I14" s="522">
        <v>41697</v>
      </c>
      <c r="J14" s="523" t="s">
        <v>515</v>
      </c>
      <c r="K14" s="525">
        <v>6540.24</v>
      </c>
      <c r="L14" s="524">
        <v>1.3427</v>
      </c>
      <c r="M14" s="525">
        <f t="shared" si="0"/>
        <v>4870.9614954941535</v>
      </c>
      <c r="N14" s="526">
        <f t="shared" si="1"/>
        <v>4870.9614954941535</v>
      </c>
      <c r="O14" s="527">
        <f t="shared" si="2"/>
        <v>2.8080009296294937</v>
      </c>
      <c r="P14" s="525">
        <v>18365</v>
      </c>
    </row>
    <row r="15" spans="2:16" ht="18" customHeight="1">
      <c r="B15" s="824">
        <f t="shared" si="3"/>
        <v>11</v>
      </c>
      <c r="C15" s="521" t="s">
        <v>478</v>
      </c>
      <c r="D15" s="520" t="s">
        <v>284</v>
      </c>
      <c r="E15" s="530" t="s">
        <v>479</v>
      </c>
      <c r="F15" s="521" t="s">
        <v>580</v>
      </c>
      <c r="G15" s="520">
        <v>1900003122</v>
      </c>
      <c r="H15" s="528" t="s">
        <v>480</v>
      </c>
      <c r="I15" s="522">
        <v>41701</v>
      </c>
      <c r="J15" s="523" t="s">
        <v>515</v>
      </c>
      <c r="K15" s="525">
        <v>213.93</v>
      </c>
      <c r="L15" s="524">
        <v>1.3427</v>
      </c>
      <c r="M15" s="525">
        <f t="shared" si="0"/>
        <v>159.3282192597006</v>
      </c>
      <c r="N15" s="526">
        <f t="shared" si="1"/>
        <v>159.3282192597006</v>
      </c>
      <c r="O15" s="527">
        <f t="shared" si="2"/>
        <v>2.7990464170523066</v>
      </c>
      <c r="P15" s="525">
        <v>598.79999999999995</v>
      </c>
    </row>
    <row r="16" spans="2:16" ht="18" customHeight="1">
      <c r="B16" s="824">
        <f t="shared" si="3"/>
        <v>12</v>
      </c>
      <c r="C16" s="521" t="s">
        <v>577</v>
      </c>
      <c r="D16" s="520" t="s">
        <v>277</v>
      </c>
      <c r="E16" s="533" t="s">
        <v>482</v>
      </c>
      <c r="F16" s="521" t="s">
        <v>576</v>
      </c>
      <c r="G16" s="520">
        <v>1900003078</v>
      </c>
      <c r="H16" s="528" t="s">
        <v>481</v>
      </c>
      <c r="I16" s="522">
        <v>41704</v>
      </c>
      <c r="J16" s="523" t="s">
        <v>515</v>
      </c>
      <c r="K16" s="525">
        <v>92.39</v>
      </c>
      <c r="L16" s="524">
        <v>1.3427</v>
      </c>
      <c r="M16" s="525">
        <f t="shared" si="0"/>
        <v>68.809115960378335</v>
      </c>
      <c r="N16" s="526">
        <f t="shared" si="1"/>
        <v>68.809115960378335</v>
      </c>
      <c r="O16" s="527">
        <f t="shared" si="2"/>
        <v>2.7979218530143957</v>
      </c>
      <c r="P16" s="525">
        <v>258.5</v>
      </c>
    </row>
    <row r="17" spans="2:16" ht="18" customHeight="1">
      <c r="B17" s="824">
        <f t="shared" si="3"/>
        <v>13</v>
      </c>
      <c r="C17" s="521" t="s">
        <v>483</v>
      </c>
      <c r="D17" s="520" t="s">
        <v>284</v>
      </c>
      <c r="E17" s="533" t="s">
        <v>482</v>
      </c>
      <c r="F17" s="521" t="s">
        <v>527</v>
      </c>
      <c r="G17" s="520">
        <v>1900003078</v>
      </c>
      <c r="H17" s="528" t="s">
        <v>485</v>
      </c>
      <c r="I17" s="522">
        <v>41704</v>
      </c>
      <c r="J17" s="523" t="s">
        <v>515</v>
      </c>
      <c r="K17" s="525">
        <v>0.9</v>
      </c>
      <c r="L17" s="524">
        <v>1.3427</v>
      </c>
      <c r="M17" s="525">
        <f t="shared" si="0"/>
        <v>0.67029120428986377</v>
      </c>
      <c r="N17" s="526">
        <f t="shared" si="1"/>
        <v>0.67029120428986377</v>
      </c>
      <c r="O17" s="527">
        <f>+P17/K17</f>
        <v>2.7777777777777777</v>
      </c>
      <c r="P17" s="525">
        <v>2.5</v>
      </c>
    </row>
    <row r="18" spans="2:16" ht="18" customHeight="1">
      <c r="B18" s="824">
        <f t="shared" si="3"/>
        <v>14</v>
      </c>
      <c r="C18" s="521" t="s">
        <v>483</v>
      </c>
      <c r="D18" s="520" t="s">
        <v>284</v>
      </c>
      <c r="E18" s="533" t="s">
        <v>482</v>
      </c>
      <c r="F18" s="521" t="s">
        <v>484</v>
      </c>
      <c r="G18" s="520">
        <v>1900003078</v>
      </c>
      <c r="H18" s="528" t="s">
        <v>486</v>
      </c>
      <c r="I18" s="522">
        <v>41704</v>
      </c>
      <c r="J18" s="523" t="s">
        <v>515</v>
      </c>
      <c r="K18" s="525">
        <v>3.0445454999999999</v>
      </c>
      <c r="L18" s="524">
        <v>1.3427</v>
      </c>
      <c r="M18" s="525">
        <f t="shared" si="0"/>
        <v>2.2674800774558723</v>
      </c>
      <c r="N18" s="526">
        <f t="shared" si="1"/>
        <v>2.2674800774558723</v>
      </c>
      <c r="O18" s="527">
        <f>+P18/K18</f>
        <v>2.7918781309065674</v>
      </c>
      <c r="P18" s="525">
        <v>8.5</v>
      </c>
    </row>
    <row r="19" spans="2:16" ht="18" customHeight="1">
      <c r="B19" s="824">
        <f t="shared" si="3"/>
        <v>15</v>
      </c>
      <c r="C19" s="521" t="s">
        <v>578</v>
      </c>
      <c r="D19" s="520" t="s">
        <v>277</v>
      </c>
      <c r="E19" s="530" t="s">
        <v>469</v>
      </c>
      <c r="F19" s="521" t="s">
        <v>637</v>
      </c>
      <c r="G19" s="520" t="s">
        <v>665</v>
      </c>
      <c r="H19" s="528" t="s">
        <v>487</v>
      </c>
      <c r="I19" s="522">
        <v>41711</v>
      </c>
      <c r="J19" s="523" t="s">
        <v>515</v>
      </c>
      <c r="K19" s="525">
        <v>1847.28</v>
      </c>
      <c r="L19" s="524">
        <v>1.3427</v>
      </c>
      <c r="M19" s="525">
        <f t="shared" si="0"/>
        <v>1375.7950398450882</v>
      </c>
      <c r="N19" s="526">
        <f t="shared" si="1"/>
        <v>1375.7950398450882</v>
      </c>
      <c r="O19" s="527">
        <f t="shared" si="2"/>
        <v>2.8049889567363913</v>
      </c>
      <c r="P19" s="525">
        <v>5181.6000000000004</v>
      </c>
    </row>
    <row r="20" spans="2:16" ht="18" customHeight="1">
      <c r="B20" s="824">
        <f t="shared" si="3"/>
        <v>16</v>
      </c>
      <c r="C20" s="521" t="s">
        <v>493</v>
      </c>
      <c r="D20" s="520" t="s">
        <v>283</v>
      </c>
      <c r="E20" s="530" t="s">
        <v>465</v>
      </c>
      <c r="F20" s="521" t="s">
        <v>495</v>
      </c>
      <c r="G20" s="520">
        <v>1900003104</v>
      </c>
      <c r="H20" s="530" t="s">
        <v>494</v>
      </c>
      <c r="I20" s="522">
        <v>41711</v>
      </c>
      <c r="J20" s="523" t="s">
        <v>515</v>
      </c>
      <c r="K20" s="525">
        <v>27.09</v>
      </c>
      <c r="L20" s="524">
        <v>1.3427</v>
      </c>
      <c r="M20" s="525">
        <f t="shared" si="0"/>
        <v>20.175765249124897</v>
      </c>
      <c r="N20" s="526">
        <f t="shared" si="1"/>
        <v>20.175765249124897</v>
      </c>
      <c r="O20" s="527">
        <f t="shared" si="2"/>
        <v>2.8054632705795495</v>
      </c>
      <c r="P20" s="525">
        <v>76</v>
      </c>
    </row>
    <row r="21" spans="2:16" ht="18" customHeight="1">
      <c r="B21" s="824">
        <f t="shared" si="3"/>
        <v>17</v>
      </c>
      <c r="C21" s="521" t="s">
        <v>488</v>
      </c>
      <c r="D21" s="520" t="s">
        <v>284</v>
      </c>
      <c r="E21" s="530" t="s">
        <v>489</v>
      </c>
      <c r="F21" s="521" t="s">
        <v>579</v>
      </c>
      <c r="G21" s="520">
        <v>1900003099</v>
      </c>
      <c r="H21" s="520" t="s">
        <v>490</v>
      </c>
      <c r="I21" s="522">
        <v>41711</v>
      </c>
      <c r="J21" s="523" t="s">
        <v>515</v>
      </c>
      <c r="K21" s="525">
        <v>622.01</v>
      </c>
      <c r="L21" s="524">
        <v>1.3427</v>
      </c>
      <c r="M21" s="525">
        <f t="shared" si="0"/>
        <v>463.25314664482011</v>
      </c>
      <c r="N21" s="526">
        <f t="shared" si="1"/>
        <v>463.25314664482011</v>
      </c>
      <c r="O21" s="527">
        <f t="shared" si="2"/>
        <v>2.8049870580858829</v>
      </c>
      <c r="P21" s="525">
        <v>1744.73</v>
      </c>
    </row>
    <row r="22" spans="2:16" ht="18" customHeight="1">
      <c r="B22" s="824">
        <f t="shared" si="3"/>
        <v>18</v>
      </c>
      <c r="C22" s="521" t="s">
        <v>491</v>
      </c>
      <c r="D22" s="520" t="s">
        <v>284</v>
      </c>
      <c r="E22" s="530" t="s">
        <v>479</v>
      </c>
      <c r="F22" s="521" t="s">
        <v>581</v>
      </c>
      <c r="G22" s="520">
        <v>1900003144</v>
      </c>
      <c r="H22" s="528" t="s">
        <v>480</v>
      </c>
      <c r="I22" s="522">
        <v>41711</v>
      </c>
      <c r="J22" s="523" t="s">
        <v>515</v>
      </c>
      <c r="K22" s="525">
        <v>320.20999999999998</v>
      </c>
      <c r="L22" s="524">
        <v>1.3427</v>
      </c>
      <c r="M22" s="525">
        <f t="shared" si="0"/>
        <v>238.48216280628583</v>
      </c>
      <c r="N22" s="526">
        <f t="shared" si="1"/>
        <v>238.48216280628583</v>
      </c>
      <c r="O22" s="527">
        <f t="shared" si="2"/>
        <v>2.8050341963086729</v>
      </c>
      <c r="P22" s="525">
        <v>898.2</v>
      </c>
    </row>
    <row r="23" spans="2:16" ht="18" customHeight="1">
      <c r="B23" s="824">
        <f t="shared" si="3"/>
        <v>19</v>
      </c>
      <c r="C23" s="521" t="s">
        <v>564</v>
      </c>
      <c r="D23" s="520" t="s">
        <v>358</v>
      </c>
      <c r="E23" s="533" t="s">
        <v>496</v>
      </c>
      <c r="F23" s="521" t="s">
        <v>582</v>
      </c>
      <c r="G23" s="520">
        <v>1900003096</v>
      </c>
      <c r="H23" s="528" t="s">
        <v>492</v>
      </c>
      <c r="I23" s="522">
        <v>41711</v>
      </c>
      <c r="J23" s="523" t="s">
        <v>515</v>
      </c>
      <c r="K23" s="525">
        <v>1354.01</v>
      </c>
      <c r="L23" s="524">
        <v>1.3427</v>
      </c>
      <c r="M23" s="525">
        <f t="shared" si="0"/>
        <v>1008.4233261339093</v>
      </c>
      <c r="N23" s="526">
        <f t="shared" si="1"/>
        <v>1008.4233261339093</v>
      </c>
      <c r="O23" s="527">
        <f t="shared" si="2"/>
        <v>2.8050014401666163</v>
      </c>
      <c r="P23" s="525">
        <v>3798</v>
      </c>
    </row>
    <row r="24" spans="2:16" ht="18" customHeight="1">
      <c r="B24" s="825">
        <f t="shared" si="3"/>
        <v>20</v>
      </c>
      <c r="C24" s="573" t="s">
        <v>642</v>
      </c>
      <c r="D24" s="581" t="s">
        <v>284</v>
      </c>
      <c r="E24" s="574" t="s">
        <v>482</v>
      </c>
      <c r="F24" s="573" t="s">
        <v>641</v>
      </c>
      <c r="G24" s="563">
        <v>1900003106</v>
      </c>
      <c r="H24" s="575" t="s">
        <v>643</v>
      </c>
      <c r="I24" s="576">
        <v>41717</v>
      </c>
      <c r="J24" s="577" t="s">
        <v>515</v>
      </c>
      <c r="K24" s="578">
        <v>17.809999999999999</v>
      </c>
      <c r="L24" s="579">
        <v>1.3427</v>
      </c>
      <c r="M24" s="578">
        <f t="shared" si="0"/>
        <v>13.264318164891636</v>
      </c>
      <c r="N24" s="534">
        <f t="shared" si="1"/>
        <v>13.264318164891636</v>
      </c>
      <c r="O24" s="580">
        <f t="shared" si="2"/>
        <v>2.8074115665356545</v>
      </c>
      <c r="P24" s="578">
        <v>50</v>
      </c>
    </row>
    <row r="25" spans="2:16" ht="18" customHeight="1">
      <c r="B25" s="824">
        <f t="shared" si="3"/>
        <v>21</v>
      </c>
      <c r="C25" s="521" t="s">
        <v>584</v>
      </c>
      <c r="D25" s="520" t="s">
        <v>409</v>
      </c>
      <c r="E25" s="530" t="s">
        <v>497</v>
      </c>
      <c r="F25" s="521" t="s">
        <v>583</v>
      </c>
      <c r="G25" s="520">
        <v>1900003112</v>
      </c>
      <c r="H25" s="528" t="s">
        <v>498</v>
      </c>
      <c r="I25" s="522">
        <v>41719</v>
      </c>
      <c r="J25" s="523" t="s">
        <v>515</v>
      </c>
      <c r="K25" s="525">
        <v>150</v>
      </c>
      <c r="L25" s="524">
        <v>1.3427</v>
      </c>
      <c r="M25" s="525">
        <f t="shared" si="0"/>
        <v>111.71520071497729</v>
      </c>
      <c r="N25" s="526">
        <f t="shared" si="1"/>
        <v>111.71520071497729</v>
      </c>
      <c r="O25" s="527">
        <f t="shared" si="2"/>
        <v>2.8109999999999999</v>
      </c>
      <c r="P25" s="525">
        <v>421.65</v>
      </c>
    </row>
    <row r="26" spans="2:16" ht="18" customHeight="1">
      <c r="B26" s="824">
        <f t="shared" si="3"/>
        <v>22</v>
      </c>
      <c r="C26" s="521" t="s">
        <v>499</v>
      </c>
      <c r="D26" s="520" t="s">
        <v>358</v>
      </c>
      <c r="E26" s="530" t="s">
        <v>500</v>
      </c>
      <c r="F26" s="521" t="s">
        <v>585</v>
      </c>
      <c r="G26" s="520">
        <v>1900003115</v>
      </c>
      <c r="H26" s="528" t="s">
        <v>501</v>
      </c>
      <c r="I26" s="522">
        <v>41719</v>
      </c>
      <c r="J26" s="523" t="s">
        <v>515</v>
      </c>
      <c r="K26" s="525">
        <v>1066.8800000000001</v>
      </c>
      <c r="L26" s="524">
        <v>1.3427</v>
      </c>
      <c r="M26" s="525">
        <f t="shared" si="0"/>
        <v>794.57808892529988</v>
      </c>
      <c r="N26" s="526">
        <f t="shared" si="1"/>
        <v>794.57808892529988</v>
      </c>
      <c r="O26" s="527">
        <f t="shared" si="2"/>
        <v>2.8110002999400119</v>
      </c>
      <c r="P26" s="525">
        <v>2999</v>
      </c>
    </row>
    <row r="27" spans="2:16" ht="18" customHeight="1">
      <c r="B27" s="824">
        <f t="shared" si="3"/>
        <v>23</v>
      </c>
      <c r="C27" s="521" t="s">
        <v>502</v>
      </c>
      <c r="D27" s="520" t="s">
        <v>358</v>
      </c>
      <c r="E27" s="529" t="s">
        <v>503</v>
      </c>
      <c r="F27" s="521" t="s">
        <v>205</v>
      </c>
      <c r="G27" s="520">
        <v>1900003160</v>
      </c>
      <c r="H27" s="528" t="s">
        <v>504</v>
      </c>
      <c r="I27" s="522">
        <v>41719</v>
      </c>
      <c r="J27" s="523" t="s">
        <v>515</v>
      </c>
      <c r="K27" s="525">
        <v>1013.62</v>
      </c>
      <c r="L27" s="524">
        <v>1.3427</v>
      </c>
      <c r="M27" s="525">
        <f t="shared" si="0"/>
        <v>754.91174499143517</v>
      </c>
      <c r="N27" s="526">
        <f t="shared" si="1"/>
        <v>754.91174499143517</v>
      </c>
      <c r="O27" s="527">
        <f t="shared" si="2"/>
        <v>2.8110139894635071</v>
      </c>
      <c r="P27" s="525">
        <v>2849.3</v>
      </c>
    </row>
    <row r="28" spans="2:16" ht="18" customHeight="1">
      <c r="B28" s="824">
        <f t="shared" si="3"/>
        <v>24</v>
      </c>
      <c r="C28" s="521" t="s">
        <v>505</v>
      </c>
      <c r="D28" s="520" t="s">
        <v>283</v>
      </c>
      <c r="E28" s="533" t="s">
        <v>482</v>
      </c>
      <c r="F28" s="521" t="s">
        <v>506</v>
      </c>
      <c r="G28" s="520">
        <v>1900003118</v>
      </c>
      <c r="H28" s="528" t="s">
        <v>507</v>
      </c>
      <c r="I28" s="522">
        <v>41723</v>
      </c>
      <c r="J28" s="523" t="s">
        <v>515</v>
      </c>
      <c r="K28" s="525">
        <v>8.5500000000000007</v>
      </c>
      <c r="L28" s="524">
        <v>1.3427</v>
      </c>
      <c r="M28" s="525">
        <f t="shared" si="0"/>
        <v>6.367766440753706</v>
      </c>
      <c r="N28" s="526">
        <f t="shared" si="1"/>
        <v>6.367766440753706</v>
      </c>
      <c r="O28" s="527">
        <f t="shared" si="2"/>
        <v>2.807017543859649</v>
      </c>
      <c r="P28" s="525">
        <v>24</v>
      </c>
    </row>
    <row r="29" spans="2:16" ht="18" customHeight="1">
      <c r="B29" s="824">
        <f t="shared" si="3"/>
        <v>25</v>
      </c>
      <c r="C29" s="521" t="s">
        <v>508</v>
      </c>
      <c r="D29" s="520" t="s">
        <v>284</v>
      </c>
      <c r="E29" s="533" t="s">
        <v>482</v>
      </c>
      <c r="F29" s="521" t="s">
        <v>509</v>
      </c>
      <c r="G29" s="520">
        <v>1900003118</v>
      </c>
      <c r="H29" s="528" t="s">
        <v>510</v>
      </c>
      <c r="I29" s="522">
        <v>41723</v>
      </c>
      <c r="J29" s="523" t="s">
        <v>515</v>
      </c>
      <c r="K29" s="525">
        <v>81.91</v>
      </c>
      <c r="L29" s="524">
        <v>1.3427</v>
      </c>
      <c r="M29" s="525">
        <f t="shared" si="0"/>
        <v>61.003947270425257</v>
      </c>
      <c r="N29" s="526">
        <f t="shared" si="1"/>
        <v>61.003947270425257</v>
      </c>
      <c r="O29" s="527">
        <f t="shared" si="2"/>
        <v>2.8079599560493227</v>
      </c>
      <c r="P29" s="525">
        <v>230</v>
      </c>
    </row>
    <row r="30" spans="2:16" ht="18" customHeight="1">
      <c r="B30" s="824">
        <f t="shared" si="3"/>
        <v>26</v>
      </c>
      <c r="C30" s="521" t="s">
        <v>511</v>
      </c>
      <c r="D30" s="520" t="s">
        <v>278</v>
      </c>
      <c r="E30" s="530" t="s">
        <v>512</v>
      </c>
      <c r="F30" s="521" t="s">
        <v>586</v>
      </c>
      <c r="G30" s="520">
        <v>1900003199</v>
      </c>
      <c r="H30" s="528"/>
      <c r="I30" s="522">
        <v>41729</v>
      </c>
      <c r="J30" s="523" t="s">
        <v>515</v>
      </c>
      <c r="K30" s="525">
        <v>150.22999999999999</v>
      </c>
      <c r="L30" s="524">
        <v>1.3427</v>
      </c>
      <c r="M30" s="525">
        <f t="shared" si="0"/>
        <v>111.88649735607358</v>
      </c>
      <c r="N30" s="526">
        <f t="shared" si="1"/>
        <v>111.88649735607358</v>
      </c>
      <c r="O30" s="527">
        <f t="shared" si="2"/>
        <v>2.8090261598881718</v>
      </c>
      <c r="P30" s="525">
        <v>422</v>
      </c>
    </row>
    <row r="31" spans="2:16" ht="18" customHeight="1">
      <c r="B31" s="824">
        <f t="shared" si="3"/>
        <v>27</v>
      </c>
      <c r="C31" s="521" t="s">
        <v>513</v>
      </c>
      <c r="D31" s="520" t="s">
        <v>128</v>
      </c>
      <c r="E31" s="530" t="s">
        <v>587</v>
      </c>
      <c r="F31" s="521" t="s">
        <v>514</v>
      </c>
      <c r="G31" s="520" t="s">
        <v>666</v>
      </c>
      <c r="H31" s="528" t="s">
        <v>477</v>
      </c>
      <c r="I31" s="522">
        <v>41729</v>
      </c>
      <c r="J31" s="523" t="s">
        <v>515</v>
      </c>
      <c r="K31" s="525">
        <f>8095.45+728.73+194.16+17.44</f>
        <v>9035.7800000000007</v>
      </c>
      <c r="L31" s="524">
        <v>1.3427</v>
      </c>
      <c r="M31" s="525">
        <f t="shared" si="0"/>
        <v>6729.5598421091836</v>
      </c>
      <c r="N31" s="526">
        <f t="shared" si="1"/>
        <v>6729.5598421091836</v>
      </c>
      <c r="O31" s="527">
        <f t="shared" si="2"/>
        <v>2.8089993337597861</v>
      </c>
      <c r="P31" s="525">
        <f>22740.1+2047+545.4+49</f>
        <v>25381.5</v>
      </c>
    </row>
    <row r="32" spans="2:16" ht="18" customHeight="1">
      <c r="B32" s="824">
        <f t="shared" si="3"/>
        <v>28</v>
      </c>
      <c r="C32" s="531" t="s">
        <v>456</v>
      </c>
      <c r="D32" s="523"/>
      <c r="E32" s="523"/>
      <c r="F32" s="521" t="s">
        <v>588</v>
      </c>
      <c r="G32" s="520">
        <v>100027077</v>
      </c>
      <c r="H32" s="535"/>
      <c r="I32" s="523" t="s">
        <v>169</v>
      </c>
      <c r="J32" s="523" t="s">
        <v>515</v>
      </c>
      <c r="K32" s="534">
        <v>3.85</v>
      </c>
      <c r="L32" s="524">
        <v>1.3427</v>
      </c>
      <c r="M32" s="525">
        <f t="shared" si="0"/>
        <v>2.8673568183510838</v>
      </c>
      <c r="N32" s="526">
        <f t="shared" si="1"/>
        <v>2.8673568183510838</v>
      </c>
      <c r="O32" s="527">
        <f t="shared" si="2"/>
        <v>0</v>
      </c>
      <c r="P32" s="525"/>
    </row>
    <row r="33" spans="2:17" ht="18" customHeight="1">
      <c r="B33" s="824">
        <f t="shared" si="3"/>
        <v>29</v>
      </c>
      <c r="C33" s="531" t="s">
        <v>589</v>
      </c>
      <c r="D33" s="523" t="s">
        <v>283</v>
      </c>
      <c r="E33" s="533" t="s">
        <v>482</v>
      </c>
      <c r="F33" s="535" t="s">
        <v>592</v>
      </c>
      <c r="G33" s="523">
        <v>1900003179</v>
      </c>
      <c r="H33" s="536" t="s">
        <v>593</v>
      </c>
      <c r="I33" s="523" t="s">
        <v>173</v>
      </c>
      <c r="J33" s="523" t="s">
        <v>515</v>
      </c>
      <c r="K33" s="534">
        <v>11.23</v>
      </c>
      <c r="L33" s="524">
        <v>1.3427</v>
      </c>
      <c r="M33" s="525">
        <f t="shared" si="0"/>
        <v>8.3637446935279662</v>
      </c>
      <c r="N33" s="526">
        <f t="shared" si="1"/>
        <v>8.3637446935279662</v>
      </c>
      <c r="O33" s="527">
        <f t="shared" si="2"/>
        <v>2.8049866429207477</v>
      </c>
      <c r="P33" s="525">
        <v>31.5</v>
      </c>
    </row>
    <row r="34" spans="2:17" ht="18" customHeight="1">
      <c r="B34" s="824">
        <f t="shared" si="3"/>
        <v>30</v>
      </c>
      <c r="C34" s="548" t="s">
        <v>590</v>
      </c>
      <c r="D34" s="523" t="s">
        <v>358</v>
      </c>
      <c r="E34" s="533" t="s">
        <v>482</v>
      </c>
      <c r="F34" s="535" t="s">
        <v>591</v>
      </c>
      <c r="G34" s="523">
        <v>1900003179</v>
      </c>
      <c r="H34" s="523">
        <v>11845016225</v>
      </c>
      <c r="I34" s="523" t="s">
        <v>173</v>
      </c>
      <c r="J34" s="523" t="s">
        <v>515</v>
      </c>
      <c r="K34" s="534">
        <v>20.43</v>
      </c>
      <c r="L34" s="524">
        <v>1.3427</v>
      </c>
      <c r="M34" s="525">
        <f t="shared" si="0"/>
        <v>15.215610337379905</v>
      </c>
      <c r="N34" s="526">
        <f t="shared" si="1"/>
        <v>15.215610337379905</v>
      </c>
      <c r="O34" s="527">
        <f t="shared" si="2"/>
        <v>2.8046989720998532</v>
      </c>
      <c r="P34" s="525">
        <v>57.3</v>
      </c>
    </row>
    <row r="35" spans="2:17" ht="18" customHeight="1">
      <c r="B35" s="826">
        <f t="shared" si="3"/>
        <v>31</v>
      </c>
      <c r="C35" s="539" t="s">
        <v>600</v>
      </c>
      <c r="D35" s="537" t="s">
        <v>278</v>
      </c>
      <c r="E35" s="530" t="s">
        <v>594</v>
      </c>
      <c r="F35" s="532" t="s">
        <v>595</v>
      </c>
      <c r="G35" s="523">
        <v>1900003260</v>
      </c>
      <c r="H35" s="523" t="s">
        <v>596</v>
      </c>
      <c r="I35" s="523" t="s">
        <v>171</v>
      </c>
      <c r="J35" s="523" t="s">
        <v>515</v>
      </c>
      <c r="K35" s="534">
        <v>210.19</v>
      </c>
      <c r="L35" s="524">
        <v>1.3427</v>
      </c>
      <c r="M35" s="525">
        <f t="shared" si="0"/>
        <v>156.54278692187384</v>
      </c>
      <c r="N35" s="526">
        <f t="shared" si="1"/>
        <v>156.54278692187384</v>
      </c>
      <c r="O35" s="527">
        <f>+P35/K35</f>
        <v>2.8069841571911129</v>
      </c>
      <c r="P35" s="525">
        <v>590</v>
      </c>
    </row>
    <row r="36" spans="2:17" ht="18" customHeight="1">
      <c r="B36" s="826">
        <f t="shared" si="3"/>
        <v>32</v>
      </c>
      <c r="C36" s="539" t="s">
        <v>511</v>
      </c>
      <c r="D36" s="537" t="s">
        <v>278</v>
      </c>
      <c r="E36" s="530" t="s">
        <v>512</v>
      </c>
      <c r="F36" s="531" t="s">
        <v>597</v>
      </c>
      <c r="G36" s="520">
        <v>1900003259</v>
      </c>
      <c r="H36" s="523" t="s">
        <v>598</v>
      </c>
      <c r="I36" s="523" t="s">
        <v>171</v>
      </c>
      <c r="J36" s="523" t="s">
        <v>515</v>
      </c>
      <c r="K36" s="534">
        <v>1103.53</v>
      </c>
      <c r="L36" s="524">
        <v>1.3427</v>
      </c>
      <c r="M36" s="525">
        <f t="shared" si="0"/>
        <v>821.87383629999249</v>
      </c>
      <c r="N36" s="526">
        <f t="shared" si="1"/>
        <v>821.87383629999249</v>
      </c>
      <c r="O36" s="527">
        <f t="shared" si="2"/>
        <v>2.8069921071470643</v>
      </c>
      <c r="P36" s="525">
        <v>3097.6</v>
      </c>
    </row>
    <row r="37" spans="2:17" ht="18" customHeight="1">
      <c r="B37" s="826">
        <f t="shared" si="3"/>
        <v>33</v>
      </c>
      <c r="C37" s="539" t="s">
        <v>600</v>
      </c>
      <c r="D37" s="538" t="s">
        <v>278</v>
      </c>
      <c r="E37" s="533" t="s">
        <v>482</v>
      </c>
      <c r="F37" s="531" t="s">
        <v>602</v>
      </c>
      <c r="G37" s="520">
        <v>1900003224</v>
      </c>
      <c r="H37" s="523" t="s">
        <v>601</v>
      </c>
      <c r="I37" s="523" t="s">
        <v>170</v>
      </c>
      <c r="J37" s="523" t="s">
        <v>515</v>
      </c>
      <c r="K37" s="534">
        <v>19.04</v>
      </c>
      <c r="L37" s="524">
        <v>1.3427</v>
      </c>
      <c r="M37" s="525">
        <f t="shared" si="0"/>
        <v>14.18038281075445</v>
      </c>
      <c r="N37" s="526">
        <f t="shared" si="1"/>
        <v>14.18038281075445</v>
      </c>
      <c r="O37" s="527">
        <f t="shared" si="2"/>
        <v>2.7836134453781516</v>
      </c>
      <c r="P37" s="525">
        <v>53</v>
      </c>
    </row>
    <row r="38" spans="2:17" ht="18" customHeight="1">
      <c r="B38" s="826">
        <f t="shared" si="3"/>
        <v>34</v>
      </c>
      <c r="C38" s="539" t="s">
        <v>309</v>
      </c>
      <c r="D38" s="538" t="s">
        <v>283</v>
      </c>
      <c r="E38" s="533" t="s">
        <v>482</v>
      </c>
      <c r="F38" s="531" t="s">
        <v>599</v>
      </c>
      <c r="G38" s="520">
        <v>1900003224</v>
      </c>
      <c r="H38" s="523" t="s">
        <v>603</v>
      </c>
      <c r="I38" s="523" t="s">
        <v>170</v>
      </c>
      <c r="J38" s="523" t="s">
        <v>515</v>
      </c>
      <c r="K38" s="534">
        <v>8.6199999999999992</v>
      </c>
      <c r="L38" s="524">
        <v>1.3427</v>
      </c>
      <c r="M38" s="525">
        <f t="shared" si="0"/>
        <v>6.4199002010873603</v>
      </c>
      <c r="N38" s="526">
        <f t="shared" si="1"/>
        <v>6.4199002010873603</v>
      </c>
      <c r="O38" s="527">
        <f t="shared" si="2"/>
        <v>2.7842227378190256</v>
      </c>
      <c r="P38" s="525">
        <v>24</v>
      </c>
    </row>
    <row r="39" spans="2:17" ht="18" customHeight="1">
      <c r="B39" s="826">
        <f t="shared" si="3"/>
        <v>35</v>
      </c>
      <c r="C39" s="539" t="s">
        <v>604</v>
      </c>
      <c r="D39" s="538" t="s">
        <v>284</v>
      </c>
      <c r="E39" s="533" t="s">
        <v>482</v>
      </c>
      <c r="F39" s="531" t="s">
        <v>605</v>
      </c>
      <c r="G39" s="520">
        <v>1900003226</v>
      </c>
      <c r="H39" s="520" t="s">
        <v>669</v>
      </c>
      <c r="I39" s="523" t="s">
        <v>170</v>
      </c>
      <c r="J39" s="523" t="s">
        <v>515</v>
      </c>
      <c r="K39" s="534">
        <v>26.9</v>
      </c>
      <c r="L39" s="524">
        <v>1.3427</v>
      </c>
      <c r="M39" s="525">
        <f t="shared" si="0"/>
        <v>20.03425932821926</v>
      </c>
      <c r="N39" s="526">
        <f t="shared" si="1"/>
        <v>20.03425932821926</v>
      </c>
      <c r="O39" s="527">
        <f t="shared" si="2"/>
        <v>2.7843866171003722</v>
      </c>
      <c r="P39" s="525">
        <v>74.900000000000006</v>
      </c>
    </row>
    <row r="40" spans="2:17" ht="18" customHeight="1">
      <c r="B40" s="826">
        <f t="shared" si="3"/>
        <v>36</v>
      </c>
      <c r="C40" s="539" t="s">
        <v>606</v>
      </c>
      <c r="D40" s="537" t="s">
        <v>278</v>
      </c>
      <c r="E40" s="530" t="s">
        <v>608</v>
      </c>
      <c r="F40" s="531" t="s">
        <v>607</v>
      </c>
      <c r="G40" s="520">
        <v>1900003291</v>
      </c>
      <c r="H40" s="523" t="s">
        <v>609</v>
      </c>
      <c r="I40" s="523" t="s">
        <v>172</v>
      </c>
      <c r="J40" s="523" t="s">
        <v>515</v>
      </c>
      <c r="K40" s="534">
        <v>292</v>
      </c>
      <c r="L40" s="524">
        <v>1.3427</v>
      </c>
      <c r="M40" s="525">
        <f t="shared" si="0"/>
        <v>217.47225739182244</v>
      </c>
      <c r="N40" s="526">
        <f t="shared" si="1"/>
        <v>217.47225739182244</v>
      </c>
      <c r="O40" s="527">
        <f>+P40/K40</f>
        <v>2.7739726027397262</v>
      </c>
      <c r="P40" s="525">
        <v>810</v>
      </c>
    </row>
    <row r="41" spans="2:17" ht="18" customHeight="1">
      <c r="B41" s="826">
        <f t="shared" si="3"/>
        <v>37</v>
      </c>
      <c r="C41" s="539" t="s">
        <v>611</v>
      </c>
      <c r="D41" s="537" t="s">
        <v>278</v>
      </c>
      <c r="E41" s="530" t="s">
        <v>612</v>
      </c>
      <c r="F41" s="531" t="s">
        <v>610</v>
      </c>
      <c r="G41" s="520">
        <v>1900003240</v>
      </c>
      <c r="H41" s="523" t="s">
        <v>613</v>
      </c>
      <c r="I41" s="523" t="s">
        <v>168</v>
      </c>
      <c r="J41" s="523" t="s">
        <v>515</v>
      </c>
      <c r="K41" s="534">
        <v>573.72</v>
      </c>
      <c r="L41" s="524">
        <v>1.3427</v>
      </c>
      <c r="M41" s="525">
        <f t="shared" si="0"/>
        <v>427.28829969464516</v>
      </c>
      <c r="N41" s="526">
        <f t="shared" si="1"/>
        <v>427.28829969464516</v>
      </c>
      <c r="O41" s="527">
        <f>+P41/K41</f>
        <v>2.7910130377187476</v>
      </c>
      <c r="P41" s="525">
        <v>1601.26</v>
      </c>
    </row>
    <row r="42" spans="2:17" ht="18" customHeight="1">
      <c r="B42" s="826">
        <f>1+B41</f>
        <v>38</v>
      </c>
      <c r="C42" s="539" t="s">
        <v>614</v>
      </c>
      <c r="D42" s="538" t="s">
        <v>278</v>
      </c>
      <c r="E42" s="523" t="s">
        <v>482</v>
      </c>
      <c r="F42" s="531" t="s">
        <v>615</v>
      </c>
      <c r="G42" s="520">
        <v>1900003239</v>
      </c>
      <c r="H42" s="523" t="s">
        <v>616</v>
      </c>
      <c r="I42" s="523" t="s">
        <v>168</v>
      </c>
      <c r="J42" s="523" t="s">
        <v>515</v>
      </c>
      <c r="K42" s="534">
        <v>14.33</v>
      </c>
      <c r="L42" s="524">
        <v>1.3427</v>
      </c>
      <c r="M42" s="525">
        <f t="shared" si="0"/>
        <v>10.672525508304163</v>
      </c>
      <c r="N42" s="526">
        <f t="shared" si="1"/>
        <v>10.672525508304163</v>
      </c>
      <c r="O42" s="527">
        <f t="shared" si="2"/>
        <v>2.7913468248429867</v>
      </c>
      <c r="P42" s="525">
        <v>40</v>
      </c>
    </row>
    <row r="43" spans="2:17" ht="18" customHeight="1">
      <c r="B43" s="826">
        <f>1+B44</f>
        <v>40</v>
      </c>
      <c r="C43" s="539" t="s">
        <v>618</v>
      </c>
      <c r="D43" s="538" t="s">
        <v>283</v>
      </c>
      <c r="E43" s="523" t="s">
        <v>482</v>
      </c>
      <c r="F43" s="531" t="s">
        <v>617</v>
      </c>
      <c r="G43" s="520">
        <v>1900003239</v>
      </c>
      <c r="H43" s="523" t="s">
        <v>619</v>
      </c>
      <c r="I43" s="523" t="s">
        <v>168</v>
      </c>
      <c r="J43" s="523" t="s">
        <v>515</v>
      </c>
      <c r="K43" s="534">
        <v>5.37</v>
      </c>
      <c r="L43" s="524">
        <v>1.3427</v>
      </c>
      <c r="M43" s="525">
        <f>+K43/L43</f>
        <v>3.999404185596187</v>
      </c>
      <c r="N43" s="526">
        <f>+M43</f>
        <v>3.999404185596187</v>
      </c>
      <c r="O43" s="527">
        <f>+P43/K43</f>
        <v>2.7932960893854748</v>
      </c>
      <c r="P43" s="525">
        <v>15</v>
      </c>
    </row>
    <row r="44" spans="2:17" ht="18" customHeight="1">
      <c r="B44" s="826">
        <f>1+B42</f>
        <v>39</v>
      </c>
      <c r="C44" s="539" t="s">
        <v>621</v>
      </c>
      <c r="D44" s="538" t="s">
        <v>282</v>
      </c>
      <c r="E44" s="530" t="s">
        <v>622</v>
      </c>
      <c r="F44" s="531" t="s">
        <v>620</v>
      </c>
      <c r="G44" s="520">
        <v>1900003296</v>
      </c>
      <c r="H44" s="523" t="s">
        <v>623</v>
      </c>
      <c r="I44" s="523" t="s">
        <v>168</v>
      </c>
      <c r="J44" s="523" t="s">
        <v>515</v>
      </c>
      <c r="K44" s="534">
        <v>100.32</v>
      </c>
      <c r="L44" s="524">
        <v>1.3427</v>
      </c>
      <c r="M44" s="525">
        <f t="shared" si="0"/>
        <v>74.715126238176808</v>
      </c>
      <c r="N44" s="526">
        <f t="shared" si="1"/>
        <v>74.715126238176808</v>
      </c>
      <c r="O44" s="527">
        <f t="shared" si="2"/>
        <v>2.791068580542265</v>
      </c>
      <c r="P44" s="525">
        <v>280</v>
      </c>
    </row>
    <row r="45" spans="2:17" ht="18" customHeight="1">
      <c r="B45" s="826">
        <f>1+B43</f>
        <v>41</v>
      </c>
      <c r="C45" s="521" t="s">
        <v>513</v>
      </c>
      <c r="D45" s="538"/>
      <c r="E45" s="523" t="s">
        <v>630</v>
      </c>
      <c r="F45" s="531" t="s">
        <v>176</v>
      </c>
      <c r="G45" s="520">
        <v>100004083</v>
      </c>
      <c r="H45" s="523"/>
      <c r="I45" s="523" t="s">
        <v>168</v>
      </c>
      <c r="J45" s="523" t="s">
        <v>515</v>
      </c>
      <c r="K45" s="534">
        <v>9134.36</v>
      </c>
      <c r="L45" s="524">
        <v>1.3427</v>
      </c>
      <c r="M45" s="525">
        <f t="shared" si="0"/>
        <v>6802.9790720190667</v>
      </c>
      <c r="N45" s="526">
        <f t="shared" si="1"/>
        <v>6802.9790720190667</v>
      </c>
      <c r="O45" s="527">
        <f t="shared" si="2"/>
        <v>2.7910001357511636</v>
      </c>
      <c r="P45" s="525">
        <v>25494</v>
      </c>
    </row>
    <row r="46" spans="2:17" ht="18" customHeight="1">
      <c r="B46" s="826">
        <f t="shared" si="3"/>
        <v>42</v>
      </c>
      <c r="C46" s="521" t="s">
        <v>513</v>
      </c>
      <c r="D46" s="538"/>
      <c r="E46" s="523" t="s">
        <v>630</v>
      </c>
      <c r="F46" s="531" t="s">
        <v>178</v>
      </c>
      <c r="G46" s="520">
        <v>100004083</v>
      </c>
      <c r="H46" s="523"/>
      <c r="I46" s="523" t="s">
        <v>168</v>
      </c>
      <c r="J46" s="523" t="s">
        <v>515</v>
      </c>
      <c r="K46" s="534">
        <v>822.29</v>
      </c>
      <c r="L46" s="524">
        <v>1.3427</v>
      </c>
      <c r="M46" s="525">
        <f t="shared" si="0"/>
        <v>612.41528263945781</v>
      </c>
      <c r="N46" s="526">
        <f t="shared" si="1"/>
        <v>612.41528263945781</v>
      </c>
      <c r="O46" s="527">
        <f t="shared" si="2"/>
        <v>2.7909861484391154</v>
      </c>
      <c r="P46" s="525">
        <v>2295</v>
      </c>
    </row>
    <row r="47" spans="2:17" ht="18" customHeight="1">
      <c r="B47" s="826">
        <f t="shared" si="3"/>
        <v>43</v>
      </c>
      <c r="C47" s="809" t="s">
        <v>557</v>
      </c>
      <c r="D47" s="541"/>
      <c r="E47" s="542"/>
      <c r="F47" s="543" t="s">
        <v>631</v>
      </c>
      <c r="G47" s="798"/>
      <c r="H47" s="542"/>
      <c r="I47" s="542" t="s">
        <v>168</v>
      </c>
      <c r="J47" s="542" t="s">
        <v>515</v>
      </c>
      <c r="K47" s="544">
        <v>19.71</v>
      </c>
      <c r="L47" s="542">
        <v>1.3427</v>
      </c>
      <c r="M47" s="545">
        <f t="shared" si="0"/>
        <v>14.679377373948016</v>
      </c>
      <c r="N47" s="546">
        <f t="shared" si="1"/>
        <v>14.679377373948016</v>
      </c>
      <c r="O47" s="547">
        <f t="shared" si="2"/>
        <v>2.7904616945712837</v>
      </c>
      <c r="P47" s="545">
        <v>55</v>
      </c>
      <c r="Q47" s="107" t="s">
        <v>639</v>
      </c>
    </row>
    <row r="48" spans="2:17" ht="18" customHeight="1">
      <c r="B48" s="826">
        <f t="shared" si="3"/>
        <v>44</v>
      </c>
      <c r="C48" s="805" t="s">
        <v>625</v>
      </c>
      <c r="D48" s="538" t="s">
        <v>134</v>
      </c>
      <c r="E48" s="530" t="s">
        <v>626</v>
      </c>
      <c r="F48" s="531" t="s">
        <v>624</v>
      </c>
      <c r="G48" s="520">
        <v>1900003297</v>
      </c>
      <c r="H48" s="523"/>
      <c r="I48" s="523" t="s">
        <v>174</v>
      </c>
      <c r="J48" s="523" t="s">
        <v>515</v>
      </c>
      <c r="K48" s="534">
        <v>600</v>
      </c>
      <c r="L48" s="524">
        <v>1.3427</v>
      </c>
      <c r="M48" s="525">
        <f t="shared" si="0"/>
        <v>446.86080285990914</v>
      </c>
      <c r="N48" s="526">
        <f t="shared" si="1"/>
        <v>446.86080285990914</v>
      </c>
      <c r="O48" s="527">
        <f t="shared" si="2"/>
        <v>2.79</v>
      </c>
      <c r="P48" s="525">
        <v>1674</v>
      </c>
    </row>
    <row r="49" spans="2:17" ht="18" customHeight="1">
      <c r="B49" s="826">
        <f t="shared" si="3"/>
        <v>45</v>
      </c>
      <c r="C49" s="805" t="s">
        <v>628</v>
      </c>
      <c r="D49" s="549" t="s">
        <v>133</v>
      </c>
      <c r="E49" s="550" t="s">
        <v>629</v>
      </c>
      <c r="F49" s="531" t="s">
        <v>627</v>
      </c>
      <c r="G49" s="799">
        <v>1900003299</v>
      </c>
      <c r="H49" s="551"/>
      <c r="I49" s="551" t="s">
        <v>175</v>
      </c>
      <c r="J49" s="551" t="s">
        <v>515</v>
      </c>
      <c r="K49" s="552">
        <v>674.04</v>
      </c>
      <c r="L49" s="553">
        <v>1.3427</v>
      </c>
      <c r="M49" s="554">
        <f>+K49/L49</f>
        <v>502.00342593282187</v>
      </c>
      <c r="N49" s="555">
        <f>+M49</f>
        <v>502.00342593282187</v>
      </c>
      <c r="O49" s="556">
        <f>+P49/K49</f>
        <v>2.8010207109370366</v>
      </c>
      <c r="P49" s="554">
        <v>1888</v>
      </c>
    </row>
    <row r="50" spans="2:17" ht="18" customHeight="1">
      <c r="B50" s="826">
        <f t="shared" si="3"/>
        <v>46</v>
      </c>
      <c r="C50" s="805" t="s">
        <v>634</v>
      </c>
      <c r="D50" s="304"/>
      <c r="E50" s="304"/>
      <c r="F50" s="806" t="s">
        <v>633</v>
      </c>
      <c r="G50" s="482">
        <v>100027492</v>
      </c>
      <c r="H50" s="304"/>
      <c r="I50" s="513">
        <v>41760</v>
      </c>
      <c r="J50" s="551" t="s">
        <v>515</v>
      </c>
      <c r="K50" s="582">
        <v>3.85</v>
      </c>
      <c r="L50" s="553">
        <v>1.3427</v>
      </c>
      <c r="M50" s="554">
        <f t="shared" ref="M50:M57" si="4">+K50/L50</f>
        <v>2.8673568183510838</v>
      </c>
      <c r="N50" s="568">
        <f>+M50</f>
        <v>2.8673568183510838</v>
      </c>
      <c r="O50" s="556">
        <f t="shared" ref="O50:O52" si="5">+P50/K50</f>
        <v>0</v>
      </c>
      <c r="P50" s="557"/>
      <c r="Q50" s="107" t="s">
        <v>638</v>
      </c>
    </row>
    <row r="51" spans="2:17" ht="18" customHeight="1">
      <c r="B51" s="826">
        <f t="shared" si="3"/>
        <v>47</v>
      </c>
      <c r="C51" s="805" t="s">
        <v>635</v>
      </c>
      <c r="D51" s="304"/>
      <c r="E51" s="304"/>
      <c r="F51" s="806" t="s">
        <v>633</v>
      </c>
      <c r="G51" s="482">
        <v>100027492</v>
      </c>
      <c r="H51" s="304"/>
      <c r="I51" s="513">
        <v>41760</v>
      </c>
      <c r="J51" s="551" t="s">
        <v>515</v>
      </c>
      <c r="K51" s="582">
        <v>3.85</v>
      </c>
      <c r="L51" s="553">
        <v>1.3427</v>
      </c>
      <c r="M51" s="554">
        <f t="shared" si="4"/>
        <v>2.8673568183510838</v>
      </c>
      <c r="N51" s="568">
        <f t="shared" ref="N51:N52" si="6">+M51</f>
        <v>2.8673568183510838</v>
      </c>
      <c r="O51" s="556">
        <f t="shared" si="5"/>
        <v>0</v>
      </c>
      <c r="P51" s="557"/>
      <c r="Q51" s="107" t="s">
        <v>638</v>
      </c>
    </row>
    <row r="52" spans="2:17" ht="18" customHeight="1">
      <c r="B52" s="827">
        <f t="shared" si="3"/>
        <v>48</v>
      </c>
      <c r="C52" s="805" t="s">
        <v>636</v>
      </c>
      <c r="D52" s="304"/>
      <c r="E52" s="304"/>
      <c r="F52" s="807" t="s">
        <v>633</v>
      </c>
      <c r="G52" s="482">
        <v>100027492</v>
      </c>
      <c r="H52" s="304"/>
      <c r="I52" s="513">
        <v>41760</v>
      </c>
      <c r="J52" s="551" t="s">
        <v>515</v>
      </c>
      <c r="K52" s="582">
        <v>3.85</v>
      </c>
      <c r="L52" s="553">
        <v>1.3427</v>
      </c>
      <c r="M52" s="554">
        <f>+K52/L52</f>
        <v>2.8673568183510838</v>
      </c>
      <c r="N52" s="568">
        <f t="shared" si="6"/>
        <v>2.8673568183510838</v>
      </c>
      <c r="O52" s="556">
        <f t="shared" si="5"/>
        <v>0</v>
      </c>
      <c r="P52" s="557"/>
      <c r="Q52" s="107" t="s">
        <v>638</v>
      </c>
    </row>
    <row r="53" spans="2:17" ht="18" customHeight="1">
      <c r="B53" s="828">
        <f t="shared" si="3"/>
        <v>49</v>
      </c>
      <c r="C53" s="808" t="s">
        <v>557</v>
      </c>
      <c r="D53" s="564"/>
      <c r="E53" s="564"/>
      <c r="F53" s="809" t="s">
        <v>535</v>
      </c>
      <c r="G53" s="564">
        <v>1900003369</v>
      </c>
      <c r="H53" s="564"/>
      <c r="I53" s="559">
        <v>41764</v>
      </c>
      <c r="J53" s="560" t="s">
        <v>515</v>
      </c>
      <c r="K53" s="567">
        <v>2284.4499999999998</v>
      </c>
      <c r="L53" s="540">
        <v>1.3427</v>
      </c>
      <c r="M53" s="566">
        <f>+K53/L53</f>
        <v>1701.3852684888657</v>
      </c>
      <c r="N53" s="569">
        <f>+M53</f>
        <v>1701.3852684888657</v>
      </c>
      <c r="O53" s="561"/>
      <c r="P53" s="562">
        <v>0</v>
      </c>
      <c r="Q53" s="107" t="s">
        <v>639</v>
      </c>
    </row>
    <row r="54" spans="2:17" ht="18" customHeight="1">
      <c r="B54" s="828">
        <f t="shared" si="3"/>
        <v>50</v>
      </c>
      <c r="C54" s="809" t="s">
        <v>557</v>
      </c>
      <c r="D54" s="564"/>
      <c r="E54" s="564"/>
      <c r="F54" s="809" t="s">
        <v>536</v>
      </c>
      <c r="G54" s="564">
        <v>1900003370</v>
      </c>
      <c r="H54" s="564"/>
      <c r="I54" s="559">
        <v>41764</v>
      </c>
      <c r="J54" s="560" t="s">
        <v>515</v>
      </c>
      <c r="K54" s="567">
        <v>225.44</v>
      </c>
      <c r="L54" s="800">
        <v>1.3427</v>
      </c>
      <c r="M54" s="566">
        <f t="shared" si="4"/>
        <v>167.90049899456318</v>
      </c>
      <c r="N54" s="569">
        <f>+M54</f>
        <v>167.90049899456318</v>
      </c>
      <c r="O54" s="801">
        <f>+P54/K54</f>
        <v>0</v>
      </c>
      <c r="P54" s="562"/>
      <c r="Q54" s="107" t="s">
        <v>639</v>
      </c>
    </row>
    <row r="55" spans="2:17" ht="18" customHeight="1">
      <c r="B55" s="828">
        <f t="shared" si="3"/>
        <v>51</v>
      </c>
      <c r="C55" s="809" t="s">
        <v>557</v>
      </c>
      <c r="D55" s="564"/>
      <c r="E55" s="564"/>
      <c r="F55" s="809" t="s">
        <v>535</v>
      </c>
      <c r="G55" s="564">
        <v>1700000191</v>
      </c>
      <c r="H55" s="564"/>
      <c r="I55" s="559">
        <v>41764</v>
      </c>
      <c r="J55" s="560" t="s">
        <v>515</v>
      </c>
      <c r="K55" s="567">
        <v>-2284.4499999999998</v>
      </c>
      <c r="L55" s="540">
        <v>1.3427</v>
      </c>
      <c r="M55" s="566">
        <f t="shared" si="4"/>
        <v>-1701.3852684888657</v>
      </c>
      <c r="N55" s="569">
        <f>+M55</f>
        <v>-1701.3852684888657</v>
      </c>
      <c r="O55" s="561"/>
      <c r="P55" s="562">
        <v>0</v>
      </c>
      <c r="Q55" s="107" t="s">
        <v>639</v>
      </c>
    </row>
    <row r="56" spans="2:17" ht="18" customHeight="1">
      <c r="B56" s="828">
        <f t="shared" si="3"/>
        <v>52</v>
      </c>
      <c r="C56" s="809" t="s">
        <v>557</v>
      </c>
      <c r="D56" s="564"/>
      <c r="E56" s="564"/>
      <c r="F56" s="809" t="s">
        <v>536</v>
      </c>
      <c r="G56" s="564">
        <v>1700000192</v>
      </c>
      <c r="H56" s="564"/>
      <c r="I56" s="559">
        <v>41764</v>
      </c>
      <c r="J56" s="560" t="s">
        <v>515</v>
      </c>
      <c r="K56" s="567">
        <v>-225.44</v>
      </c>
      <c r="L56" s="540">
        <v>1.3427</v>
      </c>
      <c r="M56" s="566">
        <f t="shared" si="4"/>
        <v>-167.90049899456318</v>
      </c>
      <c r="N56" s="569">
        <f t="shared" ref="N56:N57" si="7">+M56</f>
        <v>-167.90049899456318</v>
      </c>
      <c r="O56" s="561"/>
      <c r="P56" s="562">
        <v>0</v>
      </c>
      <c r="Q56" s="107" t="s">
        <v>639</v>
      </c>
    </row>
    <row r="57" spans="2:17" ht="18" customHeight="1">
      <c r="B57" s="828">
        <f t="shared" si="3"/>
        <v>53</v>
      </c>
      <c r="C57" s="805" t="s">
        <v>670</v>
      </c>
      <c r="D57" s="304"/>
      <c r="E57" s="550"/>
      <c r="F57" s="805" t="s">
        <v>671</v>
      </c>
      <c r="G57" s="304">
        <v>1900003396</v>
      </c>
      <c r="H57" s="304"/>
      <c r="I57" s="307">
        <v>41764</v>
      </c>
      <c r="J57" s="551" t="s">
        <v>515</v>
      </c>
      <c r="K57" s="582">
        <v>225.44</v>
      </c>
      <c r="L57" s="539">
        <v>1.3427</v>
      </c>
      <c r="M57" s="554">
        <f t="shared" si="4"/>
        <v>167.90049899456318</v>
      </c>
      <c r="N57" s="568">
        <f t="shared" si="7"/>
        <v>167.90049899456318</v>
      </c>
      <c r="O57" s="457"/>
      <c r="P57" s="557">
        <v>0</v>
      </c>
      <c r="Q57" s="107" t="s">
        <v>638</v>
      </c>
    </row>
    <row r="58" spans="2:17" ht="18" customHeight="1">
      <c r="B58" s="828">
        <f t="shared" si="3"/>
        <v>54</v>
      </c>
      <c r="C58" s="805" t="s">
        <v>672</v>
      </c>
      <c r="D58" s="304"/>
      <c r="E58" s="550" t="s">
        <v>673</v>
      </c>
      <c r="F58" s="806" t="s">
        <v>675</v>
      </c>
      <c r="G58" s="482">
        <v>1900003398</v>
      </c>
      <c r="H58" s="304" t="s">
        <v>674</v>
      </c>
      <c r="I58" s="513">
        <v>41764</v>
      </c>
      <c r="J58" s="551" t="s">
        <v>515</v>
      </c>
      <c r="K58" s="582">
        <v>290.76</v>
      </c>
      <c r="L58" s="553">
        <v>1.3427</v>
      </c>
      <c r="M58" s="554">
        <f t="shared" ref="M58:M66" si="8">+K58/L58</f>
        <v>216.54874506591196</v>
      </c>
      <c r="N58" s="568">
        <f t="shared" ref="N58:N69" si="9">+M58</f>
        <v>216.54874506591196</v>
      </c>
      <c r="O58" s="556">
        <f t="shared" ref="O58:O64" si="10">+P58/K58</f>
        <v>2.8029990370064657</v>
      </c>
      <c r="P58" s="557">
        <v>815</v>
      </c>
    </row>
    <row r="59" spans="2:17" ht="18" customHeight="1">
      <c r="B59" s="828">
        <f t="shared" si="3"/>
        <v>55</v>
      </c>
      <c r="C59" s="805" t="s">
        <v>676</v>
      </c>
      <c r="D59" s="304"/>
      <c r="E59" s="304"/>
      <c r="F59" s="806" t="s">
        <v>677</v>
      </c>
      <c r="G59" s="482">
        <v>1900003383</v>
      </c>
      <c r="H59" s="304"/>
      <c r="I59" s="513">
        <v>41771</v>
      </c>
      <c r="J59" s="551" t="s">
        <v>515</v>
      </c>
      <c r="K59" s="582">
        <v>58.15</v>
      </c>
      <c r="L59" s="553">
        <v>1.3427</v>
      </c>
      <c r="M59" s="554">
        <f t="shared" si="8"/>
        <v>43.308259477172861</v>
      </c>
      <c r="N59" s="568">
        <f t="shared" si="9"/>
        <v>43.308259477172861</v>
      </c>
      <c r="O59" s="556">
        <f t="shared" si="10"/>
        <v>2.7858985382631127</v>
      </c>
      <c r="P59" s="557">
        <v>162</v>
      </c>
    </row>
    <row r="60" spans="2:17" ht="18" customHeight="1">
      <c r="B60" s="828">
        <f t="shared" si="3"/>
        <v>56</v>
      </c>
      <c r="C60" s="805" t="s">
        <v>644</v>
      </c>
      <c r="D60" s="304"/>
      <c r="E60" s="304"/>
      <c r="F60" s="806" t="s">
        <v>679</v>
      </c>
      <c r="G60" s="482">
        <v>1900003385</v>
      </c>
      <c r="H60" s="304" t="s">
        <v>678</v>
      </c>
      <c r="I60" s="513">
        <v>41771</v>
      </c>
      <c r="J60" s="551" t="s">
        <v>515</v>
      </c>
      <c r="K60" s="582">
        <v>82.56</v>
      </c>
      <c r="L60" s="553">
        <v>1.3427</v>
      </c>
      <c r="M60" s="554">
        <f t="shared" si="8"/>
        <v>61.488046473523497</v>
      </c>
      <c r="N60" s="568">
        <f t="shared" si="9"/>
        <v>61.488046473523497</v>
      </c>
      <c r="O60" s="556">
        <f t="shared" si="10"/>
        <v>2.7858527131782944</v>
      </c>
      <c r="P60" s="557">
        <v>230</v>
      </c>
    </row>
    <row r="61" spans="2:17" ht="18" customHeight="1">
      <c r="B61" s="828">
        <f t="shared" si="3"/>
        <v>57</v>
      </c>
      <c r="C61" s="805" t="s">
        <v>644</v>
      </c>
      <c r="D61" s="304"/>
      <c r="E61" s="304"/>
      <c r="F61" s="806" t="s">
        <v>680</v>
      </c>
      <c r="G61" s="482">
        <v>1900003386</v>
      </c>
      <c r="H61" s="304" t="s">
        <v>681</v>
      </c>
      <c r="I61" s="513">
        <v>41771</v>
      </c>
      <c r="J61" s="551" t="s">
        <v>515</v>
      </c>
      <c r="K61" s="582">
        <v>82.56</v>
      </c>
      <c r="L61" s="553">
        <v>1.3427</v>
      </c>
      <c r="M61" s="554">
        <f t="shared" si="8"/>
        <v>61.488046473523497</v>
      </c>
      <c r="N61" s="568">
        <f t="shared" si="9"/>
        <v>61.488046473523497</v>
      </c>
      <c r="O61" s="556">
        <f t="shared" si="10"/>
        <v>2.7858527131782944</v>
      </c>
      <c r="P61" s="557">
        <v>230</v>
      </c>
    </row>
    <row r="62" spans="2:17" ht="18" customHeight="1">
      <c r="B62" s="828">
        <f t="shared" si="3"/>
        <v>58</v>
      </c>
      <c r="C62" s="805" t="s">
        <v>644</v>
      </c>
      <c r="D62" s="304"/>
      <c r="E62" s="304"/>
      <c r="F62" s="806" t="s">
        <v>682</v>
      </c>
      <c r="G62" s="482">
        <v>1900003388</v>
      </c>
      <c r="H62" s="304" t="s">
        <v>683</v>
      </c>
      <c r="I62" s="513">
        <v>41772</v>
      </c>
      <c r="J62" s="551" t="s">
        <v>515</v>
      </c>
      <c r="K62" s="582">
        <v>82.61</v>
      </c>
      <c r="L62" s="553">
        <v>1.3427</v>
      </c>
      <c r="M62" s="554">
        <f t="shared" si="8"/>
        <v>61.525284873761819</v>
      </c>
      <c r="N62" s="568">
        <f t="shared" si="9"/>
        <v>61.525284873761819</v>
      </c>
      <c r="O62" s="556">
        <f t="shared" si="10"/>
        <v>2.7841665657910664</v>
      </c>
      <c r="P62" s="557">
        <v>230</v>
      </c>
    </row>
    <row r="63" spans="2:17" ht="18" customHeight="1">
      <c r="B63" s="828">
        <f t="shared" si="3"/>
        <v>59</v>
      </c>
      <c r="C63" s="805" t="s">
        <v>646</v>
      </c>
      <c r="D63" s="304"/>
      <c r="E63" s="550" t="s">
        <v>512</v>
      </c>
      <c r="F63" s="806" t="s">
        <v>645</v>
      </c>
      <c r="G63" s="482">
        <v>1900003389</v>
      </c>
      <c r="H63" s="304" t="s">
        <v>684</v>
      </c>
      <c r="I63" s="513">
        <v>41772</v>
      </c>
      <c r="J63" s="551" t="s">
        <v>515</v>
      </c>
      <c r="K63" s="582">
        <v>1668.97</v>
      </c>
      <c r="L63" s="553">
        <v>1.3427</v>
      </c>
      <c r="M63" s="554">
        <f t="shared" si="8"/>
        <v>1242.995456915171</v>
      </c>
      <c r="N63" s="568">
        <f t="shared" si="9"/>
        <v>1242.995456915171</v>
      </c>
      <c r="O63" s="556">
        <f t="shared" si="10"/>
        <v>2.7839925223341337</v>
      </c>
      <c r="P63" s="557">
        <v>4646.3999999999996</v>
      </c>
    </row>
    <row r="64" spans="2:17" ht="18" customHeight="1">
      <c r="B64" s="828">
        <f t="shared" si="3"/>
        <v>60</v>
      </c>
      <c r="C64" s="805" t="s">
        <v>646</v>
      </c>
      <c r="D64" s="304"/>
      <c r="E64" s="550" t="s">
        <v>512</v>
      </c>
      <c r="F64" s="806" t="s">
        <v>648</v>
      </c>
      <c r="G64" s="482">
        <v>1900003391</v>
      </c>
      <c r="H64" s="304" t="s">
        <v>684</v>
      </c>
      <c r="I64" s="513">
        <v>41772</v>
      </c>
      <c r="J64" s="551" t="s">
        <v>515</v>
      </c>
      <c r="K64" s="582">
        <v>227.73</v>
      </c>
      <c r="L64" s="553">
        <v>1.3427</v>
      </c>
      <c r="M64" s="554">
        <f t="shared" si="8"/>
        <v>169.60601772547849</v>
      </c>
      <c r="N64" s="568">
        <f t="shared" si="9"/>
        <v>169.60601772547849</v>
      </c>
      <c r="O64" s="556">
        <f t="shared" si="10"/>
        <v>2.7839985948272079</v>
      </c>
      <c r="P64" s="557">
        <v>634</v>
      </c>
    </row>
    <row r="65" spans="2:17" ht="18" customHeight="1">
      <c r="B65" s="828">
        <f t="shared" si="3"/>
        <v>61</v>
      </c>
      <c r="C65" s="809" t="s">
        <v>557</v>
      </c>
      <c r="D65" s="564"/>
      <c r="E65" s="564"/>
      <c r="F65" s="809" t="s">
        <v>542</v>
      </c>
      <c r="G65" s="564">
        <v>1900003325</v>
      </c>
      <c r="H65" s="564"/>
      <c r="I65" s="559">
        <v>41774</v>
      </c>
      <c r="J65" s="560" t="s">
        <v>515</v>
      </c>
      <c r="K65" s="567">
        <v>6299.57</v>
      </c>
      <c r="L65" s="540">
        <v>1.3427</v>
      </c>
      <c r="M65" s="566">
        <f t="shared" si="8"/>
        <v>4691.7181797869962</v>
      </c>
      <c r="N65" s="569">
        <f t="shared" si="9"/>
        <v>4691.7181797869962</v>
      </c>
      <c r="O65" s="561"/>
      <c r="P65" s="562">
        <v>0</v>
      </c>
      <c r="Q65" s="107" t="s">
        <v>639</v>
      </c>
    </row>
    <row r="66" spans="2:17" ht="18" customHeight="1">
      <c r="B66" s="828">
        <f t="shared" si="3"/>
        <v>62</v>
      </c>
      <c r="C66" s="809" t="s">
        <v>557</v>
      </c>
      <c r="D66" s="564"/>
      <c r="E66" s="564"/>
      <c r="F66" s="809" t="s">
        <v>542</v>
      </c>
      <c r="G66" s="564">
        <v>1700000184</v>
      </c>
      <c r="H66" s="564"/>
      <c r="I66" s="559">
        <v>41774</v>
      </c>
      <c r="J66" s="560" t="s">
        <v>515</v>
      </c>
      <c r="K66" s="567">
        <v>-6299.57</v>
      </c>
      <c r="L66" s="540">
        <v>1.3427</v>
      </c>
      <c r="M66" s="566">
        <f t="shared" si="8"/>
        <v>-4691.7181797869962</v>
      </c>
      <c r="N66" s="569">
        <f t="shared" si="9"/>
        <v>-4691.7181797869962</v>
      </c>
      <c r="O66" s="561"/>
      <c r="P66" s="562">
        <v>0</v>
      </c>
      <c r="Q66" s="107" t="s">
        <v>639</v>
      </c>
    </row>
    <row r="67" spans="2:17" ht="18" customHeight="1">
      <c r="B67" s="828">
        <f t="shared" si="3"/>
        <v>63</v>
      </c>
      <c r="C67" s="521" t="s">
        <v>513</v>
      </c>
      <c r="D67" s="304"/>
      <c r="E67" s="304"/>
      <c r="F67" s="806" t="s">
        <v>542</v>
      </c>
      <c r="G67" s="482">
        <v>1900003327</v>
      </c>
      <c r="H67" s="802"/>
      <c r="I67" s="513">
        <v>41774</v>
      </c>
      <c r="J67" s="551" t="s">
        <v>515</v>
      </c>
      <c r="K67" s="582">
        <v>2262.7800000000002</v>
      </c>
      <c r="L67" s="553">
        <v>1.3427</v>
      </c>
      <c r="M67" s="554">
        <f t="shared" ref="M67:M75" si="11">+K67/L67</f>
        <v>1685.2461458255755</v>
      </c>
      <c r="N67" s="568">
        <f t="shared" si="9"/>
        <v>1685.2461458255755</v>
      </c>
      <c r="O67" s="556">
        <f t="shared" ref="O67:O75" si="12">+P67/K67</f>
        <v>2.783995792785865</v>
      </c>
      <c r="P67" s="557">
        <v>6299.57</v>
      </c>
    </row>
    <row r="68" spans="2:17" ht="18" customHeight="1">
      <c r="B68" s="828">
        <f t="shared" si="3"/>
        <v>64</v>
      </c>
      <c r="C68" s="805" t="s">
        <v>589</v>
      </c>
      <c r="D68" s="304"/>
      <c r="E68" s="304"/>
      <c r="F68" s="805" t="s">
        <v>693</v>
      </c>
      <c r="G68" s="482">
        <v>100004147</v>
      </c>
      <c r="H68" s="802" t="s">
        <v>694</v>
      </c>
      <c r="I68" s="513">
        <v>41778</v>
      </c>
      <c r="J68" s="551" t="s">
        <v>515</v>
      </c>
      <c r="K68" s="582">
        <v>5.39</v>
      </c>
      <c r="L68" s="553">
        <v>1.3427</v>
      </c>
      <c r="M68" s="554">
        <f t="shared" si="11"/>
        <v>4.0142995456915171</v>
      </c>
      <c r="N68" s="568">
        <f t="shared" si="9"/>
        <v>4.0142995456915171</v>
      </c>
      <c r="O68" s="556">
        <f t="shared" si="12"/>
        <v>2.7829313543599259</v>
      </c>
      <c r="P68" s="557">
        <v>15</v>
      </c>
    </row>
    <row r="69" spans="2:17" ht="18" customHeight="1">
      <c r="B69" s="828">
        <f t="shared" si="3"/>
        <v>65</v>
      </c>
      <c r="C69" s="805" t="s">
        <v>572</v>
      </c>
      <c r="D69" s="304"/>
      <c r="E69" s="304"/>
      <c r="F69" s="805" t="s">
        <v>696</v>
      </c>
      <c r="G69" s="482">
        <v>100004147</v>
      </c>
      <c r="H69" s="802" t="s">
        <v>695</v>
      </c>
      <c r="I69" s="513">
        <v>41778</v>
      </c>
      <c r="J69" s="551" t="s">
        <v>515</v>
      </c>
      <c r="K69" s="582">
        <v>24.43</v>
      </c>
      <c r="L69" s="553">
        <v>1.3427</v>
      </c>
      <c r="M69" s="554">
        <f t="shared" si="11"/>
        <v>18.194682356445966</v>
      </c>
      <c r="N69" s="568">
        <f t="shared" si="9"/>
        <v>18.194682356445966</v>
      </c>
      <c r="O69" s="556">
        <f t="shared" si="12"/>
        <v>2.7834629553827264</v>
      </c>
      <c r="P69" s="557">
        <v>68</v>
      </c>
    </row>
    <row r="70" spans="2:17" ht="18" customHeight="1">
      <c r="B70" s="828">
        <f t="shared" si="3"/>
        <v>66</v>
      </c>
      <c r="C70" s="805" t="s">
        <v>685</v>
      </c>
      <c r="D70" s="304"/>
      <c r="E70" s="304"/>
      <c r="F70" s="806" t="s">
        <v>546</v>
      </c>
      <c r="G70" s="482">
        <v>1900003336</v>
      </c>
      <c r="H70" s="804" t="s">
        <v>686</v>
      </c>
      <c r="I70" s="513">
        <v>41779</v>
      </c>
      <c r="J70" s="551" t="s">
        <v>515</v>
      </c>
      <c r="K70" s="582">
        <v>217.79</v>
      </c>
      <c r="L70" s="553">
        <v>1.3427</v>
      </c>
      <c r="M70" s="554">
        <f t="shared" si="11"/>
        <v>162.20302375809933</v>
      </c>
      <c r="N70" s="568">
        <f t="shared" ref="N70:N75" si="13">+M70</f>
        <v>162.20302375809933</v>
      </c>
      <c r="O70" s="556">
        <f t="shared" si="12"/>
        <v>0</v>
      </c>
      <c r="P70" s="557"/>
    </row>
    <row r="71" spans="2:17" ht="18" customHeight="1">
      <c r="B71" s="828">
        <f t="shared" ref="B71:B76" si="14">1+B70</f>
        <v>67</v>
      </c>
      <c r="C71" s="805" t="s">
        <v>688</v>
      </c>
      <c r="D71" s="304"/>
      <c r="E71" s="304" t="s">
        <v>482</v>
      </c>
      <c r="F71" s="806" t="s">
        <v>687</v>
      </c>
      <c r="G71" s="482">
        <v>100004146</v>
      </c>
      <c r="H71" s="802"/>
      <c r="I71" s="513">
        <v>41781</v>
      </c>
      <c r="J71" s="551" t="s">
        <v>515</v>
      </c>
      <c r="K71" s="582">
        <v>81.81</v>
      </c>
      <c r="L71" s="553">
        <v>1.3427</v>
      </c>
      <c r="M71" s="554">
        <f t="shared" si="11"/>
        <v>60.929470469948612</v>
      </c>
      <c r="N71" s="568">
        <f t="shared" si="13"/>
        <v>60.929470469948612</v>
      </c>
      <c r="O71" s="556">
        <f t="shared" si="12"/>
        <v>2.786945361202787</v>
      </c>
      <c r="P71" s="557">
        <v>228</v>
      </c>
    </row>
    <row r="72" spans="2:17" ht="18" customHeight="1">
      <c r="B72" s="828">
        <f t="shared" si="14"/>
        <v>68</v>
      </c>
      <c r="C72" s="805" t="s">
        <v>644</v>
      </c>
      <c r="D72" s="304"/>
      <c r="E72" s="304"/>
      <c r="F72" s="806" t="s">
        <v>689</v>
      </c>
      <c r="G72" s="482">
        <v>1900003353</v>
      </c>
      <c r="H72" s="802" t="s">
        <v>690</v>
      </c>
      <c r="I72" s="513">
        <v>41782</v>
      </c>
      <c r="J72" s="551" t="s">
        <v>515</v>
      </c>
      <c r="K72" s="582">
        <v>82.53</v>
      </c>
      <c r="L72" s="553">
        <v>1.3427</v>
      </c>
      <c r="M72" s="554">
        <f t="shared" si="11"/>
        <v>61.465703433380504</v>
      </c>
      <c r="N72" s="568">
        <f t="shared" si="13"/>
        <v>61.465703433380504</v>
      </c>
      <c r="O72" s="556">
        <f t="shared" si="12"/>
        <v>2.7868653822852294</v>
      </c>
      <c r="P72" s="557">
        <v>230</v>
      </c>
    </row>
    <row r="73" spans="2:17" ht="18" customHeight="1">
      <c r="B73" s="828">
        <f t="shared" si="14"/>
        <v>69</v>
      </c>
      <c r="C73" s="805" t="s">
        <v>621</v>
      </c>
      <c r="D73" s="304"/>
      <c r="E73" s="304"/>
      <c r="F73" s="806" t="s">
        <v>692</v>
      </c>
      <c r="G73" s="482">
        <v>1900003358</v>
      </c>
      <c r="H73" s="802" t="s">
        <v>691</v>
      </c>
      <c r="I73" s="513">
        <v>41786</v>
      </c>
      <c r="J73" s="551" t="s">
        <v>515</v>
      </c>
      <c r="K73" s="582">
        <v>850</v>
      </c>
      <c r="L73" s="553">
        <v>1.3427</v>
      </c>
      <c r="M73" s="554">
        <f t="shared" si="11"/>
        <v>633.05280405153792</v>
      </c>
      <c r="N73" s="568">
        <f t="shared" si="13"/>
        <v>633.05280405153792</v>
      </c>
      <c r="O73" s="556">
        <f t="shared" si="12"/>
        <v>0</v>
      </c>
      <c r="P73" s="557"/>
      <c r="Q73" s="107" t="s">
        <v>638</v>
      </c>
    </row>
    <row r="74" spans="2:17" ht="18" customHeight="1">
      <c r="B74" s="828">
        <f t="shared" si="14"/>
        <v>70</v>
      </c>
      <c r="C74" s="521" t="s">
        <v>513</v>
      </c>
      <c r="D74" s="304"/>
      <c r="E74" s="304"/>
      <c r="F74" s="806" t="s">
        <v>549</v>
      </c>
      <c r="G74" s="482">
        <v>100004184</v>
      </c>
      <c r="H74" s="802"/>
      <c r="I74" s="513">
        <v>41789</v>
      </c>
      <c r="J74" s="551" t="s">
        <v>515</v>
      </c>
      <c r="K74" s="582">
        <v>9236.9599999999991</v>
      </c>
      <c r="L74" s="553">
        <v>1.3427</v>
      </c>
      <c r="M74" s="554">
        <f t="shared" si="11"/>
        <v>6879.3922693081095</v>
      </c>
      <c r="N74" s="568">
        <f t="shared" si="13"/>
        <v>6879.3922693081095</v>
      </c>
      <c r="O74" s="556">
        <f t="shared" si="12"/>
        <v>2.7599989606970263</v>
      </c>
      <c r="P74" s="557">
        <v>25494</v>
      </c>
    </row>
    <row r="75" spans="2:17" ht="18" customHeight="1">
      <c r="B75" s="828">
        <f t="shared" si="14"/>
        <v>71</v>
      </c>
      <c r="C75" s="521" t="s">
        <v>513</v>
      </c>
      <c r="D75" s="304"/>
      <c r="E75" s="304"/>
      <c r="F75" s="806" t="s">
        <v>549</v>
      </c>
      <c r="G75" s="482">
        <v>100004184</v>
      </c>
      <c r="H75" s="802"/>
      <c r="I75" s="513">
        <v>41789</v>
      </c>
      <c r="J75" s="551" t="s">
        <v>515</v>
      </c>
      <c r="K75" s="582">
        <v>831.52</v>
      </c>
      <c r="L75" s="553">
        <v>1.3427</v>
      </c>
      <c r="M75" s="554">
        <f t="shared" si="11"/>
        <v>619.28949132345269</v>
      </c>
      <c r="N75" s="568">
        <f t="shared" si="13"/>
        <v>619.28949132345269</v>
      </c>
      <c r="O75" s="556">
        <f t="shared" si="12"/>
        <v>2.7600057725610929</v>
      </c>
      <c r="P75" s="557">
        <v>2295</v>
      </c>
    </row>
    <row r="76" spans="2:17" ht="18" customHeight="1">
      <c r="B76" s="828">
        <f t="shared" si="14"/>
        <v>72</v>
      </c>
      <c r="C76" s="809"/>
      <c r="D76" s="564"/>
      <c r="E76" s="564"/>
      <c r="F76" s="809" t="s">
        <v>551</v>
      </c>
      <c r="G76" s="564">
        <v>100004216</v>
      </c>
      <c r="H76" s="803"/>
      <c r="I76" s="559">
        <v>41790</v>
      </c>
      <c r="J76" s="564" t="s">
        <v>515</v>
      </c>
      <c r="K76" s="567">
        <v>-19.71</v>
      </c>
      <c r="L76" s="540">
        <v>1.3427</v>
      </c>
      <c r="M76" s="562">
        <f>+K76/L76</f>
        <v>-14.679377373948016</v>
      </c>
      <c r="N76" s="569">
        <f>+M76</f>
        <v>-14.679377373948016</v>
      </c>
      <c r="O76" s="561"/>
      <c r="P76" s="562">
        <v>0</v>
      </c>
    </row>
    <row r="77" spans="2:17" ht="18" customHeight="1">
      <c r="K77" s="837">
        <f>SUM(K5:K76)</f>
        <v>59725.244545499991</v>
      </c>
      <c r="M77" s="838">
        <f>SUM(M5:M76)</f>
        <v>44481.451214344226</v>
      </c>
      <c r="P77" s="834">
        <f>SUM(P5:P76)</f>
        <v>155330.79</v>
      </c>
    </row>
    <row r="80" spans="2:17">
      <c r="K80" s="831">
        <v>59661.7</v>
      </c>
      <c r="L80" s="107" t="s">
        <v>647</v>
      </c>
    </row>
    <row r="81" spans="11:11" ht="12" thickBot="1">
      <c r="K81" s="832">
        <v>63.54</v>
      </c>
    </row>
    <row r="82" spans="11:11" ht="12" thickTop="1">
      <c r="K82" s="833">
        <f>SUM(K80:K81)</f>
        <v>59725.24</v>
      </c>
    </row>
    <row r="84" spans="11:11">
      <c r="K84" s="519">
        <f>+K77-K82</f>
        <v>4.5454999926732853E-3</v>
      </c>
    </row>
  </sheetData>
  <mergeCells count="15">
    <mergeCell ref="N3:N4"/>
    <mergeCell ref="P3:P4"/>
    <mergeCell ref="O3:O4"/>
    <mergeCell ref="I3:I4"/>
    <mergeCell ref="J3:J4"/>
    <mergeCell ref="K3:K4"/>
    <mergeCell ref="L3:L4"/>
    <mergeCell ref="M3:M4"/>
    <mergeCell ref="H3:H4"/>
    <mergeCell ref="B3:B4"/>
    <mergeCell ref="C3:C4"/>
    <mergeCell ref="D3:D4"/>
    <mergeCell ref="E3:E4"/>
    <mergeCell ref="F3:F4"/>
    <mergeCell ref="G3:G4"/>
  </mergeCells>
  <pageMargins left="0.7" right="0.7" top="0.75" bottom="0.75" header="0.3" footer="0.3"/>
  <pageSetup paperSize="9" orientation="portrait" verticalDpi="0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99"/>
  </sheetPr>
  <dimension ref="B2:J11"/>
  <sheetViews>
    <sheetView topLeftCell="A4" workbookViewId="0">
      <selection activeCell="M23" sqref="M23"/>
    </sheetView>
  </sheetViews>
  <sheetFormatPr defaultRowHeight="15"/>
  <cols>
    <col min="1" max="1" width="1.28515625" style="558" customWidth="1"/>
    <col min="2" max="2" width="10" style="558" customWidth="1"/>
    <col min="3" max="3" width="12.7109375" style="558" customWidth="1"/>
    <col min="4" max="4" width="15.5703125" style="558" customWidth="1"/>
    <col min="5" max="10" width="12.7109375" style="558" customWidth="1"/>
    <col min="11" max="16384" width="9.140625" style="558"/>
  </cols>
  <sheetData>
    <row r="2" spans="2:10">
      <c r="C2" s="584" t="s">
        <v>656</v>
      </c>
      <c r="D2" s="585">
        <v>2000000</v>
      </c>
      <c r="F2" s="789" t="s">
        <v>658</v>
      </c>
      <c r="G2" s="790">
        <f>+J11/D3</f>
        <v>2.413055783123557E-2</v>
      </c>
    </row>
    <row r="3" spans="2:10">
      <c r="C3" s="584" t="s">
        <v>656</v>
      </c>
      <c r="D3" s="586">
        <f>+D2*1.3427</f>
        <v>2685400</v>
      </c>
      <c r="F3" s="789"/>
      <c r="G3" s="790"/>
    </row>
    <row r="4" spans="2:10">
      <c r="C4" s="587"/>
      <c r="D4" s="588"/>
      <c r="F4" s="595"/>
      <c r="G4" s="596"/>
    </row>
    <row r="5" spans="2:10">
      <c r="C5" s="791" t="s">
        <v>661</v>
      </c>
      <c r="D5" s="791"/>
      <c r="E5" s="791"/>
      <c r="F5" s="791"/>
      <c r="G5" s="791"/>
      <c r="H5" s="791"/>
      <c r="I5" s="791"/>
      <c r="J5" s="791"/>
    </row>
    <row r="6" spans="2:10">
      <c r="C6" s="587"/>
      <c r="D6" s="588"/>
    </row>
    <row r="7" spans="2:10">
      <c r="C7" s="584">
        <v>2013</v>
      </c>
      <c r="D7" s="785">
        <v>2014</v>
      </c>
      <c r="E7" s="785"/>
      <c r="F7" s="785"/>
      <c r="G7" s="785"/>
      <c r="H7" s="785"/>
      <c r="I7" s="786"/>
      <c r="J7" s="787" t="s">
        <v>660</v>
      </c>
    </row>
    <row r="8" spans="2:10">
      <c r="B8" s="590"/>
      <c r="C8" s="583" t="s">
        <v>649</v>
      </c>
      <c r="D8" s="583" t="s">
        <v>650</v>
      </c>
      <c r="E8" s="583" t="s">
        <v>651</v>
      </c>
      <c r="F8" s="583" t="s">
        <v>652</v>
      </c>
      <c r="G8" s="583" t="s">
        <v>653</v>
      </c>
      <c r="H8" s="583" t="s">
        <v>654</v>
      </c>
      <c r="I8" s="592" t="s">
        <v>655</v>
      </c>
      <c r="J8" s="788"/>
    </row>
    <row r="9" spans="2:10" ht="16.5" customHeight="1">
      <c r="B9" s="583" t="s">
        <v>659</v>
      </c>
      <c r="C9" s="589">
        <v>63.54</v>
      </c>
      <c r="D9" s="589">
        <v>3860.26</v>
      </c>
      <c r="E9" s="589">
        <v>9852.0400000000009</v>
      </c>
      <c r="F9" s="589">
        <v>16005.64</v>
      </c>
      <c r="G9" s="589">
        <v>13639.93</v>
      </c>
      <c r="H9" s="589">
        <v>16303.83</v>
      </c>
      <c r="I9" s="593"/>
      <c r="J9" s="597">
        <f>SUM(C9:I9)</f>
        <v>59725.240000000005</v>
      </c>
    </row>
    <row r="10" spans="2:10" ht="16.5" customHeight="1">
      <c r="B10" s="583" t="s">
        <v>657</v>
      </c>
      <c r="C10" s="589">
        <v>5.4</v>
      </c>
      <c r="D10" s="589">
        <v>328.12</v>
      </c>
      <c r="E10" s="589">
        <v>837.42</v>
      </c>
      <c r="F10" s="589">
        <v>1360.48</v>
      </c>
      <c r="G10" s="589">
        <v>1157.71</v>
      </c>
      <c r="H10" s="589">
        <v>1385.83</v>
      </c>
      <c r="I10" s="593"/>
      <c r="J10" s="597">
        <f>SUM(C10:I10)</f>
        <v>5074.96</v>
      </c>
    </row>
    <row r="11" spans="2:10" ht="16.5" customHeight="1">
      <c r="B11" s="583" t="s">
        <v>395</v>
      </c>
      <c r="C11" s="591">
        <f>SUM(C9:C10)</f>
        <v>68.94</v>
      </c>
      <c r="D11" s="591">
        <f t="shared" ref="D11:I11" si="0">SUM(D9:D10)</f>
        <v>4188.38</v>
      </c>
      <c r="E11" s="591">
        <f t="shared" si="0"/>
        <v>10689.460000000001</v>
      </c>
      <c r="F11" s="591">
        <f t="shared" si="0"/>
        <v>17366.12</v>
      </c>
      <c r="G11" s="591">
        <f t="shared" si="0"/>
        <v>14797.64</v>
      </c>
      <c r="H11" s="591">
        <f t="shared" si="0"/>
        <v>17689.66</v>
      </c>
      <c r="I11" s="594">
        <f t="shared" si="0"/>
        <v>0</v>
      </c>
      <c r="J11" s="598">
        <f>SUM(J9:J10)</f>
        <v>64800.200000000004</v>
      </c>
    </row>
  </sheetData>
  <mergeCells count="5">
    <mergeCell ref="D7:I7"/>
    <mergeCell ref="J7:J8"/>
    <mergeCell ref="F2:F3"/>
    <mergeCell ref="G2:G3"/>
    <mergeCell ref="C5:J5"/>
  </mergeCells>
  <pageMargins left="0.70866141732283472" right="0.70866141732283472" top="0.74803149606299213" bottom="0.74803149606299213" header="0.31496062992125984" footer="0.31496062992125984"/>
  <pageSetup paperSize="9" scale="110" orientation="landscape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H136"/>
  <sheetViews>
    <sheetView topLeftCell="A20" zoomScale="80" zoomScaleNormal="80" workbookViewId="0">
      <selection activeCell="B29" sqref="B29"/>
    </sheetView>
  </sheetViews>
  <sheetFormatPr defaultColWidth="11.42578125" defaultRowHeight="12"/>
  <cols>
    <col min="1" max="1" width="1.28515625" style="165" customWidth="1"/>
    <col min="2" max="2" width="9.140625" style="165" customWidth="1"/>
    <col min="3" max="3" width="53.7109375" style="165" customWidth="1"/>
    <col min="4" max="4" width="10.140625" style="165" customWidth="1"/>
    <col min="5" max="5" width="10.140625" style="166" customWidth="1"/>
    <col min="6" max="6" width="11.5703125" style="166" customWidth="1"/>
    <col min="7" max="29" width="7.5703125" style="165" customWidth="1"/>
    <col min="30" max="32" width="8.7109375" style="165" customWidth="1"/>
    <col min="33" max="33" width="11.42578125" style="165"/>
    <col min="34" max="34" width="16.85546875" style="165" customWidth="1"/>
    <col min="35" max="255" width="11.42578125" style="165"/>
    <col min="256" max="256" width="9.85546875" style="165" customWidth="1"/>
    <col min="257" max="257" width="8.7109375" style="165" customWidth="1"/>
    <col min="258" max="258" width="66.85546875" style="165" customWidth="1"/>
    <col min="259" max="259" width="11" style="165" customWidth="1"/>
    <col min="260" max="260" width="11.140625" style="165" customWidth="1"/>
    <col min="261" max="272" width="6" style="165" customWidth="1"/>
    <col min="273" max="511" width="11.42578125" style="165"/>
    <col min="512" max="512" width="9.85546875" style="165" customWidth="1"/>
    <col min="513" max="513" width="8.7109375" style="165" customWidth="1"/>
    <col min="514" max="514" width="66.85546875" style="165" customWidth="1"/>
    <col min="515" max="515" width="11" style="165" customWidth="1"/>
    <col min="516" max="516" width="11.140625" style="165" customWidth="1"/>
    <col min="517" max="528" width="6" style="165" customWidth="1"/>
    <col min="529" max="767" width="11.42578125" style="165"/>
    <col min="768" max="768" width="9.85546875" style="165" customWidth="1"/>
    <col min="769" max="769" width="8.7109375" style="165" customWidth="1"/>
    <col min="770" max="770" width="66.85546875" style="165" customWidth="1"/>
    <col min="771" max="771" width="11" style="165" customWidth="1"/>
    <col min="772" max="772" width="11.140625" style="165" customWidth="1"/>
    <col min="773" max="784" width="6" style="165" customWidth="1"/>
    <col min="785" max="1023" width="11.42578125" style="165"/>
    <col min="1024" max="1024" width="9.85546875" style="165" customWidth="1"/>
    <col min="1025" max="1025" width="8.7109375" style="165" customWidth="1"/>
    <col min="1026" max="1026" width="66.85546875" style="165" customWidth="1"/>
    <col min="1027" max="1027" width="11" style="165" customWidth="1"/>
    <col min="1028" max="1028" width="11.140625" style="165" customWidth="1"/>
    <col min="1029" max="1040" width="6" style="165" customWidth="1"/>
    <col min="1041" max="1279" width="11.42578125" style="165"/>
    <col min="1280" max="1280" width="9.85546875" style="165" customWidth="1"/>
    <col min="1281" max="1281" width="8.7109375" style="165" customWidth="1"/>
    <col min="1282" max="1282" width="66.85546875" style="165" customWidth="1"/>
    <col min="1283" max="1283" width="11" style="165" customWidth="1"/>
    <col min="1284" max="1284" width="11.140625" style="165" customWidth="1"/>
    <col min="1285" max="1296" width="6" style="165" customWidth="1"/>
    <col min="1297" max="1535" width="11.42578125" style="165"/>
    <col min="1536" max="1536" width="9.85546875" style="165" customWidth="1"/>
    <col min="1537" max="1537" width="8.7109375" style="165" customWidth="1"/>
    <col min="1538" max="1538" width="66.85546875" style="165" customWidth="1"/>
    <col min="1539" max="1539" width="11" style="165" customWidth="1"/>
    <col min="1540" max="1540" width="11.140625" style="165" customWidth="1"/>
    <col min="1541" max="1552" width="6" style="165" customWidth="1"/>
    <col min="1553" max="1791" width="11.42578125" style="165"/>
    <col min="1792" max="1792" width="9.85546875" style="165" customWidth="1"/>
    <col min="1793" max="1793" width="8.7109375" style="165" customWidth="1"/>
    <col min="1794" max="1794" width="66.85546875" style="165" customWidth="1"/>
    <col min="1795" max="1795" width="11" style="165" customWidth="1"/>
    <col min="1796" max="1796" width="11.140625" style="165" customWidth="1"/>
    <col min="1797" max="1808" width="6" style="165" customWidth="1"/>
    <col min="1809" max="2047" width="11.42578125" style="165"/>
    <col min="2048" max="2048" width="9.85546875" style="165" customWidth="1"/>
    <col min="2049" max="2049" width="8.7109375" style="165" customWidth="1"/>
    <col min="2050" max="2050" width="66.85546875" style="165" customWidth="1"/>
    <col min="2051" max="2051" width="11" style="165" customWidth="1"/>
    <col min="2052" max="2052" width="11.140625" style="165" customWidth="1"/>
    <col min="2053" max="2064" width="6" style="165" customWidth="1"/>
    <col min="2065" max="2303" width="11.42578125" style="165"/>
    <col min="2304" max="2304" width="9.85546875" style="165" customWidth="1"/>
    <col min="2305" max="2305" width="8.7109375" style="165" customWidth="1"/>
    <col min="2306" max="2306" width="66.85546875" style="165" customWidth="1"/>
    <col min="2307" max="2307" width="11" style="165" customWidth="1"/>
    <col min="2308" max="2308" width="11.140625" style="165" customWidth="1"/>
    <col min="2309" max="2320" width="6" style="165" customWidth="1"/>
    <col min="2321" max="2559" width="11.42578125" style="165"/>
    <col min="2560" max="2560" width="9.85546875" style="165" customWidth="1"/>
    <col min="2561" max="2561" width="8.7109375" style="165" customWidth="1"/>
    <col min="2562" max="2562" width="66.85546875" style="165" customWidth="1"/>
    <col min="2563" max="2563" width="11" style="165" customWidth="1"/>
    <col min="2564" max="2564" width="11.140625" style="165" customWidth="1"/>
    <col min="2565" max="2576" width="6" style="165" customWidth="1"/>
    <col min="2577" max="2815" width="11.42578125" style="165"/>
    <col min="2816" max="2816" width="9.85546875" style="165" customWidth="1"/>
    <col min="2817" max="2817" width="8.7109375" style="165" customWidth="1"/>
    <col min="2818" max="2818" width="66.85546875" style="165" customWidth="1"/>
    <col min="2819" max="2819" width="11" style="165" customWidth="1"/>
    <col min="2820" max="2820" width="11.140625" style="165" customWidth="1"/>
    <col min="2821" max="2832" width="6" style="165" customWidth="1"/>
    <col min="2833" max="3071" width="11.42578125" style="165"/>
    <col min="3072" max="3072" width="9.85546875" style="165" customWidth="1"/>
    <col min="3073" max="3073" width="8.7109375" style="165" customWidth="1"/>
    <col min="3074" max="3074" width="66.85546875" style="165" customWidth="1"/>
    <col min="3075" max="3075" width="11" style="165" customWidth="1"/>
    <col min="3076" max="3076" width="11.140625" style="165" customWidth="1"/>
    <col min="3077" max="3088" width="6" style="165" customWidth="1"/>
    <col min="3089" max="3327" width="11.42578125" style="165"/>
    <col min="3328" max="3328" width="9.85546875" style="165" customWidth="1"/>
    <col min="3329" max="3329" width="8.7109375" style="165" customWidth="1"/>
    <col min="3330" max="3330" width="66.85546875" style="165" customWidth="1"/>
    <col min="3331" max="3331" width="11" style="165" customWidth="1"/>
    <col min="3332" max="3332" width="11.140625" style="165" customWidth="1"/>
    <col min="3333" max="3344" width="6" style="165" customWidth="1"/>
    <col min="3345" max="3583" width="11.42578125" style="165"/>
    <col min="3584" max="3584" width="9.85546875" style="165" customWidth="1"/>
    <col min="3585" max="3585" width="8.7109375" style="165" customWidth="1"/>
    <col min="3586" max="3586" width="66.85546875" style="165" customWidth="1"/>
    <col min="3587" max="3587" width="11" style="165" customWidth="1"/>
    <col min="3588" max="3588" width="11.140625" style="165" customWidth="1"/>
    <col min="3589" max="3600" width="6" style="165" customWidth="1"/>
    <col min="3601" max="3839" width="11.42578125" style="165"/>
    <col min="3840" max="3840" width="9.85546875" style="165" customWidth="1"/>
    <col min="3841" max="3841" width="8.7109375" style="165" customWidth="1"/>
    <col min="3842" max="3842" width="66.85546875" style="165" customWidth="1"/>
    <col min="3843" max="3843" width="11" style="165" customWidth="1"/>
    <col min="3844" max="3844" width="11.140625" style="165" customWidth="1"/>
    <col min="3845" max="3856" width="6" style="165" customWidth="1"/>
    <col min="3857" max="4095" width="11.42578125" style="165"/>
    <col min="4096" max="4096" width="9.85546875" style="165" customWidth="1"/>
    <col min="4097" max="4097" width="8.7109375" style="165" customWidth="1"/>
    <col min="4098" max="4098" width="66.85546875" style="165" customWidth="1"/>
    <col min="4099" max="4099" width="11" style="165" customWidth="1"/>
    <col min="4100" max="4100" width="11.140625" style="165" customWidth="1"/>
    <col min="4101" max="4112" width="6" style="165" customWidth="1"/>
    <col min="4113" max="4351" width="11.42578125" style="165"/>
    <col min="4352" max="4352" width="9.85546875" style="165" customWidth="1"/>
    <col min="4353" max="4353" width="8.7109375" style="165" customWidth="1"/>
    <col min="4354" max="4354" width="66.85546875" style="165" customWidth="1"/>
    <col min="4355" max="4355" width="11" style="165" customWidth="1"/>
    <col min="4356" max="4356" width="11.140625" style="165" customWidth="1"/>
    <col min="4357" max="4368" width="6" style="165" customWidth="1"/>
    <col min="4369" max="4607" width="11.42578125" style="165"/>
    <col min="4608" max="4608" width="9.85546875" style="165" customWidth="1"/>
    <col min="4609" max="4609" width="8.7109375" style="165" customWidth="1"/>
    <col min="4610" max="4610" width="66.85546875" style="165" customWidth="1"/>
    <col min="4611" max="4611" width="11" style="165" customWidth="1"/>
    <col min="4612" max="4612" width="11.140625" style="165" customWidth="1"/>
    <col min="4613" max="4624" width="6" style="165" customWidth="1"/>
    <col min="4625" max="4863" width="11.42578125" style="165"/>
    <col min="4864" max="4864" width="9.85546875" style="165" customWidth="1"/>
    <col min="4865" max="4865" width="8.7109375" style="165" customWidth="1"/>
    <col min="4866" max="4866" width="66.85546875" style="165" customWidth="1"/>
    <col min="4867" max="4867" width="11" style="165" customWidth="1"/>
    <col min="4868" max="4868" width="11.140625" style="165" customWidth="1"/>
    <col min="4869" max="4880" width="6" style="165" customWidth="1"/>
    <col min="4881" max="5119" width="11.42578125" style="165"/>
    <col min="5120" max="5120" width="9.85546875" style="165" customWidth="1"/>
    <col min="5121" max="5121" width="8.7109375" style="165" customWidth="1"/>
    <col min="5122" max="5122" width="66.85546875" style="165" customWidth="1"/>
    <col min="5123" max="5123" width="11" style="165" customWidth="1"/>
    <col min="5124" max="5124" width="11.140625" style="165" customWidth="1"/>
    <col min="5125" max="5136" width="6" style="165" customWidth="1"/>
    <col min="5137" max="5375" width="11.42578125" style="165"/>
    <col min="5376" max="5376" width="9.85546875" style="165" customWidth="1"/>
    <col min="5377" max="5377" width="8.7109375" style="165" customWidth="1"/>
    <col min="5378" max="5378" width="66.85546875" style="165" customWidth="1"/>
    <col min="5379" max="5379" width="11" style="165" customWidth="1"/>
    <col min="5380" max="5380" width="11.140625" style="165" customWidth="1"/>
    <col min="5381" max="5392" width="6" style="165" customWidth="1"/>
    <col min="5393" max="5631" width="11.42578125" style="165"/>
    <col min="5632" max="5632" width="9.85546875" style="165" customWidth="1"/>
    <col min="5633" max="5633" width="8.7109375" style="165" customWidth="1"/>
    <col min="5634" max="5634" width="66.85546875" style="165" customWidth="1"/>
    <col min="5635" max="5635" width="11" style="165" customWidth="1"/>
    <col min="5636" max="5636" width="11.140625" style="165" customWidth="1"/>
    <col min="5637" max="5648" width="6" style="165" customWidth="1"/>
    <col min="5649" max="5887" width="11.42578125" style="165"/>
    <col min="5888" max="5888" width="9.85546875" style="165" customWidth="1"/>
    <col min="5889" max="5889" width="8.7109375" style="165" customWidth="1"/>
    <col min="5890" max="5890" width="66.85546875" style="165" customWidth="1"/>
    <col min="5891" max="5891" width="11" style="165" customWidth="1"/>
    <col min="5892" max="5892" width="11.140625" style="165" customWidth="1"/>
    <col min="5893" max="5904" width="6" style="165" customWidth="1"/>
    <col min="5905" max="6143" width="11.42578125" style="165"/>
    <col min="6144" max="6144" width="9.85546875" style="165" customWidth="1"/>
    <col min="6145" max="6145" width="8.7109375" style="165" customWidth="1"/>
    <col min="6146" max="6146" width="66.85546875" style="165" customWidth="1"/>
    <col min="6147" max="6147" width="11" style="165" customWidth="1"/>
    <col min="6148" max="6148" width="11.140625" style="165" customWidth="1"/>
    <col min="6149" max="6160" width="6" style="165" customWidth="1"/>
    <col min="6161" max="6399" width="11.42578125" style="165"/>
    <col min="6400" max="6400" width="9.85546875" style="165" customWidth="1"/>
    <col min="6401" max="6401" width="8.7109375" style="165" customWidth="1"/>
    <col min="6402" max="6402" width="66.85546875" style="165" customWidth="1"/>
    <col min="6403" max="6403" width="11" style="165" customWidth="1"/>
    <col min="6404" max="6404" width="11.140625" style="165" customWidth="1"/>
    <col min="6405" max="6416" width="6" style="165" customWidth="1"/>
    <col min="6417" max="6655" width="11.42578125" style="165"/>
    <col min="6656" max="6656" width="9.85546875" style="165" customWidth="1"/>
    <col min="6657" max="6657" width="8.7109375" style="165" customWidth="1"/>
    <col min="6658" max="6658" width="66.85546875" style="165" customWidth="1"/>
    <col min="6659" max="6659" width="11" style="165" customWidth="1"/>
    <col min="6660" max="6660" width="11.140625" style="165" customWidth="1"/>
    <col min="6661" max="6672" width="6" style="165" customWidth="1"/>
    <col min="6673" max="6911" width="11.42578125" style="165"/>
    <col min="6912" max="6912" width="9.85546875" style="165" customWidth="1"/>
    <col min="6913" max="6913" width="8.7109375" style="165" customWidth="1"/>
    <col min="6914" max="6914" width="66.85546875" style="165" customWidth="1"/>
    <col min="6915" max="6915" width="11" style="165" customWidth="1"/>
    <col min="6916" max="6916" width="11.140625" style="165" customWidth="1"/>
    <col min="6917" max="6928" width="6" style="165" customWidth="1"/>
    <col min="6929" max="7167" width="11.42578125" style="165"/>
    <col min="7168" max="7168" width="9.85546875" style="165" customWidth="1"/>
    <col min="7169" max="7169" width="8.7109375" style="165" customWidth="1"/>
    <col min="7170" max="7170" width="66.85546875" style="165" customWidth="1"/>
    <col min="7171" max="7171" width="11" style="165" customWidth="1"/>
    <col min="7172" max="7172" width="11.140625" style="165" customWidth="1"/>
    <col min="7173" max="7184" width="6" style="165" customWidth="1"/>
    <col min="7185" max="7423" width="11.42578125" style="165"/>
    <col min="7424" max="7424" width="9.85546875" style="165" customWidth="1"/>
    <col min="7425" max="7425" width="8.7109375" style="165" customWidth="1"/>
    <col min="7426" max="7426" width="66.85546875" style="165" customWidth="1"/>
    <col min="7427" max="7427" width="11" style="165" customWidth="1"/>
    <col min="7428" max="7428" width="11.140625" style="165" customWidth="1"/>
    <col min="7429" max="7440" width="6" style="165" customWidth="1"/>
    <col min="7441" max="7679" width="11.42578125" style="165"/>
    <col min="7680" max="7680" width="9.85546875" style="165" customWidth="1"/>
    <col min="7681" max="7681" width="8.7109375" style="165" customWidth="1"/>
    <col min="7682" max="7682" width="66.85546875" style="165" customWidth="1"/>
    <col min="7683" max="7683" width="11" style="165" customWidth="1"/>
    <col min="7684" max="7684" width="11.140625" style="165" customWidth="1"/>
    <col min="7685" max="7696" width="6" style="165" customWidth="1"/>
    <col min="7697" max="7935" width="11.42578125" style="165"/>
    <col min="7936" max="7936" width="9.85546875" style="165" customWidth="1"/>
    <col min="7937" max="7937" width="8.7109375" style="165" customWidth="1"/>
    <col min="7938" max="7938" width="66.85546875" style="165" customWidth="1"/>
    <col min="7939" max="7939" width="11" style="165" customWidth="1"/>
    <col min="7940" max="7940" width="11.140625" style="165" customWidth="1"/>
    <col min="7941" max="7952" width="6" style="165" customWidth="1"/>
    <col min="7953" max="8191" width="11.42578125" style="165"/>
    <col min="8192" max="8192" width="9.85546875" style="165" customWidth="1"/>
    <col min="8193" max="8193" width="8.7109375" style="165" customWidth="1"/>
    <col min="8194" max="8194" width="66.85546875" style="165" customWidth="1"/>
    <col min="8195" max="8195" width="11" style="165" customWidth="1"/>
    <col min="8196" max="8196" width="11.140625" style="165" customWidth="1"/>
    <col min="8197" max="8208" width="6" style="165" customWidth="1"/>
    <col min="8209" max="8447" width="11.42578125" style="165"/>
    <col min="8448" max="8448" width="9.85546875" style="165" customWidth="1"/>
    <col min="8449" max="8449" width="8.7109375" style="165" customWidth="1"/>
    <col min="8450" max="8450" width="66.85546875" style="165" customWidth="1"/>
    <col min="8451" max="8451" width="11" style="165" customWidth="1"/>
    <col min="8452" max="8452" width="11.140625" style="165" customWidth="1"/>
    <col min="8453" max="8464" width="6" style="165" customWidth="1"/>
    <col min="8465" max="8703" width="11.42578125" style="165"/>
    <col min="8704" max="8704" width="9.85546875" style="165" customWidth="1"/>
    <col min="8705" max="8705" width="8.7109375" style="165" customWidth="1"/>
    <col min="8706" max="8706" width="66.85546875" style="165" customWidth="1"/>
    <col min="8707" max="8707" width="11" style="165" customWidth="1"/>
    <col min="8708" max="8708" width="11.140625" style="165" customWidth="1"/>
    <col min="8709" max="8720" width="6" style="165" customWidth="1"/>
    <col min="8721" max="8959" width="11.42578125" style="165"/>
    <col min="8960" max="8960" width="9.85546875" style="165" customWidth="1"/>
    <col min="8961" max="8961" width="8.7109375" style="165" customWidth="1"/>
    <col min="8962" max="8962" width="66.85546875" style="165" customWidth="1"/>
    <col min="8963" max="8963" width="11" style="165" customWidth="1"/>
    <col min="8964" max="8964" width="11.140625" style="165" customWidth="1"/>
    <col min="8965" max="8976" width="6" style="165" customWidth="1"/>
    <col min="8977" max="9215" width="11.42578125" style="165"/>
    <col min="9216" max="9216" width="9.85546875" style="165" customWidth="1"/>
    <col min="9217" max="9217" width="8.7109375" style="165" customWidth="1"/>
    <col min="9218" max="9218" width="66.85546875" style="165" customWidth="1"/>
    <col min="9219" max="9219" width="11" style="165" customWidth="1"/>
    <col min="9220" max="9220" width="11.140625" style="165" customWidth="1"/>
    <col min="9221" max="9232" width="6" style="165" customWidth="1"/>
    <col min="9233" max="9471" width="11.42578125" style="165"/>
    <col min="9472" max="9472" width="9.85546875" style="165" customWidth="1"/>
    <col min="9473" max="9473" width="8.7109375" style="165" customWidth="1"/>
    <col min="9474" max="9474" width="66.85546875" style="165" customWidth="1"/>
    <col min="9475" max="9475" width="11" style="165" customWidth="1"/>
    <col min="9476" max="9476" width="11.140625" style="165" customWidth="1"/>
    <col min="9477" max="9488" width="6" style="165" customWidth="1"/>
    <col min="9489" max="9727" width="11.42578125" style="165"/>
    <col min="9728" max="9728" width="9.85546875" style="165" customWidth="1"/>
    <col min="9729" max="9729" width="8.7109375" style="165" customWidth="1"/>
    <col min="9730" max="9730" width="66.85546875" style="165" customWidth="1"/>
    <col min="9731" max="9731" width="11" style="165" customWidth="1"/>
    <col min="9732" max="9732" width="11.140625" style="165" customWidth="1"/>
    <col min="9733" max="9744" width="6" style="165" customWidth="1"/>
    <col min="9745" max="9983" width="11.42578125" style="165"/>
    <col min="9984" max="9984" width="9.85546875" style="165" customWidth="1"/>
    <col min="9985" max="9985" width="8.7109375" style="165" customWidth="1"/>
    <col min="9986" max="9986" width="66.85546875" style="165" customWidth="1"/>
    <col min="9987" max="9987" width="11" style="165" customWidth="1"/>
    <col min="9988" max="9988" width="11.140625" style="165" customWidth="1"/>
    <col min="9989" max="10000" width="6" style="165" customWidth="1"/>
    <col min="10001" max="10239" width="11.42578125" style="165"/>
    <col min="10240" max="10240" width="9.85546875" style="165" customWidth="1"/>
    <col min="10241" max="10241" width="8.7109375" style="165" customWidth="1"/>
    <col min="10242" max="10242" width="66.85546875" style="165" customWidth="1"/>
    <col min="10243" max="10243" width="11" style="165" customWidth="1"/>
    <col min="10244" max="10244" width="11.140625" style="165" customWidth="1"/>
    <col min="10245" max="10256" width="6" style="165" customWidth="1"/>
    <col min="10257" max="10495" width="11.42578125" style="165"/>
    <col min="10496" max="10496" width="9.85546875" style="165" customWidth="1"/>
    <col min="10497" max="10497" width="8.7109375" style="165" customWidth="1"/>
    <col min="10498" max="10498" width="66.85546875" style="165" customWidth="1"/>
    <col min="10499" max="10499" width="11" style="165" customWidth="1"/>
    <col min="10500" max="10500" width="11.140625" style="165" customWidth="1"/>
    <col min="10501" max="10512" width="6" style="165" customWidth="1"/>
    <col min="10513" max="10751" width="11.42578125" style="165"/>
    <col min="10752" max="10752" width="9.85546875" style="165" customWidth="1"/>
    <col min="10753" max="10753" width="8.7109375" style="165" customWidth="1"/>
    <col min="10754" max="10754" width="66.85546875" style="165" customWidth="1"/>
    <col min="10755" max="10755" width="11" style="165" customWidth="1"/>
    <col min="10756" max="10756" width="11.140625" style="165" customWidth="1"/>
    <col min="10757" max="10768" width="6" style="165" customWidth="1"/>
    <col min="10769" max="11007" width="11.42578125" style="165"/>
    <col min="11008" max="11008" width="9.85546875" style="165" customWidth="1"/>
    <col min="11009" max="11009" width="8.7109375" style="165" customWidth="1"/>
    <col min="11010" max="11010" width="66.85546875" style="165" customWidth="1"/>
    <col min="11011" max="11011" width="11" style="165" customWidth="1"/>
    <col min="11012" max="11012" width="11.140625" style="165" customWidth="1"/>
    <col min="11013" max="11024" width="6" style="165" customWidth="1"/>
    <col min="11025" max="11263" width="11.42578125" style="165"/>
    <col min="11264" max="11264" width="9.85546875" style="165" customWidth="1"/>
    <col min="11265" max="11265" width="8.7109375" style="165" customWidth="1"/>
    <col min="11266" max="11266" width="66.85546875" style="165" customWidth="1"/>
    <col min="11267" max="11267" width="11" style="165" customWidth="1"/>
    <col min="11268" max="11268" width="11.140625" style="165" customWidth="1"/>
    <col min="11269" max="11280" width="6" style="165" customWidth="1"/>
    <col min="11281" max="11519" width="11.42578125" style="165"/>
    <col min="11520" max="11520" width="9.85546875" style="165" customWidth="1"/>
    <col min="11521" max="11521" width="8.7109375" style="165" customWidth="1"/>
    <col min="11522" max="11522" width="66.85546875" style="165" customWidth="1"/>
    <col min="11523" max="11523" width="11" style="165" customWidth="1"/>
    <col min="11524" max="11524" width="11.140625" style="165" customWidth="1"/>
    <col min="11525" max="11536" width="6" style="165" customWidth="1"/>
    <col min="11537" max="11775" width="11.42578125" style="165"/>
    <col min="11776" max="11776" width="9.85546875" style="165" customWidth="1"/>
    <col min="11777" max="11777" width="8.7109375" style="165" customWidth="1"/>
    <col min="11778" max="11778" width="66.85546875" style="165" customWidth="1"/>
    <col min="11779" max="11779" width="11" style="165" customWidth="1"/>
    <col min="11780" max="11780" width="11.140625" style="165" customWidth="1"/>
    <col min="11781" max="11792" width="6" style="165" customWidth="1"/>
    <col min="11793" max="12031" width="11.42578125" style="165"/>
    <col min="12032" max="12032" width="9.85546875" style="165" customWidth="1"/>
    <col min="12033" max="12033" width="8.7109375" style="165" customWidth="1"/>
    <col min="12034" max="12034" width="66.85546875" style="165" customWidth="1"/>
    <col min="12035" max="12035" width="11" style="165" customWidth="1"/>
    <col min="12036" max="12036" width="11.140625" style="165" customWidth="1"/>
    <col min="12037" max="12048" width="6" style="165" customWidth="1"/>
    <col min="12049" max="12287" width="11.42578125" style="165"/>
    <col min="12288" max="12288" width="9.85546875" style="165" customWidth="1"/>
    <col min="12289" max="12289" width="8.7109375" style="165" customWidth="1"/>
    <col min="12290" max="12290" width="66.85546875" style="165" customWidth="1"/>
    <col min="12291" max="12291" width="11" style="165" customWidth="1"/>
    <col min="12292" max="12292" width="11.140625" style="165" customWidth="1"/>
    <col min="12293" max="12304" width="6" style="165" customWidth="1"/>
    <col min="12305" max="12543" width="11.42578125" style="165"/>
    <col min="12544" max="12544" width="9.85546875" style="165" customWidth="1"/>
    <col min="12545" max="12545" width="8.7109375" style="165" customWidth="1"/>
    <col min="12546" max="12546" width="66.85546875" style="165" customWidth="1"/>
    <col min="12547" max="12547" width="11" style="165" customWidth="1"/>
    <col min="12548" max="12548" width="11.140625" style="165" customWidth="1"/>
    <col min="12549" max="12560" width="6" style="165" customWidth="1"/>
    <col min="12561" max="12799" width="11.42578125" style="165"/>
    <col min="12800" max="12800" width="9.85546875" style="165" customWidth="1"/>
    <col min="12801" max="12801" width="8.7109375" style="165" customWidth="1"/>
    <col min="12802" max="12802" width="66.85546875" style="165" customWidth="1"/>
    <col min="12803" max="12803" width="11" style="165" customWidth="1"/>
    <col min="12804" max="12804" width="11.140625" style="165" customWidth="1"/>
    <col min="12805" max="12816" width="6" style="165" customWidth="1"/>
    <col min="12817" max="13055" width="11.42578125" style="165"/>
    <col min="13056" max="13056" width="9.85546875" style="165" customWidth="1"/>
    <col min="13057" max="13057" width="8.7109375" style="165" customWidth="1"/>
    <col min="13058" max="13058" width="66.85546875" style="165" customWidth="1"/>
    <col min="13059" max="13059" width="11" style="165" customWidth="1"/>
    <col min="13060" max="13060" width="11.140625" style="165" customWidth="1"/>
    <col min="13061" max="13072" width="6" style="165" customWidth="1"/>
    <col min="13073" max="13311" width="11.42578125" style="165"/>
    <col min="13312" max="13312" width="9.85546875" style="165" customWidth="1"/>
    <col min="13313" max="13313" width="8.7109375" style="165" customWidth="1"/>
    <col min="13314" max="13314" width="66.85546875" style="165" customWidth="1"/>
    <col min="13315" max="13315" width="11" style="165" customWidth="1"/>
    <col min="13316" max="13316" width="11.140625" style="165" customWidth="1"/>
    <col min="13317" max="13328" width="6" style="165" customWidth="1"/>
    <col min="13329" max="13567" width="11.42578125" style="165"/>
    <col min="13568" max="13568" width="9.85546875" style="165" customWidth="1"/>
    <col min="13569" max="13569" width="8.7109375" style="165" customWidth="1"/>
    <col min="13570" max="13570" width="66.85546875" style="165" customWidth="1"/>
    <col min="13571" max="13571" width="11" style="165" customWidth="1"/>
    <col min="13572" max="13572" width="11.140625" style="165" customWidth="1"/>
    <col min="13573" max="13584" width="6" style="165" customWidth="1"/>
    <col min="13585" max="13823" width="11.42578125" style="165"/>
    <col min="13824" max="13824" width="9.85546875" style="165" customWidth="1"/>
    <col min="13825" max="13825" width="8.7109375" style="165" customWidth="1"/>
    <col min="13826" max="13826" width="66.85546875" style="165" customWidth="1"/>
    <col min="13827" max="13827" width="11" style="165" customWidth="1"/>
    <col min="13828" max="13828" width="11.140625" style="165" customWidth="1"/>
    <col min="13829" max="13840" width="6" style="165" customWidth="1"/>
    <col min="13841" max="14079" width="11.42578125" style="165"/>
    <col min="14080" max="14080" width="9.85546875" style="165" customWidth="1"/>
    <col min="14081" max="14081" width="8.7109375" style="165" customWidth="1"/>
    <col min="14082" max="14082" width="66.85546875" style="165" customWidth="1"/>
    <col min="14083" max="14083" width="11" style="165" customWidth="1"/>
    <col min="14084" max="14084" width="11.140625" style="165" customWidth="1"/>
    <col min="14085" max="14096" width="6" style="165" customWidth="1"/>
    <col min="14097" max="14335" width="11.42578125" style="165"/>
    <col min="14336" max="14336" width="9.85546875" style="165" customWidth="1"/>
    <col min="14337" max="14337" width="8.7109375" style="165" customWidth="1"/>
    <col min="14338" max="14338" width="66.85546875" style="165" customWidth="1"/>
    <col min="14339" max="14339" width="11" style="165" customWidth="1"/>
    <col min="14340" max="14340" width="11.140625" style="165" customWidth="1"/>
    <col min="14341" max="14352" width="6" style="165" customWidth="1"/>
    <col min="14353" max="14591" width="11.42578125" style="165"/>
    <col min="14592" max="14592" width="9.85546875" style="165" customWidth="1"/>
    <col min="14593" max="14593" width="8.7109375" style="165" customWidth="1"/>
    <col min="14594" max="14594" width="66.85546875" style="165" customWidth="1"/>
    <col min="14595" max="14595" width="11" style="165" customWidth="1"/>
    <col min="14596" max="14596" width="11.140625" style="165" customWidth="1"/>
    <col min="14597" max="14608" width="6" style="165" customWidth="1"/>
    <col min="14609" max="14847" width="11.42578125" style="165"/>
    <col min="14848" max="14848" width="9.85546875" style="165" customWidth="1"/>
    <col min="14849" max="14849" width="8.7109375" style="165" customWidth="1"/>
    <col min="14850" max="14850" width="66.85546875" style="165" customWidth="1"/>
    <col min="14851" max="14851" width="11" style="165" customWidth="1"/>
    <col min="14852" max="14852" width="11.140625" style="165" customWidth="1"/>
    <col min="14853" max="14864" width="6" style="165" customWidth="1"/>
    <col min="14865" max="15103" width="11.42578125" style="165"/>
    <col min="15104" max="15104" width="9.85546875" style="165" customWidth="1"/>
    <col min="15105" max="15105" width="8.7109375" style="165" customWidth="1"/>
    <col min="15106" max="15106" width="66.85546875" style="165" customWidth="1"/>
    <col min="15107" max="15107" width="11" style="165" customWidth="1"/>
    <col min="15108" max="15108" width="11.140625" style="165" customWidth="1"/>
    <col min="15109" max="15120" width="6" style="165" customWidth="1"/>
    <col min="15121" max="15359" width="11.42578125" style="165"/>
    <col min="15360" max="15360" width="9.85546875" style="165" customWidth="1"/>
    <col min="15361" max="15361" width="8.7109375" style="165" customWidth="1"/>
    <col min="15362" max="15362" width="66.85546875" style="165" customWidth="1"/>
    <col min="15363" max="15363" width="11" style="165" customWidth="1"/>
    <col min="15364" max="15364" width="11.140625" style="165" customWidth="1"/>
    <col min="15365" max="15376" width="6" style="165" customWidth="1"/>
    <col min="15377" max="15615" width="11.42578125" style="165"/>
    <col min="15616" max="15616" width="9.85546875" style="165" customWidth="1"/>
    <col min="15617" max="15617" width="8.7109375" style="165" customWidth="1"/>
    <col min="15618" max="15618" width="66.85546875" style="165" customWidth="1"/>
    <col min="15619" max="15619" width="11" style="165" customWidth="1"/>
    <col min="15620" max="15620" width="11.140625" style="165" customWidth="1"/>
    <col min="15621" max="15632" width="6" style="165" customWidth="1"/>
    <col min="15633" max="15871" width="11.42578125" style="165"/>
    <col min="15872" max="15872" width="9.85546875" style="165" customWidth="1"/>
    <col min="15873" max="15873" width="8.7109375" style="165" customWidth="1"/>
    <col min="15874" max="15874" width="66.85546875" style="165" customWidth="1"/>
    <col min="15875" max="15875" width="11" style="165" customWidth="1"/>
    <col min="15876" max="15876" width="11.140625" style="165" customWidth="1"/>
    <col min="15877" max="15888" width="6" style="165" customWidth="1"/>
    <col min="15889" max="16127" width="11.42578125" style="165"/>
    <col min="16128" max="16128" width="9.85546875" style="165" customWidth="1"/>
    <col min="16129" max="16129" width="8.7109375" style="165" customWidth="1"/>
    <col min="16130" max="16130" width="66.85546875" style="165" customWidth="1"/>
    <col min="16131" max="16131" width="11" style="165" customWidth="1"/>
    <col min="16132" max="16132" width="11.140625" style="165" customWidth="1"/>
    <col min="16133" max="16144" width="6" style="165" customWidth="1"/>
    <col min="16145" max="16384" width="11.42578125" style="165"/>
  </cols>
  <sheetData>
    <row r="1" spans="2:34" ht="9.75" customHeight="1" thickBot="1"/>
    <row r="2" spans="2:34" ht="12.75" thickBot="1">
      <c r="B2" s="619" t="s">
        <v>211</v>
      </c>
      <c r="C2" s="620"/>
      <c r="D2" s="620"/>
      <c r="E2" s="620"/>
      <c r="F2" s="620"/>
      <c r="G2" s="620"/>
      <c r="H2" s="620"/>
      <c r="I2" s="620"/>
      <c r="J2" s="620"/>
      <c r="K2" s="620"/>
      <c r="L2" s="620"/>
      <c r="M2" s="620"/>
      <c r="N2" s="620"/>
      <c r="O2" s="620"/>
      <c r="P2" s="620"/>
      <c r="Q2" s="620"/>
      <c r="R2" s="620"/>
      <c r="S2" s="620"/>
      <c r="T2" s="620"/>
      <c r="U2" s="620"/>
      <c r="V2" s="620"/>
      <c r="W2" s="620"/>
      <c r="X2" s="620"/>
      <c r="Y2" s="620"/>
      <c r="Z2" s="620"/>
      <c r="AA2" s="620"/>
      <c r="AB2" s="620"/>
      <c r="AC2" s="620"/>
      <c r="AD2" s="620"/>
      <c r="AE2" s="620"/>
      <c r="AF2" s="620"/>
      <c r="AG2" s="620"/>
      <c r="AH2" s="621"/>
    </row>
    <row r="3" spans="2:34" ht="9" customHeight="1" thickBot="1">
      <c r="B3" s="167"/>
      <c r="C3" s="168"/>
      <c r="D3" s="169"/>
      <c r="E3" s="170"/>
      <c r="F3" s="170"/>
      <c r="G3" s="169"/>
      <c r="H3" s="169"/>
      <c r="I3" s="169"/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72"/>
      <c r="U3" s="172"/>
      <c r="V3" s="172"/>
      <c r="W3" s="172"/>
      <c r="X3" s="172"/>
      <c r="Y3" s="172"/>
      <c r="Z3" s="172"/>
      <c r="AA3" s="172"/>
      <c r="AB3" s="172"/>
      <c r="AC3" s="172"/>
      <c r="AD3" s="172"/>
      <c r="AE3" s="172"/>
      <c r="AF3" s="172"/>
      <c r="AG3" s="172"/>
      <c r="AH3" s="173"/>
    </row>
    <row r="4" spans="2:34" ht="28.5" customHeight="1" thickBot="1">
      <c r="B4" s="631" t="s">
        <v>212</v>
      </c>
      <c r="C4" s="628"/>
      <c r="D4" s="622" t="s">
        <v>237</v>
      </c>
      <c r="E4" s="623"/>
      <c r="F4" s="623"/>
      <c r="G4" s="623"/>
      <c r="H4" s="623"/>
      <c r="I4" s="623"/>
      <c r="J4" s="623"/>
      <c r="K4" s="623"/>
      <c r="L4" s="623"/>
      <c r="M4" s="623"/>
      <c r="N4" s="623"/>
      <c r="O4" s="623"/>
      <c r="P4" s="623"/>
      <c r="Q4" s="623"/>
      <c r="R4" s="623"/>
      <c r="S4" s="623"/>
      <c r="T4" s="623"/>
      <c r="U4" s="623"/>
      <c r="V4" s="623"/>
      <c r="W4" s="623"/>
      <c r="X4" s="623"/>
      <c r="Y4" s="623"/>
      <c r="Z4" s="623"/>
      <c r="AA4" s="623"/>
      <c r="AB4" s="623"/>
      <c r="AC4" s="623"/>
      <c r="AD4" s="623"/>
      <c r="AE4" s="623"/>
      <c r="AF4" s="623"/>
      <c r="AG4" s="623"/>
      <c r="AH4" s="624"/>
    </row>
    <row r="5" spans="2:34" ht="9" customHeight="1" thickBot="1">
      <c r="B5" s="167"/>
      <c r="C5" s="168"/>
      <c r="D5" s="169"/>
      <c r="E5" s="170"/>
      <c r="F5" s="170"/>
      <c r="G5" s="169"/>
      <c r="H5" s="169"/>
      <c r="I5" s="169"/>
      <c r="J5" s="171"/>
      <c r="K5" s="171"/>
      <c r="L5" s="171"/>
      <c r="M5" s="171"/>
      <c r="N5" s="171"/>
      <c r="O5" s="171"/>
      <c r="P5" s="171"/>
      <c r="Q5" s="171"/>
      <c r="R5" s="171"/>
      <c r="S5" s="171"/>
      <c r="T5" s="172"/>
      <c r="U5" s="172"/>
      <c r="V5" s="172"/>
      <c r="W5" s="172"/>
      <c r="X5" s="172"/>
      <c r="Y5" s="172"/>
      <c r="Z5" s="172"/>
      <c r="AA5" s="172"/>
      <c r="AB5" s="172"/>
      <c r="AC5" s="172"/>
      <c r="AD5" s="172"/>
      <c r="AE5" s="172"/>
      <c r="AF5" s="172"/>
      <c r="AG5" s="172"/>
      <c r="AH5" s="173"/>
    </row>
    <row r="6" spans="2:34" ht="30" customHeight="1" thickBot="1">
      <c r="B6" s="631" t="s">
        <v>213</v>
      </c>
      <c r="C6" s="628"/>
      <c r="D6" s="174" t="s">
        <v>238</v>
      </c>
      <c r="E6" s="170"/>
      <c r="F6" s="625" t="s">
        <v>214</v>
      </c>
      <c r="G6" s="628"/>
      <c r="H6" s="635">
        <v>41548</v>
      </c>
      <c r="I6" s="636"/>
      <c r="J6" s="169"/>
      <c r="K6" s="625" t="s">
        <v>215</v>
      </c>
      <c r="L6" s="628"/>
      <c r="M6" s="635">
        <v>42094</v>
      </c>
      <c r="N6" s="636"/>
      <c r="O6" s="171"/>
      <c r="P6" s="625" t="s">
        <v>216</v>
      </c>
      <c r="Q6" s="628"/>
      <c r="R6" s="629" t="s">
        <v>223</v>
      </c>
      <c r="S6" s="630"/>
      <c r="T6" s="172"/>
      <c r="U6" s="172"/>
      <c r="V6" s="172"/>
      <c r="W6" s="172"/>
      <c r="X6" s="172"/>
      <c r="Y6" s="172"/>
      <c r="Z6" s="172"/>
      <c r="AA6" s="172"/>
      <c r="AB6" s="172"/>
      <c r="AC6" s="172"/>
      <c r="AD6" s="172"/>
      <c r="AE6" s="172"/>
      <c r="AF6" s="172"/>
      <c r="AG6" s="172"/>
      <c r="AH6" s="173"/>
    </row>
    <row r="7" spans="2:34" ht="9" customHeight="1" thickBot="1">
      <c r="B7" s="167"/>
      <c r="C7" s="168"/>
      <c r="D7" s="169"/>
      <c r="E7" s="170"/>
      <c r="F7" s="170"/>
      <c r="G7" s="169"/>
      <c r="H7" s="169"/>
      <c r="I7" s="169"/>
      <c r="J7" s="171"/>
      <c r="K7" s="171"/>
      <c r="L7" s="171"/>
      <c r="M7" s="171"/>
      <c r="N7" s="171"/>
      <c r="O7" s="171"/>
      <c r="P7" s="171"/>
      <c r="Q7" s="171"/>
      <c r="R7" s="171"/>
      <c r="S7" s="171"/>
      <c r="T7" s="172"/>
      <c r="U7" s="172"/>
      <c r="V7" s="172"/>
      <c r="W7" s="172"/>
      <c r="X7" s="172"/>
      <c r="Y7" s="172"/>
      <c r="Z7" s="172"/>
      <c r="AA7" s="172"/>
      <c r="AB7" s="172"/>
      <c r="AC7" s="172"/>
      <c r="AD7" s="172"/>
      <c r="AE7" s="172"/>
      <c r="AF7" s="172"/>
      <c r="AG7" s="172"/>
      <c r="AH7" s="173"/>
    </row>
    <row r="8" spans="2:34" ht="30" customHeight="1" thickBot="1">
      <c r="B8" s="631" t="s">
        <v>217</v>
      </c>
      <c r="C8" s="628"/>
      <c r="D8" s="175"/>
      <c r="E8" s="170"/>
      <c r="F8" s="625" t="s">
        <v>260</v>
      </c>
      <c r="G8" s="628"/>
      <c r="H8" s="632"/>
      <c r="I8" s="633"/>
      <c r="J8" s="171"/>
      <c r="K8" s="625"/>
      <c r="L8" s="625"/>
      <c r="M8" s="634"/>
      <c r="N8" s="634"/>
      <c r="O8" s="171"/>
      <c r="P8" s="625"/>
      <c r="Q8" s="625"/>
      <c r="R8" s="626"/>
      <c r="S8" s="627"/>
      <c r="T8" s="172"/>
      <c r="U8" s="172"/>
      <c r="V8" s="172"/>
      <c r="W8" s="172"/>
      <c r="X8" s="172"/>
      <c r="Y8" s="172"/>
      <c r="Z8" s="172"/>
      <c r="AA8" s="172"/>
      <c r="AB8" s="172"/>
      <c r="AC8" s="172"/>
      <c r="AD8" s="172"/>
      <c r="AE8" s="172"/>
      <c r="AF8" s="172"/>
      <c r="AG8" s="172"/>
      <c r="AH8" s="173"/>
    </row>
    <row r="9" spans="2:34" ht="9" customHeight="1">
      <c r="B9" s="167"/>
      <c r="C9" s="168"/>
      <c r="D9" s="169"/>
      <c r="E9" s="170"/>
      <c r="F9" s="170"/>
      <c r="G9" s="169"/>
      <c r="H9" s="169"/>
      <c r="I9" s="169"/>
      <c r="J9" s="171"/>
      <c r="K9" s="171"/>
      <c r="L9" s="171"/>
      <c r="M9" s="171"/>
      <c r="N9" s="171"/>
      <c r="O9" s="171"/>
      <c r="P9" s="171"/>
      <c r="Q9" s="171"/>
      <c r="R9" s="176"/>
      <c r="S9" s="176"/>
      <c r="T9" s="172"/>
      <c r="U9" s="172"/>
      <c r="V9" s="172"/>
      <c r="W9" s="172"/>
      <c r="X9" s="172"/>
      <c r="Y9" s="172"/>
      <c r="Z9" s="172"/>
      <c r="AA9" s="172"/>
      <c r="AB9" s="172"/>
      <c r="AC9" s="172"/>
      <c r="AD9" s="172"/>
      <c r="AE9" s="172"/>
      <c r="AF9" s="172"/>
      <c r="AG9" s="172"/>
      <c r="AH9" s="173"/>
    </row>
    <row r="10" spans="2:34" ht="30" customHeight="1">
      <c r="B10" s="167"/>
      <c r="C10" s="168"/>
      <c r="D10" s="169"/>
      <c r="E10" s="170"/>
      <c r="F10" s="170"/>
      <c r="G10" s="169"/>
      <c r="H10" s="169"/>
      <c r="I10" s="169"/>
      <c r="J10" s="171"/>
      <c r="K10" s="171"/>
      <c r="L10" s="171"/>
      <c r="M10" s="171"/>
      <c r="N10" s="171"/>
      <c r="O10" s="171"/>
      <c r="P10" s="625"/>
      <c r="Q10" s="625"/>
      <c r="R10" s="626"/>
      <c r="S10" s="627"/>
      <c r="T10" s="172"/>
      <c r="U10" s="172"/>
      <c r="V10" s="172"/>
      <c r="W10" s="172"/>
      <c r="X10" s="172"/>
      <c r="Y10" s="172"/>
      <c r="Z10" s="172"/>
      <c r="AA10" s="172"/>
      <c r="AB10" s="172"/>
      <c r="AC10" s="172"/>
      <c r="AD10" s="172"/>
      <c r="AE10" s="172"/>
      <c r="AF10" s="172"/>
      <c r="AG10" s="172"/>
      <c r="AH10" s="173"/>
    </row>
    <row r="11" spans="2:34" ht="9" customHeight="1" thickBot="1">
      <c r="B11" s="177"/>
      <c r="C11" s="178"/>
      <c r="D11" s="179"/>
      <c r="E11" s="180"/>
      <c r="F11" s="180"/>
      <c r="G11" s="179"/>
      <c r="H11" s="179"/>
      <c r="I11" s="179"/>
      <c r="J11" s="181"/>
      <c r="K11" s="181"/>
      <c r="L11" s="181"/>
      <c r="M11" s="181"/>
      <c r="N11" s="181"/>
      <c r="O11" s="181"/>
      <c r="P11" s="181"/>
      <c r="Q11" s="181"/>
      <c r="R11" s="181"/>
      <c r="S11" s="181"/>
      <c r="T11" s="182"/>
      <c r="U11" s="182"/>
      <c r="V11" s="182"/>
      <c r="W11" s="182"/>
      <c r="X11" s="182"/>
      <c r="Y11" s="182"/>
      <c r="Z11" s="182"/>
      <c r="AA11" s="182"/>
      <c r="AB11" s="182"/>
      <c r="AC11" s="182"/>
      <c r="AD11" s="182"/>
      <c r="AE11" s="182"/>
      <c r="AF11" s="182"/>
      <c r="AG11" s="182"/>
      <c r="AH11" s="183"/>
    </row>
    <row r="12" spans="2:34" ht="9" customHeight="1" thickBot="1"/>
    <row r="13" spans="2:34" ht="16.5" customHeight="1">
      <c r="B13" s="638" t="s">
        <v>219</v>
      </c>
      <c r="C13" s="639" t="s">
        <v>220</v>
      </c>
      <c r="D13" s="640" t="s">
        <v>23</v>
      </c>
      <c r="E13" s="642" t="s">
        <v>24</v>
      </c>
      <c r="F13" s="644" t="s">
        <v>218</v>
      </c>
      <c r="G13" s="637"/>
      <c r="H13" s="637"/>
      <c r="I13" s="637"/>
      <c r="J13" s="637"/>
      <c r="K13" s="637"/>
      <c r="L13" s="637"/>
      <c r="M13" s="637"/>
      <c r="N13" s="637"/>
      <c r="O13" s="637"/>
      <c r="P13" s="637"/>
      <c r="Q13" s="637"/>
      <c r="R13" s="637" t="s">
        <v>25</v>
      </c>
      <c r="S13" s="637"/>
      <c r="T13" s="637"/>
      <c r="U13" s="637"/>
      <c r="V13" s="637"/>
      <c r="W13" s="637"/>
      <c r="X13" s="637"/>
      <c r="Y13" s="637"/>
      <c r="Z13" s="637"/>
      <c r="AA13" s="637"/>
      <c r="AB13" s="637"/>
      <c r="AC13" s="637"/>
      <c r="AD13" s="637" t="s">
        <v>221</v>
      </c>
      <c r="AE13" s="637"/>
      <c r="AF13" s="637"/>
      <c r="AG13" s="184" t="s">
        <v>240</v>
      </c>
    </row>
    <row r="14" spans="2:34" ht="20.25" customHeight="1">
      <c r="B14" s="638"/>
      <c r="C14" s="639"/>
      <c r="D14" s="641"/>
      <c r="E14" s="643"/>
      <c r="F14" s="185">
        <v>41640</v>
      </c>
      <c r="G14" s="186">
        <v>41671</v>
      </c>
      <c r="H14" s="186">
        <v>41699</v>
      </c>
      <c r="I14" s="186">
        <v>41730</v>
      </c>
      <c r="J14" s="186">
        <v>41760</v>
      </c>
      <c r="K14" s="186">
        <v>41791</v>
      </c>
      <c r="L14" s="186">
        <v>41821</v>
      </c>
      <c r="M14" s="186">
        <v>41852</v>
      </c>
      <c r="N14" s="186">
        <v>41883</v>
      </c>
      <c r="O14" s="186">
        <v>41913</v>
      </c>
      <c r="P14" s="186">
        <v>41944</v>
      </c>
      <c r="Q14" s="186">
        <v>41974</v>
      </c>
      <c r="R14" s="186">
        <v>42005</v>
      </c>
      <c r="S14" s="186">
        <v>42036</v>
      </c>
      <c r="T14" s="186">
        <v>42064</v>
      </c>
      <c r="U14" s="186">
        <v>42095</v>
      </c>
      <c r="V14" s="186">
        <v>42125</v>
      </c>
      <c r="W14" s="186">
        <v>42156</v>
      </c>
      <c r="X14" s="186">
        <v>42186</v>
      </c>
      <c r="Y14" s="186">
        <v>42217</v>
      </c>
      <c r="Z14" s="186">
        <v>42248</v>
      </c>
      <c r="AA14" s="186">
        <v>42278</v>
      </c>
      <c r="AB14" s="186">
        <v>42309</v>
      </c>
      <c r="AC14" s="186">
        <v>42339</v>
      </c>
      <c r="AD14" s="186">
        <v>42370</v>
      </c>
      <c r="AE14" s="186">
        <v>42401</v>
      </c>
      <c r="AF14" s="186">
        <v>42430</v>
      </c>
      <c r="AG14" s="184" t="s">
        <v>222</v>
      </c>
    </row>
    <row r="15" spans="2:34" s="193" customFormat="1" ht="41.25" customHeight="1">
      <c r="B15" s="187" t="s">
        <v>44</v>
      </c>
      <c r="C15" s="188" t="s">
        <v>72</v>
      </c>
      <c r="D15" s="189"/>
      <c r="E15" s="190"/>
      <c r="F15" s="191"/>
      <c r="G15" s="192"/>
      <c r="H15" s="192"/>
      <c r="I15" s="192"/>
      <c r="J15" s="192"/>
      <c r="K15" s="192"/>
      <c r="L15" s="192"/>
      <c r="M15" s="192"/>
      <c r="N15" s="192"/>
      <c r="O15" s="192"/>
      <c r="P15" s="192"/>
      <c r="Q15" s="192"/>
      <c r="R15" s="192"/>
      <c r="S15" s="192"/>
      <c r="T15" s="192"/>
      <c r="U15" s="192"/>
      <c r="V15" s="192"/>
      <c r="W15" s="192"/>
      <c r="X15" s="192"/>
      <c r="Y15" s="192"/>
      <c r="Z15" s="192"/>
      <c r="AA15" s="192"/>
      <c r="AB15" s="192"/>
      <c r="AC15" s="192"/>
      <c r="AD15" s="192"/>
      <c r="AE15" s="192"/>
      <c r="AF15" s="192"/>
      <c r="AG15" s="192"/>
    </row>
    <row r="16" spans="2:34" s="193" customFormat="1" ht="129" customHeight="1">
      <c r="B16" s="187" t="s">
        <v>45</v>
      </c>
      <c r="C16" s="188" t="s">
        <v>73</v>
      </c>
      <c r="D16" s="189"/>
      <c r="E16" s="190"/>
      <c r="F16" s="191"/>
      <c r="G16" s="192"/>
      <c r="H16" s="192"/>
      <c r="I16" s="192"/>
      <c r="J16" s="192"/>
      <c r="K16" s="192"/>
      <c r="L16" s="192"/>
      <c r="M16" s="192"/>
      <c r="N16" s="192"/>
      <c r="O16" s="192"/>
      <c r="P16" s="192"/>
      <c r="Q16" s="192"/>
      <c r="R16" s="192"/>
      <c r="S16" s="192"/>
      <c r="T16" s="192"/>
      <c r="U16" s="192"/>
      <c r="V16" s="192"/>
      <c r="W16" s="192"/>
      <c r="X16" s="192"/>
      <c r="Y16" s="192"/>
      <c r="Z16" s="192"/>
      <c r="AA16" s="192"/>
      <c r="AB16" s="192"/>
      <c r="AC16" s="192"/>
      <c r="AD16" s="192"/>
      <c r="AE16" s="192"/>
      <c r="AF16" s="192"/>
      <c r="AG16" s="194" t="e">
        <f>+AG17+AG28+AG38+AG49+AG40+AG53+#REF!+#REF!+#REF!</f>
        <v>#REF!</v>
      </c>
    </row>
    <row r="17" spans="2:33" s="193" customFormat="1" ht="30" customHeight="1">
      <c r="B17" s="195">
        <v>0</v>
      </c>
      <c r="C17" s="196"/>
      <c r="D17" s="197"/>
      <c r="E17" s="198"/>
      <c r="F17" s="199"/>
      <c r="G17" s="200"/>
      <c r="H17" s="200"/>
      <c r="I17" s="200"/>
      <c r="J17" s="200"/>
      <c r="K17" s="200"/>
      <c r="L17" s="200"/>
      <c r="M17" s="200"/>
      <c r="N17" s="200"/>
      <c r="O17" s="200"/>
      <c r="P17" s="200"/>
      <c r="Q17" s="200"/>
      <c r="R17" s="200"/>
      <c r="S17" s="201"/>
      <c r="T17" s="201"/>
      <c r="U17" s="201"/>
      <c r="V17" s="201"/>
      <c r="W17" s="201"/>
      <c r="X17" s="201"/>
      <c r="Y17" s="201"/>
      <c r="Z17" s="201"/>
      <c r="AA17" s="201"/>
      <c r="AB17" s="201"/>
      <c r="AC17" s="201"/>
      <c r="AD17" s="201"/>
      <c r="AE17" s="201"/>
      <c r="AF17" s="201"/>
      <c r="AG17" s="202">
        <f>SUM(AG18:AG26)</f>
        <v>0</v>
      </c>
    </row>
    <row r="18" spans="2:33" s="193" customFormat="1" ht="15" customHeight="1">
      <c r="B18" s="187"/>
      <c r="C18" s="203" t="s">
        <v>49</v>
      </c>
      <c r="D18" s="189">
        <v>41659</v>
      </c>
      <c r="E18" s="190">
        <v>41775</v>
      </c>
      <c r="F18" s="204"/>
      <c r="G18" s="205"/>
      <c r="H18" s="205"/>
      <c r="I18" s="205"/>
      <c r="J18" s="205"/>
      <c r="K18" s="206"/>
      <c r="L18" s="206"/>
      <c r="M18" s="206"/>
      <c r="N18" s="207"/>
      <c r="O18" s="207"/>
      <c r="P18" s="207"/>
      <c r="Q18" s="207"/>
      <c r="R18" s="207"/>
      <c r="S18" s="207"/>
      <c r="T18" s="207"/>
      <c r="U18" s="207"/>
      <c r="V18" s="207"/>
      <c r="W18" s="207"/>
      <c r="X18" s="207"/>
      <c r="Y18" s="207"/>
      <c r="Z18" s="207"/>
      <c r="AA18" s="207"/>
      <c r="AB18" s="207"/>
      <c r="AC18" s="207"/>
      <c r="AD18" s="207"/>
      <c r="AE18" s="207"/>
      <c r="AF18" s="207"/>
      <c r="AG18" s="207"/>
    </row>
    <row r="19" spans="2:33" s="193" customFormat="1" ht="15" customHeight="1">
      <c r="B19" s="187"/>
      <c r="C19" s="203" t="s">
        <v>50</v>
      </c>
      <c r="D19" s="189">
        <v>41775</v>
      </c>
      <c r="E19" s="190">
        <v>41789</v>
      </c>
      <c r="F19" s="208"/>
      <c r="G19" s="209"/>
      <c r="H19" s="209"/>
      <c r="I19" s="209"/>
      <c r="J19" s="205"/>
      <c r="K19" s="209"/>
      <c r="L19" s="209"/>
      <c r="M19" s="209"/>
      <c r="N19" s="207"/>
      <c r="O19" s="207"/>
      <c r="P19" s="207"/>
      <c r="Q19" s="207"/>
      <c r="R19" s="207"/>
      <c r="S19" s="207"/>
      <c r="T19" s="207"/>
      <c r="U19" s="207"/>
      <c r="V19" s="207"/>
      <c r="W19" s="207"/>
      <c r="X19" s="207"/>
      <c r="Y19" s="207"/>
      <c r="Z19" s="207"/>
      <c r="AA19" s="207"/>
      <c r="AB19" s="207"/>
      <c r="AC19" s="207"/>
      <c r="AD19" s="207"/>
      <c r="AE19" s="207"/>
      <c r="AF19" s="207"/>
      <c r="AG19" s="207"/>
    </row>
    <row r="20" spans="2:33" s="193" customFormat="1" ht="15" customHeight="1">
      <c r="B20" s="187"/>
      <c r="C20" s="203" t="s">
        <v>51</v>
      </c>
      <c r="D20" s="189">
        <v>41775</v>
      </c>
      <c r="E20" s="190">
        <v>41820</v>
      </c>
      <c r="F20" s="210"/>
      <c r="G20" s="206"/>
      <c r="H20" s="206"/>
      <c r="I20" s="206"/>
      <c r="J20" s="205"/>
      <c r="K20" s="205"/>
      <c r="L20" s="206"/>
      <c r="M20" s="206"/>
      <c r="N20" s="207"/>
      <c r="O20" s="207"/>
      <c r="P20" s="207"/>
      <c r="Q20" s="207"/>
      <c r="R20" s="207"/>
      <c r="S20" s="207"/>
      <c r="T20" s="207"/>
      <c r="U20" s="207"/>
      <c r="V20" s="207"/>
      <c r="W20" s="207"/>
      <c r="X20" s="207"/>
      <c r="Y20" s="207"/>
      <c r="Z20" s="207"/>
      <c r="AA20" s="207"/>
      <c r="AB20" s="207"/>
      <c r="AC20" s="207"/>
      <c r="AD20" s="207"/>
      <c r="AE20" s="207"/>
      <c r="AF20" s="207"/>
      <c r="AG20" s="207"/>
    </row>
    <row r="21" spans="2:33" s="193" customFormat="1" ht="15" customHeight="1">
      <c r="B21" s="187"/>
      <c r="C21" s="203" t="s">
        <v>52</v>
      </c>
      <c r="D21" s="189">
        <v>41821</v>
      </c>
      <c r="E21" s="190">
        <v>41835</v>
      </c>
      <c r="F21" s="208"/>
      <c r="G21" s="209"/>
      <c r="H21" s="209"/>
      <c r="I21" s="209"/>
      <c r="J21" s="209"/>
      <c r="K21" s="209"/>
      <c r="L21" s="205"/>
      <c r="M21" s="209"/>
      <c r="N21" s="207"/>
      <c r="O21" s="207"/>
      <c r="P21" s="207"/>
      <c r="Q21" s="207"/>
      <c r="R21" s="207"/>
      <c r="S21" s="207"/>
      <c r="T21" s="207"/>
      <c r="U21" s="207"/>
      <c r="V21" s="207"/>
      <c r="W21" s="207"/>
      <c r="X21" s="207"/>
      <c r="Y21" s="207"/>
      <c r="Z21" s="207"/>
      <c r="AA21" s="207"/>
      <c r="AB21" s="207"/>
      <c r="AC21" s="207"/>
      <c r="AD21" s="207"/>
      <c r="AE21" s="207"/>
      <c r="AF21" s="207"/>
      <c r="AG21" s="207"/>
    </row>
    <row r="22" spans="2:33" s="193" customFormat="1" ht="15" customHeight="1">
      <c r="B22" s="187"/>
      <c r="C22" s="203" t="s">
        <v>53</v>
      </c>
      <c r="D22" s="189">
        <v>41835</v>
      </c>
      <c r="E22" s="190">
        <v>41866</v>
      </c>
      <c r="F22" s="211"/>
      <c r="G22" s="207"/>
      <c r="H22" s="207"/>
      <c r="I22" s="207"/>
      <c r="J22" s="207"/>
      <c r="K22" s="207"/>
      <c r="L22" s="205"/>
      <c r="M22" s="205"/>
      <c r="N22" s="207"/>
      <c r="O22" s="207"/>
      <c r="P22" s="207"/>
      <c r="Q22" s="207"/>
      <c r="R22" s="207"/>
      <c r="S22" s="207"/>
      <c r="T22" s="207"/>
      <c r="U22" s="207"/>
      <c r="V22" s="207"/>
      <c r="W22" s="207"/>
      <c r="X22" s="207"/>
      <c r="Y22" s="207"/>
      <c r="Z22" s="207"/>
      <c r="AA22" s="207"/>
      <c r="AB22" s="207"/>
      <c r="AC22" s="207"/>
      <c r="AD22" s="207"/>
      <c r="AE22" s="207"/>
      <c r="AF22" s="207"/>
      <c r="AG22" s="207"/>
    </row>
    <row r="23" spans="2:33" s="193" customFormat="1" ht="15" customHeight="1">
      <c r="B23" s="187"/>
      <c r="C23" s="203" t="s">
        <v>55</v>
      </c>
      <c r="D23" s="189">
        <v>41866</v>
      </c>
      <c r="E23" s="190">
        <v>41881</v>
      </c>
      <c r="F23" s="211"/>
      <c r="G23" s="207"/>
      <c r="H23" s="207"/>
      <c r="I23" s="207"/>
      <c r="J23" s="207"/>
      <c r="K23" s="207"/>
      <c r="L23" s="207"/>
      <c r="M23" s="205"/>
      <c r="N23" s="207"/>
      <c r="O23" s="207"/>
      <c r="P23" s="207"/>
      <c r="Q23" s="207"/>
      <c r="R23" s="207"/>
      <c r="S23" s="207"/>
      <c r="T23" s="207"/>
      <c r="U23" s="207"/>
      <c r="V23" s="207"/>
      <c r="W23" s="207"/>
      <c r="X23" s="207"/>
      <c r="Y23" s="207"/>
      <c r="Z23" s="207"/>
      <c r="AA23" s="207"/>
      <c r="AB23" s="207"/>
      <c r="AC23" s="207"/>
      <c r="AD23" s="207"/>
      <c r="AE23" s="207"/>
      <c r="AF23" s="207"/>
      <c r="AG23" s="207"/>
    </row>
    <row r="24" spans="2:33" s="193" customFormat="1" ht="15" customHeight="1">
      <c r="B24" s="187"/>
      <c r="C24" s="203" t="s">
        <v>54</v>
      </c>
      <c r="D24" s="189">
        <v>41883</v>
      </c>
      <c r="E24" s="190">
        <v>41897</v>
      </c>
      <c r="F24" s="211"/>
      <c r="G24" s="207"/>
      <c r="H24" s="207"/>
      <c r="I24" s="207"/>
      <c r="J24" s="207"/>
      <c r="K24" s="207"/>
      <c r="L24" s="207"/>
      <c r="M24" s="207"/>
      <c r="N24" s="205"/>
      <c r="O24" s="207"/>
      <c r="P24" s="207"/>
      <c r="Q24" s="207"/>
      <c r="R24" s="207"/>
      <c r="S24" s="207"/>
      <c r="T24" s="207"/>
      <c r="U24" s="207"/>
      <c r="V24" s="207"/>
      <c r="W24" s="207"/>
      <c r="X24" s="207"/>
      <c r="Y24" s="207"/>
      <c r="Z24" s="207"/>
      <c r="AA24" s="207"/>
      <c r="AB24" s="207"/>
      <c r="AC24" s="207"/>
      <c r="AD24" s="207"/>
      <c r="AE24" s="207"/>
      <c r="AF24" s="207"/>
      <c r="AG24" s="207"/>
    </row>
    <row r="25" spans="2:33" s="193" customFormat="1" ht="15" customHeight="1">
      <c r="B25" s="187"/>
      <c r="C25" s="203" t="s">
        <v>56</v>
      </c>
      <c r="D25" s="189">
        <v>41883</v>
      </c>
      <c r="E25" s="190">
        <v>41912</v>
      </c>
      <c r="F25" s="211"/>
      <c r="G25" s="207"/>
      <c r="H25" s="207"/>
      <c r="I25" s="207"/>
      <c r="J25" s="207"/>
      <c r="K25" s="207"/>
      <c r="L25" s="207"/>
      <c r="M25" s="207"/>
      <c r="N25" s="205"/>
      <c r="O25" s="207"/>
      <c r="P25" s="207"/>
      <c r="Q25" s="207"/>
      <c r="R25" s="207"/>
      <c r="S25" s="207"/>
      <c r="T25" s="207"/>
      <c r="U25" s="207"/>
      <c r="V25" s="207"/>
      <c r="W25" s="207"/>
      <c r="X25" s="207"/>
      <c r="Y25" s="207"/>
      <c r="Z25" s="207"/>
      <c r="AA25" s="207"/>
      <c r="AB25" s="207"/>
      <c r="AC25" s="207"/>
      <c r="AD25" s="207"/>
      <c r="AE25" s="207"/>
      <c r="AF25" s="207"/>
      <c r="AG25" s="207"/>
    </row>
    <row r="26" spans="2:33" s="193" customFormat="1" ht="15" customHeight="1" thickBot="1">
      <c r="B26" s="187"/>
      <c r="C26" s="212" t="s">
        <v>57</v>
      </c>
      <c r="D26" s="213">
        <v>41913</v>
      </c>
      <c r="E26" s="214">
        <v>41942</v>
      </c>
      <c r="F26" s="215"/>
      <c r="G26" s="216"/>
      <c r="H26" s="216"/>
      <c r="I26" s="216"/>
      <c r="J26" s="216"/>
      <c r="K26" s="216"/>
      <c r="L26" s="216"/>
      <c r="M26" s="216"/>
      <c r="N26" s="216"/>
      <c r="O26" s="217"/>
      <c r="P26" s="216"/>
      <c r="Q26" s="216"/>
      <c r="R26" s="216"/>
      <c r="S26" s="216"/>
      <c r="T26" s="216"/>
      <c r="U26" s="216"/>
      <c r="V26" s="216"/>
      <c r="W26" s="216"/>
      <c r="X26" s="216"/>
      <c r="Y26" s="216"/>
      <c r="Z26" s="216"/>
      <c r="AA26" s="216"/>
      <c r="AB26" s="216"/>
      <c r="AC26" s="216"/>
      <c r="AD26" s="216"/>
      <c r="AE26" s="216"/>
      <c r="AF26" s="216"/>
      <c r="AG26" s="216"/>
    </row>
    <row r="27" spans="2:33" s="193" customFormat="1" ht="30" customHeight="1">
      <c r="B27" s="218">
        <v>1</v>
      </c>
      <c r="C27" s="219" t="s">
        <v>258</v>
      </c>
      <c r="D27" s="220"/>
      <c r="E27" s="220"/>
      <c r="F27" s="221"/>
      <c r="G27" s="221"/>
      <c r="H27" s="221"/>
      <c r="I27" s="221"/>
      <c r="J27" s="221"/>
      <c r="K27" s="221"/>
      <c r="L27" s="221"/>
      <c r="M27" s="221"/>
      <c r="N27" s="221"/>
      <c r="O27" s="221"/>
      <c r="P27" s="221"/>
      <c r="Q27" s="221"/>
      <c r="R27" s="221"/>
      <c r="S27" s="222"/>
      <c r="T27" s="222"/>
      <c r="U27" s="222"/>
      <c r="V27" s="222"/>
      <c r="W27" s="222"/>
      <c r="X27" s="222"/>
      <c r="Y27" s="222"/>
      <c r="Z27" s="222"/>
      <c r="AA27" s="222"/>
      <c r="AB27" s="222"/>
      <c r="AC27" s="222"/>
      <c r="AD27" s="222"/>
      <c r="AE27" s="222"/>
      <c r="AF27" s="222"/>
      <c r="AG27" s="223" t="s">
        <v>236</v>
      </c>
    </row>
    <row r="28" spans="2:33" s="193" customFormat="1" ht="15" customHeight="1">
      <c r="B28" s="224" t="s">
        <v>128</v>
      </c>
      <c r="C28" s="225" t="s">
        <v>259</v>
      </c>
      <c r="D28" s="226"/>
      <c r="E28" s="226"/>
      <c r="F28" s="227"/>
      <c r="G28" s="227"/>
      <c r="H28" s="227"/>
      <c r="I28" s="227"/>
      <c r="J28" s="227"/>
      <c r="K28" s="227"/>
      <c r="L28" s="227"/>
      <c r="M28" s="227"/>
      <c r="N28" s="227"/>
      <c r="O28" s="227"/>
      <c r="P28" s="227"/>
      <c r="Q28" s="227"/>
      <c r="R28" s="227"/>
      <c r="S28" s="227"/>
      <c r="T28" s="227"/>
      <c r="U28" s="227"/>
      <c r="V28" s="227"/>
      <c r="W28" s="227"/>
      <c r="X28" s="227"/>
      <c r="Y28" s="227"/>
      <c r="Z28" s="227"/>
      <c r="AA28" s="227"/>
      <c r="AB28" s="227"/>
      <c r="AC28" s="227"/>
      <c r="AD28" s="227"/>
      <c r="AE28" s="227"/>
      <c r="AF28" s="227"/>
      <c r="AG28" s="228">
        <f>SUM(AG29:AG34)</f>
        <v>0</v>
      </c>
    </row>
    <row r="29" spans="2:33" s="193" customFormat="1" ht="15" customHeight="1">
      <c r="B29" s="187" t="s">
        <v>268</v>
      </c>
      <c r="C29" s="229" t="s">
        <v>46</v>
      </c>
      <c r="D29" s="230">
        <v>41640</v>
      </c>
      <c r="E29" s="230">
        <v>41670</v>
      </c>
      <c r="F29" s="231"/>
      <c r="G29" s="231"/>
      <c r="H29" s="231"/>
      <c r="I29" s="231"/>
      <c r="J29" s="231"/>
      <c r="K29" s="231"/>
      <c r="L29" s="231"/>
      <c r="M29" s="231"/>
      <c r="N29" s="231"/>
      <c r="O29" s="231"/>
      <c r="P29" s="231"/>
      <c r="Q29" s="231"/>
      <c r="R29" s="231"/>
      <c r="S29" s="231"/>
      <c r="T29" s="231"/>
      <c r="U29" s="231"/>
      <c r="V29" s="231"/>
      <c r="W29" s="231"/>
      <c r="X29" s="231"/>
      <c r="Y29" s="231"/>
      <c r="Z29" s="231"/>
      <c r="AA29" s="231"/>
      <c r="AB29" s="231"/>
      <c r="AC29" s="231"/>
      <c r="AD29" s="231"/>
      <c r="AE29" s="231"/>
      <c r="AF29" s="231"/>
      <c r="AG29" s="232"/>
    </row>
    <row r="30" spans="2:33" s="193" customFormat="1" ht="15" customHeight="1">
      <c r="B30" s="187" t="s">
        <v>269</v>
      </c>
      <c r="C30" s="229" t="s">
        <v>141</v>
      </c>
      <c r="D30" s="230">
        <v>41671</v>
      </c>
      <c r="E30" s="230">
        <v>41729</v>
      </c>
      <c r="F30" s="206"/>
      <c r="G30" s="231"/>
      <c r="H30" s="231"/>
      <c r="I30" s="231"/>
      <c r="J30" s="231"/>
      <c r="K30" s="231"/>
      <c r="L30" s="231"/>
      <c r="M30" s="231"/>
      <c r="N30" s="231"/>
      <c r="O30" s="231"/>
      <c r="P30" s="231"/>
      <c r="Q30" s="231"/>
      <c r="R30" s="231"/>
      <c r="S30" s="231"/>
      <c r="T30" s="231"/>
      <c r="U30" s="231"/>
      <c r="V30" s="231"/>
      <c r="W30" s="231"/>
      <c r="X30" s="231"/>
      <c r="Y30" s="231"/>
      <c r="Z30" s="231"/>
      <c r="AA30" s="231"/>
      <c r="AB30" s="231"/>
      <c r="AC30" s="231"/>
      <c r="AD30" s="231"/>
      <c r="AE30" s="231"/>
      <c r="AF30" s="231"/>
      <c r="AG30" s="232"/>
    </row>
    <row r="31" spans="2:33" s="193" customFormat="1" ht="15" customHeight="1">
      <c r="B31" s="187" t="s">
        <v>270</v>
      </c>
      <c r="C31" s="229" t="s">
        <v>140</v>
      </c>
      <c r="D31" s="230"/>
      <c r="E31" s="230"/>
      <c r="F31" s="206"/>
      <c r="G31" s="231"/>
      <c r="H31" s="231"/>
      <c r="I31" s="231"/>
      <c r="J31" s="231"/>
      <c r="K31" s="231"/>
      <c r="L31" s="231"/>
      <c r="M31" s="231"/>
      <c r="N31" s="231"/>
      <c r="O31" s="231"/>
      <c r="P31" s="231"/>
      <c r="Q31" s="231"/>
      <c r="R31" s="231"/>
      <c r="S31" s="231"/>
      <c r="T31" s="231"/>
      <c r="U31" s="231"/>
      <c r="V31" s="231"/>
      <c r="W31" s="231"/>
      <c r="X31" s="231"/>
      <c r="Y31" s="231"/>
      <c r="Z31" s="231"/>
      <c r="AA31" s="231"/>
      <c r="AB31" s="231"/>
      <c r="AC31" s="231"/>
      <c r="AD31" s="231"/>
      <c r="AE31" s="231"/>
      <c r="AF31" s="231"/>
      <c r="AG31" s="232"/>
    </row>
    <row r="32" spans="2:33" s="193" customFormat="1" ht="15" customHeight="1">
      <c r="B32" s="187" t="s">
        <v>271</v>
      </c>
      <c r="C32" s="229" t="s">
        <v>310</v>
      </c>
      <c r="D32" s="230"/>
      <c r="E32" s="230"/>
      <c r="F32" s="206"/>
      <c r="G32" s="231"/>
      <c r="H32" s="231"/>
      <c r="I32" s="231"/>
      <c r="J32" s="231"/>
      <c r="K32" s="231"/>
      <c r="L32" s="231"/>
      <c r="M32" s="231"/>
      <c r="N32" s="231"/>
      <c r="O32" s="231"/>
      <c r="P32" s="231"/>
      <c r="Q32" s="231"/>
      <c r="R32" s="231"/>
      <c r="S32" s="231"/>
      <c r="T32" s="231"/>
      <c r="U32" s="231"/>
      <c r="V32" s="231"/>
      <c r="W32" s="231"/>
      <c r="X32" s="231"/>
      <c r="Y32" s="231"/>
      <c r="Z32" s="231"/>
      <c r="AA32" s="231"/>
      <c r="AB32" s="231"/>
      <c r="AC32" s="231"/>
      <c r="AD32" s="231"/>
      <c r="AE32" s="231"/>
      <c r="AF32" s="231"/>
      <c r="AG32" s="232"/>
    </row>
    <row r="33" spans="2:33" s="193" customFormat="1" ht="15" customHeight="1">
      <c r="B33" s="187" t="s">
        <v>272</v>
      </c>
      <c r="C33" s="229" t="s">
        <v>47</v>
      </c>
      <c r="D33" s="230">
        <v>41712</v>
      </c>
      <c r="E33" s="230">
        <v>41729</v>
      </c>
      <c r="F33" s="206"/>
      <c r="G33" s="233"/>
      <c r="H33" s="231"/>
      <c r="I33" s="231"/>
      <c r="J33" s="231"/>
      <c r="K33" s="231"/>
      <c r="L33" s="231"/>
      <c r="M33" s="231"/>
      <c r="N33" s="231"/>
      <c r="O33" s="231"/>
      <c r="P33" s="231"/>
      <c r="Q33" s="231"/>
      <c r="R33" s="231"/>
      <c r="S33" s="231"/>
      <c r="T33" s="231"/>
      <c r="U33" s="231"/>
      <c r="V33" s="231"/>
      <c r="W33" s="231"/>
      <c r="X33" s="231"/>
      <c r="Y33" s="231"/>
      <c r="Z33" s="231"/>
      <c r="AA33" s="231"/>
      <c r="AB33" s="231"/>
      <c r="AC33" s="231"/>
      <c r="AD33" s="231"/>
      <c r="AE33" s="231"/>
      <c r="AF33" s="231"/>
      <c r="AG33" s="232"/>
    </row>
    <row r="34" spans="2:33" s="193" customFormat="1" ht="26.25" customHeight="1">
      <c r="B34" s="224" t="s">
        <v>145</v>
      </c>
      <c r="C34" s="225" t="s">
        <v>48</v>
      </c>
      <c r="D34" s="226"/>
      <c r="E34" s="226"/>
      <c r="F34" s="234"/>
      <c r="G34" s="227"/>
      <c r="H34" s="227"/>
      <c r="I34" s="234"/>
      <c r="J34" s="234"/>
      <c r="K34" s="234"/>
      <c r="L34" s="234"/>
      <c r="M34" s="227"/>
      <c r="N34" s="235"/>
      <c r="O34" s="235"/>
      <c r="P34" s="235"/>
      <c r="Q34" s="235"/>
      <c r="R34" s="235"/>
      <c r="S34" s="235"/>
      <c r="T34" s="235"/>
      <c r="U34" s="235"/>
      <c r="V34" s="235"/>
      <c r="W34" s="235"/>
      <c r="X34" s="235"/>
      <c r="Y34" s="235"/>
      <c r="Z34" s="235"/>
      <c r="AA34" s="235"/>
      <c r="AB34" s="235"/>
      <c r="AC34" s="235"/>
      <c r="AD34" s="235"/>
      <c r="AE34" s="235"/>
      <c r="AF34" s="235"/>
      <c r="AG34" s="236"/>
    </row>
    <row r="35" spans="2:33" s="238" customFormat="1" ht="15" customHeight="1">
      <c r="B35" s="187" t="s">
        <v>273</v>
      </c>
      <c r="C35" s="237" t="s">
        <v>93</v>
      </c>
      <c r="D35" s="230"/>
      <c r="E35" s="230"/>
      <c r="F35" s="206"/>
      <c r="G35" s="233"/>
      <c r="H35" s="233"/>
      <c r="I35" s="206"/>
      <c r="J35" s="206"/>
      <c r="K35" s="206"/>
      <c r="L35" s="206"/>
      <c r="M35" s="233"/>
      <c r="N35" s="207"/>
      <c r="O35" s="207"/>
      <c r="P35" s="207"/>
      <c r="Q35" s="207"/>
      <c r="R35" s="207"/>
      <c r="S35" s="207"/>
      <c r="T35" s="207"/>
      <c r="U35" s="207"/>
      <c r="V35" s="207"/>
      <c r="W35" s="207"/>
      <c r="X35" s="207"/>
      <c r="Y35" s="207"/>
      <c r="Z35" s="207"/>
      <c r="AA35" s="207"/>
      <c r="AB35" s="207"/>
      <c r="AC35" s="207"/>
      <c r="AD35" s="207"/>
      <c r="AE35" s="207"/>
      <c r="AF35" s="207"/>
      <c r="AG35" s="232"/>
    </row>
    <row r="36" spans="2:33" s="238" customFormat="1" ht="15" customHeight="1">
      <c r="B36" s="187" t="s">
        <v>274</v>
      </c>
      <c r="C36" s="237" t="s">
        <v>94</v>
      </c>
      <c r="D36" s="230"/>
      <c r="E36" s="230"/>
      <c r="F36" s="206"/>
      <c r="G36" s="233"/>
      <c r="H36" s="233"/>
      <c r="I36" s="206"/>
      <c r="J36" s="206"/>
      <c r="K36" s="206"/>
      <c r="L36" s="206"/>
      <c r="M36" s="233"/>
      <c r="N36" s="207"/>
      <c r="O36" s="207"/>
      <c r="P36" s="207"/>
      <c r="Q36" s="207"/>
      <c r="R36" s="207"/>
      <c r="S36" s="207"/>
      <c r="T36" s="207"/>
      <c r="U36" s="207"/>
      <c r="V36" s="207"/>
      <c r="W36" s="207"/>
      <c r="X36" s="207"/>
      <c r="Y36" s="207"/>
      <c r="Z36" s="207"/>
      <c r="AA36" s="207"/>
      <c r="AB36" s="207"/>
      <c r="AC36" s="207"/>
      <c r="AD36" s="207"/>
      <c r="AE36" s="207"/>
      <c r="AF36" s="207"/>
      <c r="AG36" s="232"/>
    </row>
    <row r="37" spans="2:33" s="238" customFormat="1" ht="15" customHeight="1">
      <c r="B37" s="187" t="s">
        <v>275</v>
      </c>
      <c r="C37" s="237" t="s">
        <v>95</v>
      </c>
      <c r="D37" s="230"/>
      <c r="E37" s="230"/>
      <c r="F37" s="206"/>
      <c r="G37" s="233"/>
      <c r="H37" s="233"/>
      <c r="I37" s="206"/>
      <c r="J37" s="206"/>
      <c r="K37" s="206"/>
      <c r="L37" s="206"/>
      <c r="M37" s="233"/>
      <c r="N37" s="207"/>
      <c r="O37" s="207"/>
      <c r="P37" s="207"/>
      <c r="Q37" s="207"/>
      <c r="R37" s="207"/>
      <c r="S37" s="207"/>
      <c r="T37" s="207"/>
      <c r="U37" s="207"/>
      <c r="V37" s="207"/>
      <c r="W37" s="207"/>
      <c r="X37" s="207"/>
      <c r="Y37" s="207"/>
      <c r="Z37" s="207"/>
      <c r="AA37" s="207"/>
      <c r="AB37" s="207"/>
      <c r="AC37" s="207"/>
      <c r="AD37" s="207"/>
      <c r="AE37" s="207"/>
      <c r="AF37" s="207"/>
      <c r="AG37" s="232"/>
    </row>
    <row r="38" spans="2:33" s="193" customFormat="1" ht="15" customHeight="1">
      <c r="B38" s="224" t="s">
        <v>146</v>
      </c>
      <c r="C38" s="225" t="s">
        <v>61</v>
      </c>
      <c r="D38" s="226"/>
      <c r="E38" s="226"/>
      <c r="F38" s="234"/>
      <c r="G38" s="227"/>
      <c r="H38" s="227"/>
      <c r="I38" s="227"/>
      <c r="J38" s="234"/>
      <c r="K38" s="234"/>
      <c r="L38" s="234"/>
      <c r="M38" s="234"/>
      <c r="N38" s="235"/>
      <c r="O38" s="235"/>
      <c r="P38" s="235"/>
      <c r="Q38" s="235"/>
      <c r="R38" s="235"/>
      <c r="S38" s="235"/>
      <c r="T38" s="235"/>
      <c r="U38" s="235"/>
      <c r="V38" s="235"/>
      <c r="W38" s="235"/>
      <c r="X38" s="235"/>
      <c r="Y38" s="235"/>
      <c r="Z38" s="235"/>
      <c r="AA38" s="235"/>
      <c r="AB38" s="235"/>
      <c r="AC38" s="235"/>
      <c r="AD38" s="235"/>
      <c r="AE38" s="235"/>
      <c r="AF38" s="235"/>
      <c r="AG38" s="239">
        <f>+AG39</f>
        <v>0</v>
      </c>
    </row>
    <row r="39" spans="2:33" s="193" customFormat="1" ht="15" customHeight="1">
      <c r="B39" s="187" t="s">
        <v>276</v>
      </c>
      <c r="C39" s="240" t="s">
        <v>144</v>
      </c>
      <c r="D39" s="230"/>
      <c r="E39" s="230"/>
      <c r="F39" s="206"/>
      <c r="G39" s="233"/>
      <c r="H39" s="233"/>
      <c r="I39" s="233"/>
      <c r="J39" s="206"/>
      <c r="K39" s="206"/>
      <c r="L39" s="206"/>
      <c r="M39" s="206"/>
      <c r="N39" s="207"/>
      <c r="O39" s="231"/>
      <c r="P39" s="231"/>
      <c r="Q39" s="231"/>
      <c r="R39" s="231"/>
      <c r="S39" s="231"/>
      <c r="T39" s="231"/>
      <c r="U39" s="231"/>
      <c r="V39" s="231"/>
      <c r="W39" s="231"/>
      <c r="X39" s="231"/>
      <c r="Y39" s="231"/>
      <c r="Z39" s="231"/>
      <c r="AA39" s="231"/>
      <c r="AB39" s="231"/>
      <c r="AC39" s="231"/>
      <c r="AD39" s="231"/>
      <c r="AE39" s="231"/>
      <c r="AF39" s="231"/>
      <c r="AG39" s="232"/>
    </row>
    <row r="40" spans="2:33" s="193" customFormat="1" ht="15" customHeight="1">
      <c r="B40" s="224" t="s">
        <v>147</v>
      </c>
      <c r="C40" s="225" t="s">
        <v>71</v>
      </c>
      <c r="D40" s="226"/>
      <c r="E40" s="226"/>
      <c r="F40" s="234"/>
      <c r="G40" s="227"/>
      <c r="H40" s="227"/>
      <c r="I40" s="227"/>
      <c r="J40" s="234"/>
      <c r="K40" s="234"/>
      <c r="L40" s="234"/>
      <c r="M40" s="234"/>
      <c r="N40" s="235"/>
      <c r="O40" s="235"/>
      <c r="P40" s="235"/>
      <c r="Q40" s="235"/>
      <c r="R40" s="235"/>
      <c r="S40" s="235"/>
      <c r="T40" s="235"/>
      <c r="U40" s="235"/>
      <c r="V40" s="235"/>
      <c r="W40" s="235"/>
      <c r="X40" s="235"/>
      <c r="Y40" s="235"/>
      <c r="Z40" s="235"/>
      <c r="AA40" s="235"/>
      <c r="AB40" s="235"/>
      <c r="AC40" s="235"/>
      <c r="AD40" s="235"/>
      <c r="AE40" s="235"/>
      <c r="AF40" s="235"/>
      <c r="AG40" s="239">
        <f>SUM(AG41:AG44)</f>
        <v>0</v>
      </c>
    </row>
    <row r="41" spans="2:33" s="193" customFormat="1" ht="22.5" customHeight="1">
      <c r="B41" s="187" t="s">
        <v>277</v>
      </c>
      <c r="C41" s="241" t="s">
        <v>342</v>
      </c>
      <c r="D41" s="230"/>
      <c r="E41" s="230"/>
      <c r="F41" s="206"/>
      <c r="G41" s="233"/>
      <c r="H41" s="233"/>
      <c r="I41" s="233"/>
      <c r="J41" s="206"/>
      <c r="K41" s="206"/>
      <c r="L41" s="206"/>
      <c r="M41" s="206"/>
      <c r="N41" s="207"/>
      <c r="O41" s="207"/>
      <c r="P41" s="207"/>
      <c r="Q41" s="207"/>
      <c r="R41" s="207"/>
      <c r="S41" s="207"/>
      <c r="T41" s="207"/>
      <c r="U41" s="207"/>
      <c r="V41" s="207"/>
      <c r="W41" s="207"/>
      <c r="X41" s="207"/>
      <c r="Y41" s="207"/>
      <c r="Z41" s="207"/>
      <c r="AA41" s="207"/>
      <c r="AB41" s="207"/>
      <c r="AC41" s="207"/>
      <c r="AD41" s="207"/>
      <c r="AE41" s="207"/>
      <c r="AF41" s="207"/>
      <c r="AG41" s="232"/>
    </row>
    <row r="42" spans="2:33" s="193" customFormat="1" ht="15" customHeight="1">
      <c r="B42" s="187" t="s">
        <v>278</v>
      </c>
      <c r="C42" s="241" t="s">
        <v>62</v>
      </c>
      <c r="D42" s="230">
        <v>41730</v>
      </c>
      <c r="E42" s="230">
        <v>41834</v>
      </c>
      <c r="F42" s="206"/>
      <c r="G42" s="233"/>
      <c r="H42" s="233"/>
      <c r="I42" s="231"/>
      <c r="J42" s="206"/>
      <c r="K42" s="206"/>
      <c r="L42" s="206"/>
      <c r="M42" s="206"/>
      <c r="N42" s="207"/>
      <c r="O42" s="207"/>
      <c r="P42" s="207"/>
      <c r="Q42" s="207"/>
      <c r="R42" s="207"/>
      <c r="S42" s="207"/>
      <c r="T42" s="207"/>
      <c r="U42" s="207"/>
      <c r="V42" s="207"/>
      <c r="W42" s="207"/>
      <c r="X42" s="207"/>
      <c r="Y42" s="207"/>
      <c r="Z42" s="207"/>
      <c r="AA42" s="207"/>
      <c r="AB42" s="207"/>
      <c r="AC42" s="207"/>
      <c r="AD42" s="207"/>
      <c r="AE42" s="207"/>
      <c r="AF42" s="207"/>
      <c r="AG42" s="232"/>
    </row>
    <row r="43" spans="2:33" s="193" customFormat="1" ht="15" customHeight="1">
      <c r="B43" s="187" t="s">
        <v>279</v>
      </c>
      <c r="C43" s="241" t="s">
        <v>63</v>
      </c>
      <c r="D43" s="230"/>
      <c r="E43" s="230"/>
      <c r="F43" s="206"/>
      <c r="G43" s="233"/>
      <c r="H43" s="233"/>
      <c r="I43" s="206"/>
      <c r="J43" s="231"/>
      <c r="K43" s="206"/>
      <c r="L43" s="206"/>
      <c r="M43" s="206"/>
      <c r="N43" s="207"/>
      <c r="O43" s="207"/>
      <c r="P43" s="207"/>
      <c r="Q43" s="207"/>
      <c r="R43" s="207"/>
      <c r="S43" s="207"/>
      <c r="T43" s="207"/>
      <c r="U43" s="207"/>
      <c r="V43" s="207"/>
      <c r="W43" s="207"/>
      <c r="X43" s="207"/>
      <c r="Y43" s="207"/>
      <c r="Z43" s="207"/>
      <c r="AA43" s="207"/>
      <c r="AB43" s="207"/>
      <c r="AC43" s="207"/>
      <c r="AD43" s="207"/>
      <c r="AE43" s="207"/>
      <c r="AF43" s="207"/>
      <c r="AG43" s="232"/>
    </row>
    <row r="44" spans="2:33" s="193" customFormat="1" ht="15" customHeight="1">
      <c r="B44" s="242" t="s">
        <v>280</v>
      </c>
      <c r="C44" s="243" t="s">
        <v>64</v>
      </c>
      <c r="D44" s="244"/>
      <c r="E44" s="244"/>
      <c r="F44" s="245"/>
      <c r="G44" s="246"/>
      <c r="H44" s="246"/>
      <c r="I44" s="247"/>
      <c r="J44" s="247"/>
      <c r="K44" s="245"/>
      <c r="L44" s="245"/>
      <c r="M44" s="245"/>
      <c r="N44" s="247"/>
      <c r="O44" s="247"/>
      <c r="P44" s="247"/>
      <c r="Q44" s="247"/>
      <c r="R44" s="247"/>
      <c r="S44" s="247"/>
      <c r="T44" s="247"/>
      <c r="U44" s="247"/>
      <c r="V44" s="247"/>
      <c r="W44" s="247"/>
      <c r="X44" s="247"/>
      <c r="Y44" s="247"/>
      <c r="Z44" s="247"/>
      <c r="AA44" s="247"/>
      <c r="AB44" s="247"/>
      <c r="AC44" s="247"/>
      <c r="AD44" s="247"/>
      <c r="AE44" s="247"/>
      <c r="AF44" s="247"/>
      <c r="AG44" s="248"/>
    </row>
    <row r="45" spans="2:33" s="193" customFormat="1" ht="15" customHeight="1">
      <c r="B45" s="187" t="s">
        <v>281</v>
      </c>
      <c r="C45" s="241" t="s">
        <v>377</v>
      </c>
      <c r="D45" s="230"/>
      <c r="E45" s="230"/>
      <c r="F45" s="206"/>
      <c r="G45" s="233"/>
      <c r="H45" s="233"/>
      <c r="I45" s="231"/>
      <c r="J45" s="231"/>
      <c r="K45" s="206"/>
      <c r="L45" s="206"/>
      <c r="M45" s="206"/>
      <c r="N45" s="207"/>
      <c r="O45" s="207"/>
      <c r="P45" s="207"/>
      <c r="Q45" s="207"/>
      <c r="R45" s="207"/>
      <c r="S45" s="207"/>
      <c r="T45" s="207"/>
      <c r="U45" s="207"/>
      <c r="V45" s="207"/>
      <c r="W45" s="207"/>
      <c r="X45" s="207"/>
      <c r="Y45" s="207"/>
      <c r="Z45" s="207"/>
      <c r="AA45" s="207"/>
      <c r="AB45" s="207"/>
      <c r="AC45" s="207"/>
      <c r="AD45" s="207"/>
      <c r="AE45" s="207"/>
      <c r="AF45" s="207"/>
      <c r="AG45" s="232"/>
    </row>
    <row r="46" spans="2:33" s="193" customFormat="1" ht="15" customHeight="1">
      <c r="B46" s="187" t="s">
        <v>282</v>
      </c>
      <c r="C46" s="241" t="s">
        <v>376</v>
      </c>
      <c r="D46" s="230"/>
      <c r="E46" s="230"/>
      <c r="F46" s="206"/>
      <c r="G46" s="233"/>
      <c r="H46" s="233"/>
      <c r="I46" s="231"/>
      <c r="J46" s="231"/>
      <c r="K46" s="206"/>
      <c r="L46" s="206"/>
      <c r="M46" s="206"/>
      <c r="N46" s="207"/>
      <c r="O46" s="207"/>
      <c r="P46" s="207"/>
      <c r="Q46" s="207"/>
      <c r="R46" s="207"/>
      <c r="S46" s="207"/>
      <c r="T46" s="207"/>
      <c r="U46" s="207"/>
      <c r="V46" s="207"/>
      <c r="W46" s="207"/>
      <c r="X46" s="207"/>
      <c r="Y46" s="207"/>
      <c r="Z46" s="207"/>
      <c r="AA46" s="207"/>
      <c r="AB46" s="207"/>
      <c r="AC46" s="207"/>
      <c r="AD46" s="207"/>
      <c r="AE46" s="207"/>
      <c r="AF46" s="207"/>
      <c r="AG46" s="232"/>
    </row>
    <row r="47" spans="2:33" s="193" customFormat="1" ht="15" customHeight="1">
      <c r="B47" s="187" t="s">
        <v>378</v>
      </c>
      <c r="C47" s="241" t="s">
        <v>380</v>
      </c>
      <c r="D47" s="230"/>
      <c r="E47" s="230"/>
      <c r="F47" s="206"/>
      <c r="G47" s="233"/>
      <c r="H47" s="233"/>
      <c r="I47" s="231"/>
      <c r="J47" s="231"/>
      <c r="K47" s="206"/>
      <c r="L47" s="206"/>
      <c r="M47" s="206"/>
      <c r="N47" s="207"/>
      <c r="O47" s="207"/>
      <c r="P47" s="207"/>
      <c r="Q47" s="207"/>
      <c r="R47" s="207"/>
      <c r="S47" s="207"/>
      <c r="T47" s="207"/>
      <c r="U47" s="207"/>
      <c r="V47" s="207"/>
      <c r="W47" s="207"/>
      <c r="X47" s="207"/>
      <c r="Y47" s="207"/>
      <c r="Z47" s="207"/>
      <c r="AA47" s="207"/>
      <c r="AB47" s="207"/>
      <c r="AC47" s="207"/>
      <c r="AD47" s="207"/>
      <c r="AE47" s="207"/>
      <c r="AF47" s="207"/>
      <c r="AG47" s="232"/>
    </row>
    <row r="48" spans="2:33" s="193" customFormat="1" ht="15" customHeight="1">
      <c r="B48" s="187" t="s">
        <v>379</v>
      </c>
      <c r="C48" s="241"/>
      <c r="D48" s="230"/>
      <c r="E48" s="230"/>
      <c r="F48" s="206"/>
      <c r="G48" s="233"/>
      <c r="H48" s="233"/>
      <c r="I48" s="231"/>
      <c r="J48" s="231"/>
      <c r="K48" s="206"/>
      <c r="L48" s="206"/>
      <c r="M48" s="206"/>
      <c r="N48" s="207"/>
      <c r="O48" s="207"/>
      <c r="P48" s="207"/>
      <c r="Q48" s="207"/>
      <c r="R48" s="207"/>
      <c r="S48" s="207"/>
      <c r="T48" s="207"/>
      <c r="U48" s="207"/>
      <c r="V48" s="207"/>
      <c r="W48" s="207"/>
      <c r="X48" s="207"/>
      <c r="Y48" s="207"/>
      <c r="Z48" s="207"/>
      <c r="AA48" s="207"/>
      <c r="AB48" s="207"/>
      <c r="AC48" s="207"/>
      <c r="AD48" s="207"/>
      <c r="AE48" s="207"/>
      <c r="AF48" s="207"/>
      <c r="AG48" s="232"/>
    </row>
    <row r="49" spans="2:33" s="193" customFormat="1" ht="15" customHeight="1">
      <c r="B49" s="224" t="s">
        <v>148</v>
      </c>
      <c r="C49" s="225" t="s">
        <v>65</v>
      </c>
      <c r="D49" s="226"/>
      <c r="E49" s="226"/>
      <c r="F49" s="234"/>
      <c r="G49" s="227"/>
      <c r="H49" s="227"/>
      <c r="I49" s="227"/>
      <c r="J49" s="234"/>
      <c r="K49" s="234"/>
      <c r="L49" s="234"/>
      <c r="M49" s="234"/>
      <c r="N49" s="235"/>
      <c r="O49" s="235"/>
      <c r="P49" s="235"/>
      <c r="Q49" s="235"/>
      <c r="R49" s="235"/>
      <c r="S49" s="235"/>
      <c r="T49" s="235"/>
      <c r="U49" s="235"/>
      <c r="V49" s="235"/>
      <c r="W49" s="235"/>
      <c r="X49" s="235"/>
      <c r="Y49" s="235"/>
      <c r="Z49" s="235"/>
      <c r="AA49" s="235"/>
      <c r="AB49" s="235"/>
      <c r="AC49" s="235"/>
      <c r="AD49" s="235"/>
      <c r="AE49" s="235"/>
      <c r="AF49" s="235"/>
      <c r="AG49" s="239">
        <f>SUM(AG50:AG52)</f>
        <v>0</v>
      </c>
    </row>
    <row r="50" spans="2:33" s="193" customFormat="1" ht="15" customHeight="1">
      <c r="B50" s="187" t="s">
        <v>283</v>
      </c>
      <c r="C50" s="249" t="s">
        <v>66</v>
      </c>
      <c r="D50" s="230"/>
      <c r="E50" s="230"/>
      <c r="F50" s="206"/>
      <c r="G50" s="233"/>
      <c r="H50" s="233"/>
      <c r="I50" s="206"/>
      <c r="J50" s="206"/>
      <c r="K50" s="206"/>
      <c r="L50" s="206"/>
      <c r="M50" s="206"/>
      <c r="N50" s="207"/>
      <c r="O50" s="207"/>
      <c r="P50" s="207"/>
      <c r="Q50" s="207"/>
      <c r="R50" s="207"/>
      <c r="S50" s="207"/>
      <c r="T50" s="207"/>
      <c r="U50" s="207"/>
      <c r="V50" s="207"/>
      <c r="W50" s="207"/>
      <c r="X50" s="207"/>
      <c r="Y50" s="207"/>
      <c r="Z50" s="207"/>
      <c r="AA50" s="207"/>
      <c r="AB50" s="207"/>
      <c r="AC50" s="207"/>
      <c r="AD50" s="207"/>
      <c r="AE50" s="207"/>
      <c r="AF50" s="207"/>
      <c r="AG50" s="232"/>
    </row>
    <row r="51" spans="2:33" s="193" customFormat="1" ht="15" customHeight="1">
      <c r="B51" s="187" t="s">
        <v>284</v>
      </c>
      <c r="C51" s="249" t="s">
        <v>67</v>
      </c>
      <c r="D51" s="230"/>
      <c r="E51" s="230"/>
      <c r="F51" s="206"/>
      <c r="G51" s="233"/>
      <c r="H51" s="233"/>
      <c r="I51" s="206"/>
      <c r="J51" s="206"/>
      <c r="K51" s="206"/>
      <c r="L51" s="206"/>
      <c r="M51" s="206"/>
      <c r="N51" s="207"/>
      <c r="O51" s="207"/>
      <c r="P51" s="207"/>
      <c r="Q51" s="207"/>
      <c r="R51" s="207"/>
      <c r="S51" s="207"/>
      <c r="T51" s="207"/>
      <c r="U51" s="207"/>
      <c r="V51" s="207"/>
      <c r="W51" s="207"/>
      <c r="X51" s="207"/>
      <c r="Y51" s="207"/>
      <c r="Z51" s="207"/>
      <c r="AA51" s="207"/>
      <c r="AB51" s="207"/>
      <c r="AC51" s="207"/>
      <c r="AD51" s="207"/>
      <c r="AE51" s="207"/>
      <c r="AF51" s="207"/>
      <c r="AG51" s="232"/>
    </row>
    <row r="52" spans="2:33" s="238" customFormat="1" ht="24.75" customHeight="1">
      <c r="B52" s="187" t="s">
        <v>358</v>
      </c>
      <c r="C52" s="250" t="s">
        <v>68</v>
      </c>
      <c r="D52" s="230"/>
      <c r="E52" s="230"/>
      <c r="F52" s="206"/>
      <c r="G52" s="233"/>
      <c r="H52" s="233"/>
      <c r="I52" s="206"/>
      <c r="J52" s="206"/>
      <c r="K52" s="206"/>
      <c r="L52" s="206"/>
      <c r="M52" s="206"/>
      <c r="N52" s="207"/>
      <c r="O52" s="207"/>
      <c r="P52" s="207"/>
      <c r="Q52" s="207"/>
      <c r="R52" s="207"/>
      <c r="S52" s="207"/>
      <c r="T52" s="207"/>
      <c r="U52" s="207"/>
      <c r="V52" s="207"/>
      <c r="W52" s="207"/>
      <c r="X52" s="207"/>
      <c r="Y52" s="207"/>
      <c r="Z52" s="207"/>
      <c r="AA52" s="207"/>
      <c r="AB52" s="207"/>
      <c r="AC52" s="207"/>
      <c r="AD52" s="207"/>
      <c r="AE52" s="207"/>
      <c r="AF52" s="207"/>
      <c r="AG52" s="232"/>
    </row>
    <row r="53" spans="2:33" s="193" customFormat="1" ht="15" customHeight="1">
      <c r="B53" s="224" t="s">
        <v>149</v>
      </c>
      <c r="C53" s="225" t="s">
        <v>69</v>
      </c>
      <c r="D53" s="226"/>
      <c r="E53" s="226"/>
      <c r="F53" s="234"/>
      <c r="G53" s="227"/>
      <c r="H53" s="227"/>
      <c r="I53" s="227"/>
      <c r="J53" s="234"/>
      <c r="K53" s="234"/>
      <c r="L53" s="234"/>
      <c r="M53" s="234"/>
      <c r="N53" s="235"/>
      <c r="O53" s="235"/>
      <c r="P53" s="235"/>
      <c r="Q53" s="235"/>
      <c r="R53" s="235"/>
      <c r="S53" s="235"/>
      <c r="T53" s="235"/>
      <c r="U53" s="235"/>
      <c r="V53" s="235"/>
      <c r="W53" s="235"/>
      <c r="X53" s="235"/>
      <c r="Y53" s="235"/>
      <c r="Z53" s="235"/>
      <c r="AA53" s="235"/>
      <c r="AB53" s="235"/>
      <c r="AC53" s="235"/>
      <c r="AD53" s="235"/>
      <c r="AE53" s="235"/>
      <c r="AF53" s="235"/>
      <c r="AG53" s="239">
        <f>SUM(AG54:AG54)</f>
        <v>0</v>
      </c>
    </row>
    <row r="54" spans="2:33" s="193" customFormat="1" ht="15" customHeight="1">
      <c r="B54" s="187" t="s">
        <v>328</v>
      </c>
      <c r="C54" s="250" t="s">
        <v>354</v>
      </c>
      <c r="D54" s="230"/>
      <c r="E54" s="230"/>
      <c r="F54" s="206"/>
      <c r="G54" s="233"/>
      <c r="H54" s="233"/>
      <c r="I54" s="206"/>
      <c r="J54" s="206"/>
      <c r="K54" s="206"/>
      <c r="L54" s="206"/>
      <c r="M54" s="206"/>
      <c r="N54" s="207"/>
      <c r="O54" s="207"/>
      <c r="P54" s="207"/>
      <c r="Q54" s="207"/>
      <c r="R54" s="207"/>
      <c r="S54" s="207"/>
      <c r="T54" s="207"/>
      <c r="U54" s="207"/>
      <c r="V54" s="207"/>
      <c r="W54" s="207"/>
      <c r="X54" s="207"/>
      <c r="Y54" s="207"/>
      <c r="Z54" s="207"/>
      <c r="AA54" s="207"/>
      <c r="AB54" s="207"/>
      <c r="AC54" s="207"/>
      <c r="AD54" s="207"/>
      <c r="AE54" s="207"/>
      <c r="AF54" s="207"/>
      <c r="AG54" s="232"/>
    </row>
    <row r="55" spans="2:33" s="193" customFormat="1" ht="45" customHeight="1">
      <c r="B55" s="251">
        <v>2</v>
      </c>
      <c r="C55" s="252" t="s">
        <v>363</v>
      </c>
      <c r="D55" s="253"/>
      <c r="E55" s="254"/>
      <c r="F55" s="255"/>
      <c r="G55" s="256"/>
      <c r="H55" s="256"/>
      <c r="I55" s="256"/>
      <c r="J55" s="256"/>
      <c r="K55" s="256"/>
      <c r="L55" s="256"/>
      <c r="M55" s="256"/>
      <c r="N55" s="256"/>
      <c r="O55" s="257"/>
      <c r="P55" s="256"/>
      <c r="Q55" s="256"/>
      <c r="R55" s="256"/>
      <c r="S55" s="256"/>
      <c r="T55" s="256"/>
      <c r="U55" s="256"/>
      <c r="V55" s="256"/>
      <c r="W55" s="256"/>
      <c r="X55" s="256"/>
      <c r="Y55" s="256"/>
      <c r="Z55" s="256"/>
      <c r="AA55" s="256"/>
      <c r="AB55" s="256"/>
      <c r="AC55" s="256"/>
      <c r="AD55" s="256"/>
      <c r="AE55" s="256"/>
      <c r="AF55" s="256"/>
      <c r="AG55" s="258" t="s">
        <v>236</v>
      </c>
    </row>
    <row r="56" spans="2:33" s="193" customFormat="1" ht="15" customHeight="1">
      <c r="B56" s="187" t="s">
        <v>129</v>
      </c>
      <c r="C56" s="203" t="s">
        <v>58</v>
      </c>
      <c r="D56" s="189"/>
      <c r="E56" s="190"/>
      <c r="F56" s="211"/>
      <c r="G56" s="207"/>
      <c r="H56" s="207"/>
      <c r="I56" s="207"/>
      <c r="J56" s="207"/>
      <c r="K56" s="207"/>
      <c r="L56" s="207"/>
      <c r="M56" s="207"/>
      <c r="N56" s="207"/>
      <c r="O56" s="207"/>
      <c r="P56" s="231"/>
      <c r="Q56" s="231"/>
      <c r="R56" s="231"/>
      <c r="S56" s="231"/>
      <c r="T56" s="231"/>
      <c r="U56" s="231"/>
      <c r="V56" s="231"/>
      <c r="W56" s="231"/>
      <c r="X56" s="231"/>
      <c r="Y56" s="231"/>
      <c r="Z56" s="231"/>
      <c r="AA56" s="231"/>
      <c r="AB56" s="231"/>
      <c r="AC56" s="231"/>
      <c r="AD56" s="207"/>
      <c r="AE56" s="207"/>
      <c r="AF56" s="207"/>
      <c r="AG56" s="207"/>
    </row>
    <row r="57" spans="2:33" s="193" customFormat="1" ht="15" customHeight="1">
      <c r="B57" s="187" t="s">
        <v>150</v>
      </c>
      <c r="C57" s="203" t="s">
        <v>59</v>
      </c>
      <c r="D57" s="189"/>
      <c r="E57" s="190"/>
      <c r="F57" s="211"/>
      <c r="G57" s="207"/>
      <c r="H57" s="207"/>
      <c r="I57" s="207"/>
      <c r="J57" s="207"/>
      <c r="K57" s="207"/>
      <c r="L57" s="207"/>
      <c r="M57" s="207"/>
      <c r="N57" s="207"/>
      <c r="O57" s="207"/>
      <c r="P57" s="231"/>
      <c r="Q57" s="231"/>
      <c r="R57" s="231"/>
      <c r="S57" s="231"/>
      <c r="T57" s="231"/>
      <c r="U57" s="231"/>
      <c r="V57" s="231"/>
      <c r="W57" s="231"/>
      <c r="X57" s="231"/>
      <c r="Y57" s="231"/>
      <c r="Z57" s="231"/>
      <c r="AA57" s="231"/>
      <c r="AB57" s="231"/>
      <c r="AC57" s="231"/>
      <c r="AD57" s="207"/>
      <c r="AE57" s="207"/>
      <c r="AF57" s="207"/>
      <c r="AG57" s="207"/>
    </row>
    <row r="58" spans="2:33" s="193" customFormat="1" ht="15" customHeight="1">
      <c r="B58" s="187" t="s">
        <v>151</v>
      </c>
      <c r="C58" s="203" t="s">
        <v>60</v>
      </c>
      <c r="D58" s="189"/>
      <c r="E58" s="190"/>
      <c r="F58" s="211"/>
      <c r="G58" s="207"/>
      <c r="H58" s="207"/>
      <c r="I58" s="207"/>
      <c r="J58" s="207"/>
      <c r="K58" s="207"/>
      <c r="L58" s="207"/>
      <c r="M58" s="207"/>
      <c r="N58" s="207"/>
      <c r="O58" s="207"/>
      <c r="P58" s="231"/>
      <c r="Q58" s="231"/>
      <c r="R58" s="231"/>
      <c r="S58" s="231"/>
      <c r="T58" s="231"/>
      <c r="U58" s="231"/>
      <c r="V58" s="231"/>
      <c r="W58" s="231"/>
      <c r="X58" s="231"/>
      <c r="Y58" s="231"/>
      <c r="Z58" s="231"/>
      <c r="AA58" s="231"/>
      <c r="AB58" s="231"/>
      <c r="AC58" s="231"/>
      <c r="AD58" s="207"/>
      <c r="AE58" s="207"/>
      <c r="AF58" s="207"/>
      <c r="AG58" s="207"/>
    </row>
    <row r="59" spans="2:33" s="193" customFormat="1" ht="15" customHeight="1">
      <c r="B59" s="187" t="s">
        <v>329</v>
      </c>
      <c r="C59" s="203" t="s">
        <v>78</v>
      </c>
      <c r="D59" s="189"/>
      <c r="E59" s="190"/>
      <c r="F59" s="211"/>
      <c r="G59" s="207"/>
      <c r="H59" s="207"/>
      <c r="I59" s="207"/>
      <c r="J59" s="207"/>
      <c r="K59" s="207"/>
      <c r="L59" s="207"/>
      <c r="M59" s="207"/>
      <c r="N59" s="207"/>
      <c r="O59" s="207"/>
      <c r="P59" s="231"/>
      <c r="Q59" s="231"/>
      <c r="R59" s="231"/>
      <c r="S59" s="231"/>
      <c r="T59" s="231"/>
      <c r="U59" s="231"/>
      <c r="V59" s="231"/>
      <c r="W59" s="231"/>
      <c r="X59" s="231"/>
      <c r="Y59" s="231"/>
      <c r="Z59" s="231"/>
      <c r="AA59" s="231"/>
      <c r="AB59" s="231"/>
      <c r="AC59" s="231"/>
      <c r="AD59" s="207"/>
      <c r="AE59" s="207"/>
      <c r="AF59" s="207"/>
      <c r="AG59" s="207"/>
    </row>
    <row r="60" spans="2:33" s="193" customFormat="1" ht="15" customHeight="1">
      <c r="B60" s="187" t="s">
        <v>330</v>
      </c>
      <c r="C60" s="203" t="s">
        <v>79</v>
      </c>
      <c r="D60" s="189"/>
      <c r="E60" s="190"/>
      <c r="F60" s="211"/>
      <c r="G60" s="207"/>
      <c r="H60" s="207"/>
      <c r="I60" s="207"/>
      <c r="J60" s="207"/>
      <c r="K60" s="207"/>
      <c r="L60" s="207"/>
      <c r="M60" s="207"/>
      <c r="N60" s="207"/>
      <c r="O60" s="207"/>
      <c r="P60" s="231"/>
      <c r="Q60" s="231"/>
      <c r="R60" s="231"/>
      <c r="S60" s="231"/>
      <c r="T60" s="231"/>
      <c r="U60" s="231"/>
      <c r="V60" s="231"/>
      <c r="W60" s="231"/>
      <c r="X60" s="231"/>
      <c r="Y60" s="231"/>
      <c r="Z60" s="231"/>
      <c r="AA60" s="231"/>
      <c r="AB60" s="231"/>
      <c r="AC60" s="231"/>
      <c r="AD60" s="207"/>
      <c r="AE60" s="207"/>
      <c r="AF60" s="207"/>
      <c r="AG60" s="207"/>
    </row>
    <row r="61" spans="2:33" s="193" customFormat="1" ht="15" customHeight="1">
      <c r="B61" s="187" t="s">
        <v>331</v>
      </c>
      <c r="C61" s="203" t="s">
        <v>80</v>
      </c>
      <c r="D61" s="189"/>
      <c r="E61" s="190"/>
      <c r="F61" s="211"/>
      <c r="G61" s="207"/>
      <c r="H61" s="207"/>
      <c r="I61" s="207"/>
      <c r="J61" s="207"/>
      <c r="K61" s="207"/>
      <c r="L61" s="207"/>
      <c r="M61" s="207"/>
      <c r="N61" s="207"/>
      <c r="O61" s="207"/>
      <c r="P61" s="231"/>
      <c r="Q61" s="231"/>
      <c r="R61" s="231"/>
      <c r="S61" s="231"/>
      <c r="T61" s="231"/>
      <c r="U61" s="231"/>
      <c r="V61" s="231"/>
      <c r="W61" s="231"/>
      <c r="X61" s="231"/>
      <c r="Y61" s="231"/>
      <c r="Z61" s="231"/>
      <c r="AA61" s="231"/>
      <c r="AB61" s="231"/>
      <c r="AC61" s="231"/>
      <c r="AD61" s="207"/>
      <c r="AE61" s="207"/>
      <c r="AF61" s="207"/>
      <c r="AG61" s="207"/>
    </row>
    <row r="62" spans="2:33" s="193" customFormat="1" ht="15" customHeight="1">
      <c r="B62" s="187" t="s">
        <v>332</v>
      </c>
      <c r="C62" s="203" t="s">
        <v>81</v>
      </c>
      <c r="D62" s="189"/>
      <c r="E62" s="190"/>
      <c r="F62" s="211"/>
      <c r="G62" s="207"/>
      <c r="H62" s="207"/>
      <c r="I62" s="207"/>
      <c r="J62" s="207"/>
      <c r="K62" s="207"/>
      <c r="L62" s="207"/>
      <c r="M62" s="207"/>
      <c r="N62" s="207"/>
      <c r="O62" s="207"/>
      <c r="P62" s="231"/>
      <c r="Q62" s="231"/>
      <c r="R62" s="231"/>
      <c r="S62" s="231"/>
      <c r="T62" s="231"/>
      <c r="U62" s="231"/>
      <c r="V62" s="231"/>
      <c r="W62" s="231"/>
      <c r="X62" s="231"/>
      <c r="Y62" s="231"/>
      <c r="Z62" s="231"/>
      <c r="AA62" s="231"/>
      <c r="AB62" s="231"/>
      <c r="AC62" s="231"/>
      <c r="AD62" s="207"/>
      <c r="AE62" s="207"/>
      <c r="AF62" s="207"/>
      <c r="AG62" s="207"/>
    </row>
    <row r="63" spans="2:33" s="193" customFormat="1" ht="15" customHeight="1">
      <c r="B63" s="187" t="s">
        <v>333</v>
      </c>
      <c r="C63" s="203" t="s">
        <v>82</v>
      </c>
      <c r="D63" s="189"/>
      <c r="E63" s="190"/>
      <c r="F63" s="211"/>
      <c r="G63" s="207"/>
      <c r="H63" s="207"/>
      <c r="I63" s="207"/>
      <c r="J63" s="207"/>
      <c r="K63" s="207"/>
      <c r="L63" s="207"/>
      <c r="M63" s="207"/>
      <c r="N63" s="207"/>
      <c r="O63" s="207"/>
      <c r="P63" s="231"/>
      <c r="Q63" s="231"/>
      <c r="R63" s="231"/>
      <c r="S63" s="231"/>
      <c r="T63" s="231"/>
      <c r="U63" s="231"/>
      <c r="V63" s="231"/>
      <c r="W63" s="231"/>
      <c r="X63" s="231"/>
      <c r="Y63" s="231"/>
      <c r="Z63" s="231"/>
      <c r="AA63" s="231"/>
      <c r="AB63" s="231"/>
      <c r="AC63" s="231"/>
      <c r="AD63" s="207"/>
      <c r="AE63" s="207"/>
      <c r="AF63" s="207"/>
      <c r="AG63" s="207"/>
    </row>
    <row r="64" spans="2:33" s="193" customFormat="1" ht="15" customHeight="1">
      <c r="B64" s="187" t="s">
        <v>334</v>
      </c>
      <c r="C64" s="203" t="s">
        <v>83</v>
      </c>
      <c r="D64" s="189"/>
      <c r="E64" s="190"/>
      <c r="F64" s="211"/>
      <c r="G64" s="207"/>
      <c r="H64" s="207"/>
      <c r="I64" s="207"/>
      <c r="J64" s="207"/>
      <c r="K64" s="207"/>
      <c r="L64" s="207"/>
      <c r="M64" s="207"/>
      <c r="N64" s="207"/>
      <c r="O64" s="207"/>
      <c r="P64" s="231"/>
      <c r="Q64" s="231"/>
      <c r="R64" s="231"/>
      <c r="S64" s="231"/>
      <c r="T64" s="231"/>
      <c r="U64" s="231"/>
      <c r="V64" s="231"/>
      <c r="W64" s="231"/>
      <c r="X64" s="231"/>
      <c r="Y64" s="231"/>
      <c r="Z64" s="231"/>
      <c r="AA64" s="231"/>
      <c r="AB64" s="231"/>
      <c r="AC64" s="231"/>
      <c r="AD64" s="207"/>
      <c r="AE64" s="207"/>
      <c r="AF64" s="207"/>
      <c r="AG64" s="207"/>
    </row>
    <row r="65" spans="2:33" s="193" customFormat="1" ht="15" customHeight="1">
      <c r="B65" s="187" t="s">
        <v>335</v>
      </c>
      <c r="C65" s="203" t="s">
        <v>84</v>
      </c>
      <c r="D65" s="189"/>
      <c r="E65" s="190"/>
      <c r="F65" s="211"/>
      <c r="G65" s="207"/>
      <c r="H65" s="207"/>
      <c r="I65" s="207"/>
      <c r="J65" s="207"/>
      <c r="K65" s="207"/>
      <c r="L65" s="207"/>
      <c r="M65" s="207"/>
      <c r="N65" s="207"/>
      <c r="O65" s="207"/>
      <c r="P65" s="231"/>
      <c r="Q65" s="231"/>
      <c r="R65" s="231"/>
      <c r="S65" s="231"/>
      <c r="T65" s="231"/>
      <c r="U65" s="231"/>
      <c r="V65" s="231"/>
      <c r="W65" s="231"/>
      <c r="X65" s="231"/>
      <c r="Y65" s="231"/>
      <c r="Z65" s="231"/>
      <c r="AA65" s="231"/>
      <c r="AB65" s="231"/>
      <c r="AC65" s="231"/>
      <c r="AD65" s="207"/>
      <c r="AE65" s="207"/>
      <c r="AF65" s="207"/>
      <c r="AG65" s="207"/>
    </row>
    <row r="66" spans="2:33" s="193" customFormat="1" ht="15" customHeight="1">
      <c r="B66" s="187" t="s">
        <v>336</v>
      </c>
      <c r="C66" s="203" t="s">
        <v>85</v>
      </c>
      <c r="D66" s="189"/>
      <c r="E66" s="190"/>
      <c r="F66" s="211"/>
      <c r="G66" s="207"/>
      <c r="H66" s="207"/>
      <c r="I66" s="207"/>
      <c r="J66" s="207"/>
      <c r="K66" s="207"/>
      <c r="L66" s="207"/>
      <c r="M66" s="207"/>
      <c r="N66" s="207"/>
      <c r="O66" s="207"/>
      <c r="P66" s="231"/>
      <c r="Q66" s="231"/>
      <c r="R66" s="231"/>
      <c r="S66" s="231"/>
      <c r="T66" s="231"/>
      <c r="U66" s="231"/>
      <c r="V66" s="231"/>
      <c r="W66" s="231"/>
      <c r="X66" s="231"/>
      <c r="Y66" s="231"/>
      <c r="Z66" s="231"/>
      <c r="AA66" s="231"/>
      <c r="AB66" s="231"/>
      <c r="AC66" s="231"/>
      <c r="AD66" s="207"/>
      <c r="AE66" s="207"/>
      <c r="AF66" s="207"/>
      <c r="AG66" s="207"/>
    </row>
    <row r="67" spans="2:33" s="193" customFormat="1" ht="15" customHeight="1">
      <c r="B67" s="187" t="s">
        <v>337</v>
      </c>
      <c r="C67" s="203" t="s">
        <v>86</v>
      </c>
      <c r="D67" s="189"/>
      <c r="E67" s="190"/>
      <c r="F67" s="211"/>
      <c r="G67" s="207"/>
      <c r="H67" s="207"/>
      <c r="I67" s="207"/>
      <c r="J67" s="207"/>
      <c r="K67" s="207"/>
      <c r="L67" s="207"/>
      <c r="M67" s="207"/>
      <c r="N67" s="207"/>
      <c r="O67" s="207"/>
      <c r="P67" s="231"/>
      <c r="Q67" s="231"/>
      <c r="R67" s="231"/>
      <c r="S67" s="231"/>
      <c r="T67" s="231"/>
      <c r="U67" s="231"/>
      <c r="V67" s="231"/>
      <c r="W67" s="231"/>
      <c r="X67" s="231"/>
      <c r="Y67" s="231"/>
      <c r="Z67" s="231"/>
      <c r="AA67" s="231"/>
      <c r="AB67" s="231"/>
      <c r="AC67" s="231"/>
      <c r="AD67" s="207"/>
      <c r="AE67" s="207"/>
      <c r="AF67" s="207"/>
      <c r="AG67" s="207"/>
    </row>
    <row r="68" spans="2:33" s="193" customFormat="1" ht="15" customHeight="1">
      <c r="B68" s="187" t="s">
        <v>338</v>
      </c>
      <c r="C68" s="203" t="s">
        <v>87</v>
      </c>
      <c r="D68" s="189"/>
      <c r="E68" s="190"/>
      <c r="F68" s="211"/>
      <c r="G68" s="207"/>
      <c r="H68" s="207"/>
      <c r="I68" s="207"/>
      <c r="J68" s="207"/>
      <c r="K68" s="207"/>
      <c r="L68" s="207"/>
      <c r="M68" s="207"/>
      <c r="N68" s="207"/>
      <c r="O68" s="207"/>
      <c r="P68" s="231"/>
      <c r="Q68" s="231"/>
      <c r="R68" s="231"/>
      <c r="S68" s="231"/>
      <c r="T68" s="231"/>
      <c r="U68" s="231"/>
      <c r="V68" s="231"/>
      <c r="W68" s="231"/>
      <c r="X68" s="231"/>
      <c r="Y68" s="231"/>
      <c r="Z68" s="231"/>
      <c r="AA68" s="231"/>
      <c r="AB68" s="231"/>
      <c r="AC68" s="231"/>
      <c r="AD68" s="207"/>
      <c r="AE68" s="207"/>
      <c r="AF68" s="207"/>
      <c r="AG68" s="207"/>
    </row>
    <row r="69" spans="2:33" s="193" customFormat="1" ht="15" customHeight="1">
      <c r="B69" s="187" t="s">
        <v>339</v>
      </c>
      <c r="C69" s="203" t="s">
        <v>88</v>
      </c>
      <c r="D69" s="189"/>
      <c r="E69" s="190"/>
      <c r="F69" s="211"/>
      <c r="G69" s="207"/>
      <c r="H69" s="207"/>
      <c r="I69" s="207"/>
      <c r="J69" s="207"/>
      <c r="K69" s="207"/>
      <c r="L69" s="207"/>
      <c r="M69" s="207"/>
      <c r="N69" s="207"/>
      <c r="O69" s="207"/>
      <c r="P69" s="231"/>
      <c r="Q69" s="231"/>
      <c r="R69" s="231"/>
      <c r="S69" s="231"/>
      <c r="T69" s="231"/>
      <c r="U69" s="231"/>
      <c r="V69" s="231"/>
      <c r="W69" s="231"/>
      <c r="X69" s="231"/>
      <c r="Y69" s="231"/>
      <c r="Z69" s="231"/>
      <c r="AA69" s="231"/>
      <c r="AB69" s="231"/>
      <c r="AC69" s="231"/>
      <c r="AD69" s="207"/>
      <c r="AE69" s="207"/>
      <c r="AF69" s="207"/>
      <c r="AG69" s="207"/>
    </row>
    <row r="70" spans="2:33" s="193" customFormat="1" ht="15" customHeight="1" thickBot="1">
      <c r="B70" s="187" t="s">
        <v>340</v>
      </c>
      <c r="C70" s="259" t="s">
        <v>89</v>
      </c>
      <c r="D70" s="260"/>
      <c r="E70" s="261"/>
      <c r="F70" s="262"/>
      <c r="G70" s="263"/>
      <c r="H70" s="263"/>
      <c r="I70" s="263"/>
      <c r="J70" s="263"/>
      <c r="K70" s="263"/>
      <c r="L70" s="263"/>
      <c r="M70" s="263"/>
      <c r="N70" s="263"/>
      <c r="O70" s="263"/>
      <c r="P70" s="264"/>
      <c r="Q70" s="264"/>
      <c r="R70" s="264"/>
      <c r="S70" s="264"/>
      <c r="T70" s="264"/>
      <c r="U70" s="264"/>
      <c r="V70" s="264"/>
      <c r="W70" s="264"/>
      <c r="X70" s="264"/>
      <c r="Y70" s="264"/>
      <c r="Z70" s="264"/>
      <c r="AA70" s="264"/>
      <c r="AB70" s="264"/>
      <c r="AC70" s="264"/>
      <c r="AD70" s="263"/>
      <c r="AE70" s="263"/>
      <c r="AF70" s="263"/>
      <c r="AG70" s="263"/>
    </row>
    <row r="71" spans="2:33" s="193" customFormat="1" ht="42.75" customHeight="1">
      <c r="B71" s="218">
        <v>3</v>
      </c>
      <c r="C71" s="265" t="s">
        <v>364</v>
      </c>
      <c r="D71" s="266"/>
      <c r="E71" s="267"/>
      <c r="F71" s="268"/>
      <c r="G71" s="222"/>
      <c r="H71" s="222"/>
      <c r="I71" s="222"/>
      <c r="J71" s="222"/>
      <c r="K71" s="222"/>
      <c r="L71" s="222"/>
      <c r="M71" s="222"/>
      <c r="N71" s="222"/>
      <c r="O71" s="222"/>
      <c r="P71" s="222"/>
      <c r="Q71" s="222"/>
      <c r="R71" s="222"/>
      <c r="S71" s="222"/>
      <c r="T71" s="222"/>
      <c r="U71" s="222"/>
      <c r="V71" s="222"/>
      <c r="W71" s="222"/>
      <c r="X71" s="222"/>
      <c r="Y71" s="222"/>
      <c r="Z71" s="222"/>
      <c r="AA71" s="222"/>
      <c r="AB71" s="222"/>
      <c r="AC71" s="222"/>
      <c r="AD71" s="222"/>
      <c r="AE71" s="222"/>
      <c r="AF71" s="222"/>
      <c r="AG71" s="269" t="s">
        <v>236</v>
      </c>
    </row>
    <row r="72" spans="2:33" s="238" customFormat="1" ht="19.5" customHeight="1">
      <c r="B72" s="224" t="s">
        <v>130</v>
      </c>
      <c r="C72" s="270" t="s">
        <v>157</v>
      </c>
      <c r="D72" s="271"/>
      <c r="E72" s="272"/>
      <c r="F72" s="273"/>
      <c r="G72" s="235"/>
      <c r="H72" s="235"/>
      <c r="I72" s="235"/>
      <c r="J72" s="235"/>
      <c r="K72" s="235"/>
      <c r="L72" s="235"/>
      <c r="M72" s="235"/>
      <c r="N72" s="235"/>
      <c r="O72" s="235"/>
      <c r="P72" s="235"/>
      <c r="Q72" s="235"/>
      <c r="R72" s="235"/>
      <c r="S72" s="235"/>
      <c r="T72" s="235"/>
      <c r="U72" s="235"/>
      <c r="V72" s="235"/>
      <c r="W72" s="235"/>
      <c r="X72" s="235"/>
      <c r="Y72" s="235"/>
      <c r="Z72" s="235"/>
      <c r="AA72" s="235"/>
      <c r="AB72" s="235"/>
      <c r="AC72" s="235"/>
      <c r="AD72" s="235"/>
      <c r="AE72" s="235"/>
      <c r="AF72" s="235"/>
      <c r="AG72" s="274"/>
    </row>
    <row r="73" spans="2:33" s="238" customFormat="1" ht="15" customHeight="1">
      <c r="B73" s="187"/>
      <c r="C73" s="275"/>
      <c r="D73" s="189"/>
      <c r="E73" s="190"/>
      <c r="F73" s="211"/>
      <c r="G73" s="207"/>
      <c r="H73" s="207"/>
      <c r="I73" s="207"/>
      <c r="J73" s="207"/>
      <c r="K73" s="207"/>
      <c r="L73" s="207"/>
      <c r="M73" s="207"/>
      <c r="N73" s="207"/>
      <c r="O73" s="207"/>
      <c r="P73" s="207"/>
      <c r="Q73" s="207"/>
      <c r="R73" s="207"/>
      <c r="S73" s="207"/>
      <c r="T73" s="207"/>
      <c r="U73" s="207"/>
      <c r="V73" s="207"/>
      <c r="W73" s="207"/>
      <c r="X73" s="207"/>
      <c r="Y73" s="207"/>
      <c r="Z73" s="207"/>
      <c r="AA73" s="207"/>
      <c r="AB73" s="207"/>
      <c r="AC73" s="207"/>
      <c r="AD73" s="207"/>
      <c r="AE73" s="207"/>
      <c r="AF73" s="207"/>
      <c r="AG73" s="194"/>
    </row>
    <row r="74" spans="2:33" s="238" customFormat="1" ht="23.25" customHeight="1">
      <c r="B74" s="224" t="s">
        <v>152</v>
      </c>
      <c r="C74" s="270" t="s">
        <v>159</v>
      </c>
      <c r="D74" s="271"/>
      <c r="E74" s="272"/>
      <c r="F74" s="273"/>
      <c r="G74" s="235"/>
      <c r="H74" s="235"/>
      <c r="I74" s="235"/>
      <c r="J74" s="235"/>
      <c r="K74" s="235"/>
      <c r="L74" s="235"/>
      <c r="M74" s="235"/>
      <c r="N74" s="235"/>
      <c r="O74" s="235"/>
      <c r="P74" s="235"/>
      <c r="Q74" s="235"/>
      <c r="R74" s="235"/>
      <c r="S74" s="235"/>
      <c r="T74" s="235"/>
      <c r="U74" s="235"/>
      <c r="V74" s="235"/>
      <c r="W74" s="235"/>
      <c r="X74" s="235"/>
      <c r="Y74" s="235"/>
      <c r="Z74" s="235"/>
      <c r="AA74" s="235"/>
      <c r="AB74" s="235"/>
      <c r="AC74" s="235"/>
      <c r="AD74" s="235"/>
      <c r="AE74" s="235"/>
      <c r="AF74" s="235"/>
      <c r="AG74" s="274"/>
    </row>
    <row r="75" spans="2:33" s="238" customFormat="1" ht="15" customHeight="1">
      <c r="B75" s="187"/>
      <c r="C75" s="275"/>
      <c r="D75" s="189"/>
      <c r="E75" s="190"/>
      <c r="F75" s="211"/>
      <c r="G75" s="207"/>
      <c r="H75" s="207"/>
      <c r="I75" s="207"/>
      <c r="J75" s="207"/>
      <c r="K75" s="207"/>
      <c r="L75" s="207"/>
      <c r="M75" s="207"/>
      <c r="N75" s="207"/>
      <c r="O75" s="207"/>
      <c r="P75" s="207"/>
      <c r="Q75" s="207"/>
      <c r="R75" s="207"/>
      <c r="S75" s="207"/>
      <c r="T75" s="207"/>
      <c r="U75" s="207"/>
      <c r="V75" s="207"/>
      <c r="W75" s="207"/>
      <c r="X75" s="207"/>
      <c r="Y75" s="207"/>
      <c r="Z75" s="207"/>
      <c r="AA75" s="207"/>
      <c r="AB75" s="207"/>
      <c r="AC75" s="207"/>
      <c r="AD75" s="207"/>
      <c r="AE75" s="207"/>
      <c r="AF75" s="207"/>
      <c r="AG75" s="194"/>
    </row>
    <row r="76" spans="2:33" s="238" customFormat="1" ht="21" customHeight="1">
      <c r="B76" s="224" t="s">
        <v>130</v>
      </c>
      <c r="C76" s="270" t="s">
        <v>165</v>
      </c>
      <c r="D76" s="271"/>
      <c r="E76" s="272"/>
      <c r="F76" s="273"/>
      <c r="G76" s="235"/>
      <c r="H76" s="235"/>
      <c r="I76" s="235"/>
      <c r="J76" s="235"/>
      <c r="K76" s="235"/>
      <c r="L76" s="235"/>
      <c r="M76" s="235"/>
      <c r="N76" s="235"/>
      <c r="O76" s="235"/>
      <c r="P76" s="235"/>
      <c r="Q76" s="235"/>
      <c r="R76" s="235"/>
      <c r="S76" s="235"/>
      <c r="T76" s="235"/>
      <c r="U76" s="235"/>
      <c r="V76" s="235"/>
      <c r="W76" s="235"/>
      <c r="X76" s="235"/>
      <c r="Y76" s="235"/>
      <c r="Z76" s="235"/>
      <c r="AA76" s="235"/>
      <c r="AB76" s="235"/>
      <c r="AC76" s="235"/>
      <c r="AD76" s="235"/>
      <c r="AE76" s="235"/>
      <c r="AF76" s="235"/>
      <c r="AG76" s="274"/>
    </row>
    <row r="77" spans="2:33" s="238" customFormat="1" ht="15" customHeight="1" thickBot="1">
      <c r="B77" s="276"/>
      <c r="C77" s="277"/>
      <c r="D77" s="278"/>
      <c r="E77" s="279"/>
      <c r="F77" s="280"/>
      <c r="G77" s="281"/>
      <c r="H77" s="281"/>
      <c r="I77" s="281"/>
      <c r="J77" s="281"/>
      <c r="K77" s="281"/>
      <c r="L77" s="281"/>
      <c r="M77" s="281"/>
      <c r="N77" s="281"/>
      <c r="O77" s="281"/>
      <c r="P77" s="281"/>
      <c r="Q77" s="281"/>
      <c r="R77" s="281"/>
      <c r="S77" s="281"/>
      <c r="T77" s="281"/>
      <c r="U77" s="281"/>
      <c r="V77" s="281"/>
      <c r="W77" s="281"/>
      <c r="X77" s="281"/>
      <c r="Y77" s="281"/>
      <c r="Z77" s="281"/>
      <c r="AA77" s="281"/>
      <c r="AB77" s="281"/>
      <c r="AC77" s="281"/>
      <c r="AD77" s="281"/>
      <c r="AE77" s="281"/>
      <c r="AF77" s="281"/>
      <c r="AG77" s="282"/>
    </row>
    <row r="78" spans="2:33" s="193" customFormat="1" ht="44.25" customHeight="1">
      <c r="B78" s="218">
        <v>4</v>
      </c>
      <c r="C78" s="265" t="s">
        <v>365</v>
      </c>
      <c r="D78" s="266"/>
      <c r="E78" s="267"/>
      <c r="F78" s="283"/>
      <c r="G78" s="221"/>
      <c r="H78" s="221"/>
      <c r="I78" s="221"/>
      <c r="J78" s="221"/>
      <c r="K78" s="221"/>
      <c r="L78" s="221"/>
      <c r="M78" s="221"/>
      <c r="N78" s="221"/>
      <c r="O78" s="221"/>
      <c r="P78" s="221"/>
      <c r="Q78" s="221"/>
      <c r="R78" s="221"/>
      <c r="S78" s="222"/>
      <c r="T78" s="222"/>
      <c r="U78" s="222"/>
      <c r="V78" s="222"/>
      <c r="W78" s="222"/>
      <c r="X78" s="222"/>
      <c r="Y78" s="222"/>
      <c r="Z78" s="222"/>
      <c r="AA78" s="222"/>
      <c r="AB78" s="222"/>
      <c r="AC78" s="222"/>
      <c r="AD78" s="222"/>
      <c r="AE78" s="222"/>
      <c r="AF78" s="222"/>
      <c r="AG78" s="223" t="s">
        <v>236</v>
      </c>
    </row>
    <row r="79" spans="2:33" s="238" customFormat="1" ht="15.75" customHeight="1">
      <c r="B79" s="224" t="s">
        <v>131</v>
      </c>
      <c r="C79" s="284" t="s">
        <v>263</v>
      </c>
      <c r="D79" s="271"/>
      <c r="E79" s="272"/>
      <c r="F79" s="285"/>
      <c r="G79" s="227"/>
      <c r="H79" s="227"/>
      <c r="I79" s="227"/>
      <c r="J79" s="227"/>
      <c r="K79" s="227"/>
      <c r="L79" s="227"/>
      <c r="M79" s="227"/>
      <c r="N79" s="227"/>
      <c r="O79" s="227"/>
      <c r="P79" s="227"/>
      <c r="Q79" s="227"/>
      <c r="R79" s="227"/>
      <c r="S79" s="235"/>
      <c r="T79" s="235"/>
      <c r="U79" s="235"/>
      <c r="V79" s="235"/>
      <c r="W79" s="235"/>
      <c r="X79" s="235"/>
      <c r="Y79" s="235"/>
      <c r="Z79" s="235"/>
      <c r="AA79" s="235"/>
      <c r="AB79" s="235"/>
      <c r="AC79" s="235"/>
      <c r="AD79" s="235"/>
      <c r="AE79" s="235"/>
      <c r="AF79" s="235"/>
      <c r="AG79" s="228"/>
    </row>
    <row r="80" spans="2:33" s="238" customFormat="1" ht="15.75" customHeight="1">
      <c r="B80" s="187" t="s">
        <v>133</v>
      </c>
      <c r="C80" s="286" t="s">
        <v>343</v>
      </c>
      <c r="D80" s="189"/>
      <c r="E80" s="190"/>
      <c r="F80" s="287"/>
      <c r="G80" s="233"/>
      <c r="H80" s="233"/>
      <c r="I80" s="233"/>
      <c r="J80" s="233"/>
      <c r="K80" s="233"/>
      <c r="L80" s="233"/>
      <c r="M80" s="233"/>
      <c r="N80" s="233"/>
      <c r="O80" s="233"/>
      <c r="P80" s="233"/>
      <c r="Q80" s="233"/>
      <c r="R80" s="233"/>
      <c r="S80" s="207"/>
      <c r="T80" s="207"/>
      <c r="U80" s="207"/>
      <c r="V80" s="207"/>
      <c r="W80" s="207"/>
      <c r="X80" s="207"/>
      <c r="Y80" s="207"/>
      <c r="Z80" s="207"/>
      <c r="AA80" s="207"/>
      <c r="AB80" s="207"/>
      <c r="AC80" s="207"/>
      <c r="AD80" s="207"/>
      <c r="AE80" s="207"/>
      <c r="AF80" s="207"/>
      <c r="AG80" s="288"/>
    </row>
    <row r="81" spans="2:33" s="238" customFormat="1" ht="15.75" customHeight="1">
      <c r="B81" s="187" t="s">
        <v>134</v>
      </c>
      <c r="C81" s="289" t="s">
        <v>344</v>
      </c>
      <c r="D81" s="189"/>
      <c r="E81" s="190"/>
      <c r="F81" s="287"/>
      <c r="G81" s="233"/>
      <c r="H81" s="233"/>
      <c r="I81" s="233"/>
      <c r="J81" s="233"/>
      <c r="K81" s="233"/>
      <c r="L81" s="233"/>
      <c r="M81" s="233"/>
      <c r="N81" s="233"/>
      <c r="O81" s="233"/>
      <c r="P81" s="233"/>
      <c r="Q81" s="233"/>
      <c r="R81" s="233"/>
      <c r="S81" s="207"/>
      <c r="T81" s="207"/>
      <c r="U81" s="207"/>
      <c r="V81" s="207"/>
      <c r="W81" s="207"/>
      <c r="X81" s="207"/>
      <c r="Y81" s="207"/>
      <c r="Z81" s="207"/>
      <c r="AA81" s="207"/>
      <c r="AB81" s="207"/>
      <c r="AC81" s="207"/>
      <c r="AD81" s="207"/>
      <c r="AE81" s="207"/>
      <c r="AF81" s="207"/>
      <c r="AG81" s="288"/>
    </row>
    <row r="82" spans="2:33" s="238" customFormat="1" ht="26.25" customHeight="1">
      <c r="B82" s="224" t="s">
        <v>131</v>
      </c>
      <c r="C82" s="284" t="s">
        <v>155</v>
      </c>
      <c r="D82" s="271"/>
      <c r="E82" s="272"/>
      <c r="F82" s="285"/>
      <c r="G82" s="227"/>
      <c r="H82" s="227"/>
      <c r="I82" s="227"/>
      <c r="J82" s="227"/>
      <c r="K82" s="227"/>
      <c r="L82" s="227"/>
      <c r="M82" s="227"/>
      <c r="N82" s="227"/>
      <c r="O82" s="227"/>
      <c r="P82" s="227"/>
      <c r="Q82" s="227"/>
      <c r="R82" s="227"/>
      <c r="S82" s="235"/>
      <c r="T82" s="235"/>
      <c r="U82" s="235"/>
      <c r="V82" s="235"/>
      <c r="W82" s="235"/>
      <c r="X82" s="235"/>
      <c r="Y82" s="235"/>
      <c r="Z82" s="235"/>
      <c r="AA82" s="235"/>
      <c r="AB82" s="235"/>
      <c r="AC82" s="235"/>
      <c r="AD82" s="235"/>
      <c r="AE82" s="235"/>
      <c r="AF82" s="235"/>
      <c r="AG82" s="228"/>
    </row>
    <row r="83" spans="2:33" s="238" customFormat="1" ht="15.75" customHeight="1">
      <c r="B83" s="187"/>
      <c r="C83" s="290" t="s">
        <v>156</v>
      </c>
      <c r="D83" s="189"/>
      <c r="E83" s="190"/>
      <c r="F83" s="287"/>
      <c r="G83" s="233"/>
      <c r="H83" s="233"/>
      <c r="I83" s="233"/>
      <c r="J83" s="233"/>
      <c r="K83" s="233"/>
      <c r="L83" s="233"/>
      <c r="M83" s="233"/>
      <c r="N83" s="233"/>
      <c r="O83" s="233"/>
      <c r="P83" s="233"/>
      <c r="Q83" s="233"/>
      <c r="R83" s="233"/>
      <c r="S83" s="207"/>
      <c r="T83" s="207"/>
      <c r="U83" s="207"/>
      <c r="V83" s="207"/>
      <c r="W83" s="207"/>
      <c r="X83" s="207"/>
      <c r="Y83" s="207"/>
      <c r="Z83" s="207"/>
      <c r="AA83" s="207"/>
      <c r="AB83" s="207"/>
      <c r="AC83" s="207"/>
      <c r="AD83" s="207"/>
      <c r="AE83" s="207"/>
      <c r="AF83" s="207"/>
      <c r="AG83" s="288"/>
    </row>
    <row r="84" spans="2:33" s="238" customFormat="1" ht="15.75" customHeight="1">
      <c r="B84" s="187"/>
      <c r="C84" s="290" t="s">
        <v>158</v>
      </c>
      <c r="D84" s="189"/>
      <c r="E84" s="190"/>
      <c r="F84" s="287"/>
      <c r="G84" s="233"/>
      <c r="H84" s="233"/>
      <c r="I84" s="233"/>
      <c r="J84" s="233"/>
      <c r="K84" s="233"/>
      <c r="L84" s="233"/>
      <c r="M84" s="233"/>
      <c r="N84" s="233"/>
      <c r="O84" s="233"/>
      <c r="P84" s="233"/>
      <c r="Q84" s="233"/>
      <c r="R84" s="233"/>
      <c r="S84" s="207"/>
      <c r="T84" s="207"/>
      <c r="U84" s="207"/>
      <c r="V84" s="207"/>
      <c r="W84" s="207"/>
      <c r="X84" s="207"/>
      <c r="Y84" s="207"/>
      <c r="Z84" s="207"/>
      <c r="AA84" s="207"/>
      <c r="AB84" s="207"/>
      <c r="AC84" s="207"/>
      <c r="AD84" s="207"/>
      <c r="AE84" s="207"/>
      <c r="AF84" s="207"/>
      <c r="AG84" s="288"/>
    </row>
    <row r="85" spans="2:33" s="238" customFormat="1" ht="27.75" customHeight="1">
      <c r="B85" s="224" t="s">
        <v>231</v>
      </c>
      <c r="C85" s="284" t="s">
        <v>161</v>
      </c>
      <c r="D85" s="271"/>
      <c r="E85" s="272"/>
      <c r="F85" s="285"/>
      <c r="G85" s="227"/>
      <c r="H85" s="227"/>
      <c r="I85" s="227"/>
      <c r="J85" s="227"/>
      <c r="K85" s="227"/>
      <c r="L85" s="227"/>
      <c r="M85" s="227"/>
      <c r="N85" s="227"/>
      <c r="O85" s="227"/>
      <c r="P85" s="227"/>
      <c r="Q85" s="227"/>
      <c r="R85" s="227"/>
      <c r="S85" s="235"/>
      <c r="T85" s="235"/>
      <c r="U85" s="235"/>
      <c r="V85" s="235"/>
      <c r="W85" s="235"/>
      <c r="X85" s="235"/>
      <c r="Y85" s="235"/>
      <c r="Z85" s="235"/>
      <c r="AA85" s="235"/>
      <c r="AB85" s="235"/>
      <c r="AC85" s="235"/>
      <c r="AD85" s="235"/>
      <c r="AE85" s="235"/>
      <c r="AF85" s="235"/>
      <c r="AG85" s="228"/>
    </row>
    <row r="86" spans="2:33" s="238" customFormat="1" ht="15.75" customHeight="1">
      <c r="B86" s="187"/>
      <c r="C86" s="290"/>
      <c r="D86" s="189"/>
      <c r="E86" s="190"/>
      <c r="F86" s="287"/>
      <c r="G86" s="233"/>
      <c r="H86" s="233"/>
      <c r="I86" s="233"/>
      <c r="J86" s="233"/>
      <c r="K86" s="233"/>
      <c r="L86" s="233"/>
      <c r="M86" s="233"/>
      <c r="N86" s="233"/>
      <c r="O86" s="233"/>
      <c r="P86" s="233"/>
      <c r="Q86" s="233"/>
      <c r="R86" s="233"/>
      <c r="S86" s="207"/>
      <c r="T86" s="207"/>
      <c r="U86" s="207"/>
      <c r="V86" s="207"/>
      <c r="W86" s="207"/>
      <c r="X86" s="207"/>
      <c r="Y86" s="207"/>
      <c r="Z86" s="207"/>
      <c r="AA86" s="207"/>
      <c r="AB86" s="207"/>
      <c r="AC86" s="207"/>
      <c r="AD86" s="207"/>
      <c r="AE86" s="207"/>
      <c r="AF86" s="207"/>
      <c r="AG86" s="288"/>
    </row>
    <row r="87" spans="2:33" s="238" customFormat="1" ht="15.75" customHeight="1">
      <c r="B87" s="224" t="s">
        <v>232</v>
      </c>
      <c r="C87" s="284" t="s">
        <v>162</v>
      </c>
      <c r="D87" s="271"/>
      <c r="E87" s="272"/>
      <c r="F87" s="285"/>
      <c r="G87" s="227"/>
      <c r="H87" s="227"/>
      <c r="I87" s="227"/>
      <c r="J87" s="227"/>
      <c r="K87" s="227"/>
      <c r="L87" s="227"/>
      <c r="M87" s="227"/>
      <c r="N87" s="227"/>
      <c r="O87" s="227"/>
      <c r="P87" s="227"/>
      <c r="Q87" s="227"/>
      <c r="R87" s="227"/>
      <c r="S87" s="235"/>
      <c r="T87" s="235"/>
      <c r="U87" s="235"/>
      <c r="V87" s="235"/>
      <c r="W87" s="235"/>
      <c r="X87" s="235"/>
      <c r="Y87" s="235"/>
      <c r="Z87" s="235"/>
      <c r="AA87" s="235"/>
      <c r="AB87" s="235"/>
      <c r="AC87" s="235"/>
      <c r="AD87" s="235"/>
      <c r="AE87" s="235"/>
      <c r="AF87" s="235"/>
      <c r="AG87" s="228"/>
    </row>
    <row r="88" spans="2:33" s="238" customFormat="1" ht="15.75" customHeight="1">
      <c r="B88" s="187"/>
      <c r="C88" s="290" t="s">
        <v>166</v>
      </c>
      <c r="D88" s="189"/>
      <c r="E88" s="190"/>
      <c r="F88" s="287"/>
      <c r="G88" s="233"/>
      <c r="H88" s="233"/>
      <c r="I88" s="233"/>
      <c r="J88" s="233"/>
      <c r="K88" s="233"/>
      <c r="L88" s="233"/>
      <c r="M88" s="233"/>
      <c r="N88" s="233"/>
      <c r="O88" s="233"/>
      <c r="P88" s="233"/>
      <c r="Q88" s="233"/>
      <c r="R88" s="233"/>
      <c r="S88" s="207"/>
      <c r="T88" s="207"/>
      <c r="U88" s="207"/>
      <c r="V88" s="207"/>
      <c r="W88" s="207"/>
      <c r="X88" s="207"/>
      <c r="Y88" s="207"/>
      <c r="Z88" s="207"/>
      <c r="AA88" s="207"/>
      <c r="AB88" s="207"/>
      <c r="AC88" s="207"/>
      <c r="AD88" s="207"/>
      <c r="AE88" s="207"/>
      <c r="AF88" s="207"/>
      <c r="AG88" s="288"/>
    </row>
    <row r="89" spans="2:33" s="238" customFormat="1" ht="13.5" customHeight="1">
      <c r="B89" s="187"/>
      <c r="C89" s="290" t="s">
        <v>163</v>
      </c>
      <c r="D89" s="189"/>
      <c r="E89" s="190"/>
      <c r="F89" s="210"/>
      <c r="G89" s="206"/>
      <c r="H89" s="206"/>
      <c r="I89" s="206"/>
      <c r="J89" s="206"/>
      <c r="K89" s="206"/>
      <c r="L89" s="206"/>
      <c r="M89" s="206"/>
      <c r="N89" s="207"/>
      <c r="O89" s="207"/>
      <c r="P89" s="207"/>
      <c r="Q89" s="207"/>
      <c r="R89" s="207"/>
      <c r="S89" s="207"/>
      <c r="T89" s="207"/>
      <c r="U89" s="207"/>
      <c r="V89" s="207"/>
      <c r="W89" s="207"/>
      <c r="X89" s="207"/>
      <c r="Y89" s="207"/>
      <c r="Z89" s="207"/>
      <c r="AA89" s="207"/>
      <c r="AB89" s="207"/>
      <c r="AC89" s="207"/>
      <c r="AD89" s="207"/>
      <c r="AE89" s="207"/>
      <c r="AF89" s="207"/>
      <c r="AG89" s="232"/>
    </row>
    <row r="90" spans="2:33" s="238" customFormat="1" ht="13.5" customHeight="1">
      <c r="B90" s="187"/>
      <c r="C90" s="290" t="s">
        <v>167</v>
      </c>
      <c r="D90" s="189"/>
      <c r="E90" s="190"/>
      <c r="F90" s="211"/>
      <c r="G90" s="207"/>
      <c r="H90" s="207"/>
      <c r="I90" s="207"/>
      <c r="J90" s="207"/>
      <c r="K90" s="207"/>
      <c r="L90" s="207"/>
      <c r="M90" s="207"/>
      <c r="N90" s="207"/>
      <c r="O90" s="207"/>
      <c r="P90" s="207"/>
      <c r="Q90" s="207"/>
      <c r="R90" s="207"/>
      <c r="S90" s="207"/>
      <c r="T90" s="207"/>
      <c r="U90" s="207"/>
      <c r="V90" s="207"/>
      <c r="W90" s="207"/>
      <c r="X90" s="207"/>
      <c r="Y90" s="207"/>
      <c r="Z90" s="207"/>
      <c r="AA90" s="207"/>
      <c r="AB90" s="207"/>
      <c r="AC90" s="207"/>
      <c r="AD90" s="207"/>
      <c r="AE90" s="207"/>
      <c r="AF90" s="207"/>
      <c r="AG90" s="232"/>
    </row>
    <row r="91" spans="2:33" s="193" customFormat="1" ht="13.5" customHeight="1">
      <c r="B91" s="224" t="s">
        <v>233</v>
      </c>
      <c r="C91" s="284" t="s">
        <v>160</v>
      </c>
      <c r="D91" s="271"/>
      <c r="E91" s="272"/>
      <c r="F91" s="273"/>
      <c r="G91" s="235"/>
      <c r="H91" s="235"/>
      <c r="I91" s="235"/>
      <c r="J91" s="235"/>
      <c r="K91" s="235"/>
      <c r="L91" s="235"/>
      <c r="M91" s="235"/>
      <c r="N91" s="235"/>
      <c r="O91" s="235"/>
      <c r="P91" s="235"/>
      <c r="Q91" s="235"/>
      <c r="R91" s="235"/>
      <c r="S91" s="235"/>
      <c r="T91" s="235"/>
      <c r="U91" s="235"/>
      <c r="V91" s="235"/>
      <c r="W91" s="235"/>
      <c r="X91" s="235"/>
      <c r="Y91" s="235"/>
      <c r="Z91" s="235"/>
      <c r="AA91" s="235"/>
      <c r="AB91" s="235"/>
      <c r="AC91" s="235"/>
      <c r="AD91" s="235"/>
      <c r="AE91" s="235"/>
      <c r="AF91" s="235"/>
      <c r="AG91" s="236"/>
    </row>
    <row r="92" spans="2:33" s="238" customFormat="1" ht="13.5" customHeight="1">
      <c r="B92" s="187"/>
      <c r="C92" s="290"/>
      <c r="D92" s="189"/>
      <c r="E92" s="190"/>
      <c r="F92" s="211"/>
      <c r="G92" s="207"/>
      <c r="H92" s="207"/>
      <c r="I92" s="207"/>
      <c r="J92" s="207"/>
      <c r="K92" s="207"/>
      <c r="L92" s="207"/>
      <c r="M92" s="207"/>
      <c r="N92" s="207"/>
      <c r="O92" s="207"/>
      <c r="P92" s="207"/>
      <c r="Q92" s="207"/>
      <c r="R92" s="207"/>
      <c r="S92" s="207"/>
      <c r="T92" s="207"/>
      <c r="U92" s="207"/>
      <c r="V92" s="207"/>
      <c r="W92" s="207"/>
      <c r="X92" s="207"/>
      <c r="Y92" s="207"/>
      <c r="Z92" s="207"/>
      <c r="AA92" s="207"/>
      <c r="AB92" s="207"/>
      <c r="AC92" s="207"/>
      <c r="AD92" s="207"/>
      <c r="AE92" s="207"/>
      <c r="AF92" s="207"/>
      <c r="AG92" s="232"/>
    </row>
    <row r="93" spans="2:33" s="193" customFormat="1" ht="20.25" customHeight="1">
      <c r="B93" s="224" t="s">
        <v>234</v>
      </c>
      <c r="C93" s="284" t="s">
        <v>164</v>
      </c>
      <c r="D93" s="271"/>
      <c r="E93" s="272"/>
      <c r="F93" s="273"/>
      <c r="G93" s="235"/>
      <c r="H93" s="235"/>
      <c r="I93" s="235"/>
      <c r="J93" s="235"/>
      <c r="K93" s="235"/>
      <c r="L93" s="235"/>
      <c r="M93" s="235"/>
      <c r="N93" s="235"/>
      <c r="O93" s="235"/>
      <c r="P93" s="235"/>
      <c r="Q93" s="235"/>
      <c r="R93" s="235"/>
      <c r="S93" s="235"/>
      <c r="T93" s="235"/>
      <c r="U93" s="235"/>
      <c r="V93" s="235"/>
      <c r="W93" s="235"/>
      <c r="X93" s="235"/>
      <c r="Y93" s="235"/>
      <c r="Z93" s="235"/>
      <c r="AA93" s="235"/>
      <c r="AB93" s="235"/>
      <c r="AC93" s="235"/>
      <c r="AD93" s="235"/>
      <c r="AE93" s="235"/>
      <c r="AF93" s="235"/>
      <c r="AG93" s="236"/>
    </row>
    <row r="94" spans="2:33" s="238" customFormat="1" ht="13.5" customHeight="1">
      <c r="B94" s="291"/>
      <c r="C94" s="292"/>
      <c r="D94" s="213"/>
      <c r="E94" s="214"/>
      <c r="F94" s="215"/>
      <c r="G94" s="216"/>
      <c r="H94" s="216"/>
      <c r="I94" s="216"/>
      <c r="J94" s="216"/>
      <c r="K94" s="216"/>
      <c r="L94" s="216"/>
      <c r="M94" s="216"/>
      <c r="N94" s="216"/>
      <c r="O94" s="216"/>
      <c r="P94" s="216"/>
      <c r="Q94" s="216"/>
      <c r="R94" s="216"/>
      <c r="S94" s="216"/>
      <c r="T94" s="216"/>
      <c r="U94" s="216"/>
      <c r="V94" s="216"/>
      <c r="W94" s="216"/>
      <c r="X94" s="216"/>
      <c r="Y94" s="216"/>
      <c r="Z94" s="216"/>
      <c r="AA94" s="216"/>
      <c r="AB94" s="216"/>
      <c r="AC94" s="216"/>
      <c r="AD94" s="216"/>
      <c r="AE94" s="216"/>
      <c r="AF94" s="216"/>
      <c r="AG94" s="293"/>
    </row>
    <row r="95" spans="2:33" s="193" customFormat="1" ht="24.75" customHeight="1" thickBot="1">
      <c r="B95" s="294" t="s">
        <v>235</v>
      </c>
      <c r="C95" s="295" t="s">
        <v>341</v>
      </c>
      <c r="D95" s="296"/>
      <c r="E95" s="297"/>
      <c r="F95" s="298"/>
      <c r="G95" s="299"/>
      <c r="H95" s="299"/>
      <c r="I95" s="299"/>
      <c r="J95" s="299"/>
      <c r="K95" s="299"/>
      <c r="L95" s="299"/>
      <c r="M95" s="299"/>
      <c r="N95" s="299"/>
      <c r="O95" s="299"/>
      <c r="P95" s="299"/>
      <c r="Q95" s="299"/>
      <c r="R95" s="299"/>
      <c r="S95" s="299"/>
      <c r="T95" s="299"/>
      <c r="U95" s="299"/>
      <c r="V95" s="299"/>
      <c r="W95" s="299"/>
      <c r="X95" s="299"/>
      <c r="Y95" s="299"/>
      <c r="Z95" s="299"/>
      <c r="AA95" s="299"/>
      <c r="AB95" s="299"/>
      <c r="AC95" s="299"/>
      <c r="AD95" s="299"/>
      <c r="AE95" s="299"/>
      <c r="AF95" s="299"/>
      <c r="AG95" s="297"/>
    </row>
    <row r="96" spans="2:33" s="193" customFormat="1" ht="15" customHeight="1"/>
    <row r="97" spans="5:6" s="193" customFormat="1" ht="15" customHeight="1"/>
    <row r="98" spans="5:6" s="193" customFormat="1" ht="15" customHeight="1"/>
    <row r="99" spans="5:6" s="193" customFormat="1">
      <c r="E99" s="300"/>
      <c r="F99" s="300"/>
    </row>
    <row r="100" spans="5:6" s="193" customFormat="1">
      <c r="E100" s="300"/>
      <c r="F100" s="300"/>
    </row>
    <row r="101" spans="5:6" s="193" customFormat="1">
      <c r="E101" s="300"/>
      <c r="F101" s="300"/>
    </row>
    <row r="102" spans="5:6" s="193" customFormat="1">
      <c r="E102" s="300"/>
      <c r="F102" s="300"/>
    </row>
    <row r="103" spans="5:6" s="193" customFormat="1">
      <c r="E103" s="300"/>
      <c r="F103" s="300"/>
    </row>
    <row r="104" spans="5:6" s="193" customFormat="1">
      <c r="E104" s="300"/>
      <c r="F104" s="300"/>
    </row>
    <row r="105" spans="5:6" s="193" customFormat="1">
      <c r="E105" s="300"/>
      <c r="F105" s="300"/>
    </row>
    <row r="106" spans="5:6" s="193" customFormat="1">
      <c r="E106" s="300"/>
      <c r="F106" s="300"/>
    </row>
    <row r="107" spans="5:6" s="193" customFormat="1">
      <c r="E107" s="300"/>
      <c r="F107" s="300"/>
    </row>
    <row r="108" spans="5:6" s="193" customFormat="1">
      <c r="E108" s="300"/>
      <c r="F108" s="300"/>
    </row>
    <row r="109" spans="5:6" s="193" customFormat="1">
      <c r="E109" s="300"/>
      <c r="F109" s="300"/>
    </row>
    <row r="110" spans="5:6" s="193" customFormat="1">
      <c r="E110" s="300"/>
      <c r="F110" s="300"/>
    </row>
    <row r="111" spans="5:6" s="193" customFormat="1">
      <c r="E111" s="300"/>
      <c r="F111" s="300"/>
    </row>
    <row r="112" spans="5:6" s="193" customFormat="1">
      <c r="E112" s="300"/>
      <c r="F112" s="300"/>
    </row>
    <row r="113" spans="5:6" s="193" customFormat="1">
      <c r="E113" s="300"/>
      <c r="F113" s="300"/>
    </row>
    <row r="114" spans="5:6" s="193" customFormat="1">
      <c r="E114" s="300"/>
      <c r="F114" s="300"/>
    </row>
    <row r="115" spans="5:6" s="193" customFormat="1">
      <c r="E115" s="300"/>
      <c r="F115" s="300"/>
    </row>
    <row r="116" spans="5:6" s="193" customFormat="1">
      <c r="E116" s="300"/>
      <c r="F116" s="300"/>
    </row>
    <row r="117" spans="5:6" s="193" customFormat="1">
      <c r="E117" s="300"/>
      <c r="F117" s="300"/>
    </row>
    <row r="118" spans="5:6" s="193" customFormat="1">
      <c r="E118" s="300"/>
      <c r="F118" s="300"/>
    </row>
    <row r="119" spans="5:6" s="193" customFormat="1">
      <c r="E119" s="300"/>
      <c r="F119" s="300"/>
    </row>
    <row r="120" spans="5:6" s="193" customFormat="1">
      <c r="E120" s="300"/>
      <c r="F120" s="300"/>
    </row>
    <row r="121" spans="5:6" s="193" customFormat="1">
      <c r="E121" s="300"/>
      <c r="F121" s="300"/>
    </row>
    <row r="122" spans="5:6" s="193" customFormat="1">
      <c r="E122" s="300"/>
      <c r="F122" s="300"/>
    </row>
    <row r="123" spans="5:6" s="193" customFormat="1">
      <c r="E123" s="300"/>
      <c r="F123" s="300"/>
    </row>
    <row r="124" spans="5:6" s="193" customFormat="1">
      <c r="E124" s="300"/>
      <c r="F124" s="300"/>
    </row>
    <row r="125" spans="5:6" s="193" customFormat="1">
      <c r="E125" s="300"/>
      <c r="F125" s="300"/>
    </row>
    <row r="126" spans="5:6" s="193" customFormat="1">
      <c r="E126" s="300"/>
      <c r="F126" s="300"/>
    </row>
    <row r="127" spans="5:6" s="193" customFormat="1">
      <c r="E127" s="300"/>
      <c r="F127" s="300"/>
    </row>
    <row r="128" spans="5:6" s="193" customFormat="1">
      <c r="E128" s="300"/>
      <c r="F128" s="300"/>
    </row>
    <row r="129" spans="5:6" s="193" customFormat="1">
      <c r="E129" s="300"/>
      <c r="F129" s="300"/>
    </row>
    <row r="130" spans="5:6" s="193" customFormat="1">
      <c r="E130" s="300"/>
      <c r="F130" s="300"/>
    </row>
    <row r="131" spans="5:6" s="193" customFormat="1">
      <c r="E131" s="300"/>
      <c r="F131" s="300"/>
    </row>
    <row r="132" spans="5:6" s="193" customFormat="1">
      <c r="E132" s="300"/>
      <c r="F132" s="300"/>
    </row>
    <row r="133" spans="5:6" s="193" customFormat="1">
      <c r="E133" s="300"/>
      <c r="F133" s="300"/>
    </row>
    <row r="134" spans="5:6" s="193" customFormat="1">
      <c r="E134" s="300"/>
      <c r="F134" s="300"/>
    </row>
    <row r="135" spans="5:6" s="193" customFormat="1">
      <c r="E135" s="300"/>
      <c r="F135" s="300"/>
    </row>
    <row r="136" spans="5:6" s="193" customFormat="1">
      <c r="E136" s="300"/>
      <c r="F136" s="300"/>
    </row>
  </sheetData>
  <mergeCells count="26">
    <mergeCell ref="K6:L6"/>
    <mergeCell ref="M6:N6"/>
    <mergeCell ref="B4:C4"/>
    <mergeCell ref="AD13:AF13"/>
    <mergeCell ref="B13:B14"/>
    <mergeCell ref="C13:C14"/>
    <mergeCell ref="D13:D14"/>
    <mergeCell ref="E13:E14"/>
    <mergeCell ref="F13:Q13"/>
    <mergeCell ref="R13:AC13"/>
    <mergeCell ref="B2:AH2"/>
    <mergeCell ref="D4:AH4"/>
    <mergeCell ref="P10:Q10"/>
    <mergeCell ref="R10:S10"/>
    <mergeCell ref="P6:Q6"/>
    <mergeCell ref="R6:S6"/>
    <mergeCell ref="B8:C8"/>
    <mergeCell ref="F8:G8"/>
    <mergeCell ref="H8:I8"/>
    <mergeCell ref="K8:L8"/>
    <mergeCell ref="M8:N8"/>
    <mergeCell ref="P8:Q8"/>
    <mergeCell ref="R8:S8"/>
    <mergeCell ref="B6:C6"/>
    <mergeCell ref="F6:G6"/>
    <mergeCell ref="H6:I6"/>
  </mergeCells>
  <pageMargins left="0.70866141732283472" right="0.70866141732283472" top="0.74803149606299213" bottom="0.74803149606299213" header="0.31496062992125984" footer="0.31496062992125984"/>
  <pageSetup paperSize="9" scale="80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O94"/>
  <sheetViews>
    <sheetView zoomScale="80" zoomScaleNormal="80" workbookViewId="0">
      <pane xSplit="2" ySplit="7" topLeftCell="C38" activePane="bottomRight" state="frozen"/>
      <selection pane="topRight" activeCell="C1" sqref="C1"/>
      <selection pane="bottomLeft" activeCell="A8" sqref="A8"/>
      <selection pane="bottomRight" activeCell="C42" sqref="C42"/>
    </sheetView>
  </sheetViews>
  <sheetFormatPr defaultRowHeight="14.25"/>
  <cols>
    <col min="1" max="1" width="2" style="122" customWidth="1"/>
    <col min="2" max="2" width="8.85546875" style="334" customWidth="1"/>
    <col min="3" max="3" width="49.140625" style="122" customWidth="1"/>
    <col min="4" max="4" width="16.5703125" style="124" customWidth="1"/>
    <col min="5" max="5" width="24.28515625" style="123" customWidth="1"/>
    <col min="6" max="6" width="9.5703125" style="122" customWidth="1"/>
    <col min="7" max="7" width="7.85546875" style="123" customWidth="1"/>
    <col min="8" max="10" width="7" style="123" customWidth="1"/>
    <col min="11" max="11" width="11.5703125" style="123" customWidth="1"/>
    <col min="12" max="12" width="12.28515625" style="123" customWidth="1"/>
    <col min="13" max="13" width="15.85546875" style="122" customWidth="1"/>
    <col min="14" max="14" width="14" style="123" customWidth="1"/>
    <col min="15" max="15" width="9.7109375" style="123" customWidth="1"/>
    <col min="16" max="16" width="10" style="123" customWidth="1"/>
    <col min="17" max="17" width="10.140625" style="124" customWidth="1"/>
    <col min="18" max="18" width="17" style="125" customWidth="1"/>
    <col min="19" max="19" width="12.5703125" style="124" customWidth="1"/>
    <col min="20" max="20" width="15.42578125" style="124" customWidth="1"/>
    <col min="21" max="22" width="10.85546875" style="124" customWidth="1"/>
    <col min="23" max="23" width="1" style="124" customWidth="1"/>
    <col min="24" max="24" width="19.85546875" style="124" customWidth="1"/>
    <col min="25" max="26" width="16.85546875" style="123" customWidth="1"/>
    <col min="27" max="27" width="16.85546875" style="124" customWidth="1"/>
    <col min="28" max="28" width="9.42578125" style="123" customWidth="1"/>
    <col min="29" max="29" width="13.7109375" style="124" customWidth="1"/>
    <col min="30" max="30" width="1.28515625" style="122" customWidth="1"/>
    <col min="31" max="32" width="10.7109375" style="123" customWidth="1"/>
    <col min="33" max="33" width="10.7109375" style="125" customWidth="1"/>
    <col min="34" max="34" width="10.7109375" style="124" customWidth="1"/>
    <col min="35" max="35" width="10.140625" style="124" customWidth="1"/>
    <col min="36" max="36" width="11.5703125" style="124" customWidth="1"/>
    <col min="37" max="37" width="10.5703125" style="124" customWidth="1"/>
    <col min="38" max="38" width="10.7109375" style="124" customWidth="1"/>
    <col min="39" max="39" width="2.140625" style="124" customWidth="1"/>
    <col min="40" max="40" width="16.140625" style="124" customWidth="1"/>
    <col min="41" max="41" width="10.140625" style="123" customWidth="1"/>
    <col min="42" max="42" width="11.42578125" style="123" customWidth="1"/>
    <col min="43" max="43" width="15.42578125" style="124" customWidth="1"/>
    <col min="44" max="44" width="11.42578125" style="123" customWidth="1"/>
    <col min="45" max="45" width="14.140625" style="124" customWidth="1"/>
    <col min="46" max="46" width="2" style="122" customWidth="1"/>
    <col min="47" max="47" width="11.7109375" style="124" customWidth="1"/>
    <col min="48" max="49" width="11.7109375" style="123" customWidth="1"/>
    <col min="50" max="50" width="11.7109375" style="124" customWidth="1"/>
    <col min="51" max="51" width="11.7109375" style="123" customWidth="1"/>
    <col min="52" max="52" width="11.7109375" style="124" customWidth="1"/>
    <col min="53" max="53" width="3.28515625" style="124" customWidth="1"/>
    <col min="54" max="54" width="20.85546875" style="124" customWidth="1"/>
    <col min="55" max="56" width="11.5703125" style="123" customWidth="1"/>
    <col min="57" max="57" width="14.5703125" style="124" customWidth="1"/>
    <col min="58" max="58" width="11.5703125" style="123" customWidth="1"/>
    <col min="59" max="59" width="16.5703125" style="124" customWidth="1"/>
    <col min="60" max="60" width="2.28515625" style="122" customWidth="1"/>
    <col min="61" max="61" width="14.140625" style="124" customWidth="1"/>
    <col min="62" max="63" width="14.140625" style="123" customWidth="1"/>
    <col min="64" max="64" width="14.140625" style="124" customWidth="1"/>
    <col min="65" max="65" width="14.140625" style="123" customWidth="1"/>
    <col min="66" max="66" width="14.140625" style="124" customWidth="1"/>
    <col min="67" max="67" width="1.42578125" style="122" customWidth="1"/>
    <col min="68" max="16384" width="9.140625" style="122"/>
  </cols>
  <sheetData>
    <row r="1" spans="1:67" ht="15" thickBot="1"/>
    <row r="2" spans="1:67" ht="30.75" customHeight="1" thickBot="1">
      <c r="B2" s="333" t="s">
        <v>396</v>
      </c>
      <c r="C2" s="302">
        <v>2.78</v>
      </c>
      <c r="AA2" s="1"/>
    </row>
    <row r="3" spans="1:67" s="130" customFormat="1" ht="34.5" customHeight="1" thickBot="1">
      <c r="A3" s="127"/>
      <c r="B3" s="332" t="s">
        <v>395</v>
      </c>
      <c r="C3" s="372">
        <v>3000000</v>
      </c>
      <c r="D3" s="129"/>
      <c r="E3" s="128"/>
      <c r="F3" s="128"/>
      <c r="G3" s="128"/>
      <c r="H3" s="128"/>
      <c r="I3" s="128"/>
      <c r="J3" s="128"/>
      <c r="K3" s="128"/>
      <c r="L3" s="128"/>
      <c r="M3" s="128"/>
      <c r="N3" s="128"/>
      <c r="O3" s="128"/>
      <c r="P3" s="128"/>
      <c r="Q3" s="129"/>
      <c r="R3" s="129"/>
      <c r="S3" s="129"/>
      <c r="T3" s="129"/>
      <c r="U3" s="129"/>
      <c r="V3" s="129"/>
      <c r="W3" s="129"/>
      <c r="X3" s="129"/>
      <c r="Y3" s="128"/>
      <c r="Z3" s="128"/>
      <c r="AA3" s="129"/>
      <c r="AB3" s="128"/>
      <c r="AC3" s="129"/>
      <c r="AD3" s="128"/>
      <c r="AE3" s="128"/>
      <c r="AF3" s="128"/>
      <c r="AG3" s="129"/>
      <c r="AH3" s="129"/>
      <c r="AI3" s="129"/>
      <c r="AJ3" s="129"/>
      <c r="AK3" s="129"/>
      <c r="AL3" s="129"/>
      <c r="AM3" s="129"/>
      <c r="AN3" s="129"/>
      <c r="AO3" s="128" t="s">
        <v>118</v>
      </c>
      <c r="AP3" s="128"/>
      <c r="AQ3" s="129"/>
      <c r="AR3" s="128"/>
      <c r="AS3" s="129"/>
      <c r="AT3" s="128"/>
      <c r="AU3" s="129"/>
      <c r="AV3" s="128" t="s">
        <v>118</v>
      </c>
      <c r="AW3" s="128"/>
      <c r="AX3" s="129"/>
      <c r="AY3" s="128"/>
      <c r="AZ3" s="129"/>
      <c r="BA3" s="129"/>
      <c r="BB3" s="129"/>
      <c r="BC3" s="128" t="s">
        <v>118</v>
      </c>
      <c r="BD3" s="128"/>
      <c r="BE3" s="129"/>
      <c r="BF3" s="128"/>
      <c r="BG3" s="129"/>
      <c r="BH3" s="128"/>
      <c r="BI3" s="129"/>
      <c r="BJ3" s="128" t="s">
        <v>118</v>
      </c>
      <c r="BK3" s="128"/>
      <c r="BL3" s="129"/>
      <c r="BM3" s="128"/>
      <c r="BN3" s="129"/>
    </row>
    <row r="4" spans="1:67" s="130" customFormat="1" ht="24.75" customHeight="1" thickBot="1">
      <c r="A4" s="127"/>
      <c r="B4" s="332" t="s">
        <v>375</v>
      </c>
      <c r="C4" s="301">
        <v>1.3427</v>
      </c>
      <c r="D4" s="129"/>
      <c r="E4" s="128"/>
      <c r="F4" s="128"/>
      <c r="G4" s="128"/>
      <c r="H4" s="128"/>
      <c r="I4" s="128"/>
      <c r="J4" s="128"/>
      <c r="K4" s="128"/>
      <c r="L4" s="128"/>
      <c r="M4" s="128"/>
      <c r="N4" s="128"/>
      <c r="O4" s="674"/>
      <c r="P4" s="674"/>
      <c r="Q4" s="674"/>
      <c r="R4" s="674"/>
      <c r="S4" s="674"/>
      <c r="T4" s="674"/>
      <c r="U4" s="674"/>
      <c r="V4" s="674"/>
      <c r="W4" s="674"/>
      <c r="X4" s="674"/>
      <c r="Y4" s="674"/>
      <c r="Z4" s="674"/>
      <c r="AA4" s="674"/>
      <c r="AB4" s="674"/>
      <c r="AC4" s="674"/>
      <c r="AD4" s="128"/>
      <c r="AE4" s="128"/>
      <c r="AF4" s="128"/>
      <c r="AG4" s="129"/>
      <c r="AH4" s="129"/>
      <c r="AI4" s="129"/>
      <c r="AJ4" s="129"/>
      <c r="AK4" s="129"/>
      <c r="AL4" s="129"/>
      <c r="AM4" s="129"/>
      <c r="AN4" s="129"/>
      <c r="AO4" s="128"/>
      <c r="AP4" s="131"/>
      <c r="AQ4" s="129"/>
      <c r="AR4" s="128"/>
      <c r="AS4" s="129"/>
      <c r="AT4" s="128"/>
      <c r="AU4" s="129"/>
      <c r="AV4" s="128"/>
      <c r="AW4" s="131"/>
      <c r="AX4" s="129"/>
      <c r="AY4" s="128"/>
      <c r="AZ4" s="129"/>
      <c r="BA4" s="129"/>
      <c r="BB4" s="129"/>
      <c r="BC4" s="128"/>
      <c r="BD4" s="131"/>
      <c r="BE4" s="129"/>
      <c r="BF4" s="128"/>
      <c r="BG4" s="129"/>
      <c r="BH4" s="128"/>
      <c r="BI4" s="129"/>
      <c r="BJ4" s="128"/>
      <c r="BK4" s="131"/>
      <c r="BL4" s="129"/>
      <c r="BM4" s="128"/>
      <c r="BN4" s="129"/>
    </row>
    <row r="5" spans="1:67" s="130" customFormat="1" ht="45" customHeight="1">
      <c r="B5" s="651"/>
      <c r="C5" s="656" t="s">
        <v>244</v>
      </c>
      <c r="D5" s="659" t="s">
        <v>127</v>
      </c>
      <c r="E5" s="654" t="s">
        <v>27</v>
      </c>
      <c r="F5" s="654" t="s">
        <v>28</v>
      </c>
      <c r="G5" s="654" t="s">
        <v>29</v>
      </c>
      <c r="H5" s="654"/>
      <c r="I5" s="654"/>
      <c r="J5" s="654"/>
      <c r="K5" s="654" t="s">
        <v>30</v>
      </c>
      <c r="L5" s="654"/>
      <c r="M5" s="654" t="s">
        <v>355</v>
      </c>
      <c r="N5" s="654" t="s">
        <v>31</v>
      </c>
      <c r="O5" s="654" t="s">
        <v>102</v>
      </c>
      <c r="P5" s="654" t="s">
        <v>103</v>
      </c>
      <c r="Q5" s="647" t="s">
        <v>105</v>
      </c>
      <c r="R5" s="647" t="s">
        <v>123</v>
      </c>
      <c r="S5" s="647" t="s">
        <v>104</v>
      </c>
      <c r="T5" s="647" t="s">
        <v>119</v>
      </c>
      <c r="U5" s="647" t="s">
        <v>143</v>
      </c>
      <c r="V5" s="645" t="s">
        <v>142</v>
      </c>
      <c r="W5" s="343"/>
      <c r="X5" s="649" t="s">
        <v>434</v>
      </c>
      <c r="Y5" s="650"/>
      <c r="Z5" s="650"/>
      <c r="AA5" s="650"/>
      <c r="AB5" s="647" t="s">
        <v>442</v>
      </c>
      <c r="AC5" s="645" t="s">
        <v>441</v>
      </c>
      <c r="AD5" s="162"/>
      <c r="AE5" s="648" t="s">
        <v>102</v>
      </c>
      <c r="AF5" s="648" t="s">
        <v>103</v>
      </c>
      <c r="AG5" s="648" t="s">
        <v>105</v>
      </c>
      <c r="AH5" s="648" t="s">
        <v>123</v>
      </c>
      <c r="AI5" s="648" t="s">
        <v>104</v>
      </c>
      <c r="AJ5" s="648" t="s">
        <v>119</v>
      </c>
      <c r="AK5" s="648" t="s">
        <v>143</v>
      </c>
      <c r="AL5" s="648" t="s">
        <v>142</v>
      </c>
      <c r="AM5" s="129"/>
      <c r="AN5" s="649" t="s">
        <v>450</v>
      </c>
      <c r="AO5" s="650"/>
      <c r="AP5" s="650"/>
      <c r="AQ5" s="650"/>
      <c r="AR5" s="647" t="s">
        <v>445</v>
      </c>
      <c r="AS5" s="645" t="s">
        <v>441</v>
      </c>
      <c r="AT5" s="162"/>
      <c r="AU5" s="649" t="s">
        <v>452</v>
      </c>
      <c r="AV5" s="650"/>
      <c r="AW5" s="650"/>
      <c r="AX5" s="650"/>
      <c r="AY5" s="647" t="s">
        <v>445</v>
      </c>
      <c r="AZ5" s="645" t="s">
        <v>441</v>
      </c>
      <c r="BA5" s="129"/>
      <c r="BB5" s="649" t="s">
        <v>454</v>
      </c>
      <c r="BC5" s="650"/>
      <c r="BD5" s="650"/>
      <c r="BE5" s="650"/>
      <c r="BF5" s="647" t="s">
        <v>445</v>
      </c>
      <c r="BG5" s="645" t="s">
        <v>441</v>
      </c>
      <c r="BH5" s="162"/>
      <c r="BI5" s="649" t="s">
        <v>451</v>
      </c>
      <c r="BJ5" s="650"/>
      <c r="BK5" s="650"/>
      <c r="BL5" s="673"/>
      <c r="BM5" s="666" t="s">
        <v>99</v>
      </c>
      <c r="BN5" s="668" t="s">
        <v>100</v>
      </c>
    </row>
    <row r="6" spans="1:67" s="130" customFormat="1" ht="22.5" customHeight="1">
      <c r="B6" s="652"/>
      <c r="C6" s="657"/>
      <c r="D6" s="660"/>
      <c r="E6" s="655"/>
      <c r="F6" s="655"/>
      <c r="G6" s="655" t="s">
        <v>101</v>
      </c>
      <c r="H6" s="655" t="s">
        <v>359</v>
      </c>
      <c r="I6" s="655" t="s">
        <v>360</v>
      </c>
      <c r="J6" s="655" t="s">
        <v>361</v>
      </c>
      <c r="K6" s="655" t="s">
        <v>33</v>
      </c>
      <c r="L6" s="655" t="s">
        <v>34</v>
      </c>
      <c r="M6" s="655"/>
      <c r="N6" s="655"/>
      <c r="O6" s="655"/>
      <c r="P6" s="655"/>
      <c r="Q6" s="648"/>
      <c r="R6" s="648"/>
      <c r="S6" s="648"/>
      <c r="T6" s="648"/>
      <c r="U6" s="648"/>
      <c r="V6" s="665"/>
      <c r="W6" s="129"/>
      <c r="X6" s="660" t="s">
        <v>443</v>
      </c>
      <c r="Y6" s="648" t="s">
        <v>362</v>
      </c>
      <c r="Z6" s="663"/>
      <c r="AA6" s="661" t="s">
        <v>444</v>
      </c>
      <c r="AB6" s="648"/>
      <c r="AC6" s="646"/>
      <c r="AD6" s="163"/>
      <c r="AE6" s="648"/>
      <c r="AF6" s="648"/>
      <c r="AG6" s="648"/>
      <c r="AH6" s="648"/>
      <c r="AI6" s="648"/>
      <c r="AJ6" s="648"/>
      <c r="AK6" s="648"/>
      <c r="AL6" s="648"/>
      <c r="AM6" s="129"/>
      <c r="AN6" s="660" t="s">
        <v>443</v>
      </c>
      <c r="AO6" s="648" t="s">
        <v>362</v>
      </c>
      <c r="AP6" s="663"/>
      <c r="AQ6" s="661" t="s">
        <v>444</v>
      </c>
      <c r="AR6" s="648"/>
      <c r="AS6" s="646"/>
      <c r="AT6" s="163"/>
      <c r="AU6" s="660" t="s">
        <v>453</v>
      </c>
      <c r="AV6" s="648" t="s">
        <v>362</v>
      </c>
      <c r="AW6" s="663"/>
      <c r="AX6" s="661" t="s">
        <v>444</v>
      </c>
      <c r="AY6" s="648"/>
      <c r="AZ6" s="646"/>
      <c r="BA6" s="341"/>
      <c r="BB6" s="660" t="s">
        <v>453</v>
      </c>
      <c r="BC6" s="648" t="s">
        <v>362</v>
      </c>
      <c r="BD6" s="663"/>
      <c r="BE6" s="661" t="s">
        <v>444</v>
      </c>
      <c r="BF6" s="648"/>
      <c r="BG6" s="646"/>
      <c r="BH6" s="163"/>
      <c r="BI6" s="664" t="s">
        <v>26</v>
      </c>
      <c r="BJ6" s="648" t="s">
        <v>362</v>
      </c>
      <c r="BK6" s="663"/>
      <c r="BL6" s="671" t="s">
        <v>356</v>
      </c>
      <c r="BM6" s="667"/>
      <c r="BN6" s="646"/>
    </row>
    <row r="7" spans="1:67" s="130" customFormat="1" ht="17.25" customHeight="1" thickBot="1">
      <c r="B7" s="653"/>
      <c r="C7" s="658"/>
      <c r="D7" s="660"/>
      <c r="E7" s="655"/>
      <c r="F7" s="655"/>
      <c r="G7" s="655"/>
      <c r="H7" s="655"/>
      <c r="I7" s="655"/>
      <c r="J7" s="655"/>
      <c r="K7" s="655"/>
      <c r="L7" s="655"/>
      <c r="M7" s="655"/>
      <c r="N7" s="655"/>
      <c r="O7" s="655"/>
      <c r="P7" s="655"/>
      <c r="Q7" s="648"/>
      <c r="R7" s="648"/>
      <c r="S7" s="648"/>
      <c r="T7" s="648"/>
      <c r="U7" s="648"/>
      <c r="V7" s="665"/>
      <c r="W7" s="129"/>
      <c r="X7" s="664"/>
      <c r="Y7" s="453" t="s">
        <v>35</v>
      </c>
      <c r="Z7" s="453" t="s">
        <v>36</v>
      </c>
      <c r="AA7" s="662"/>
      <c r="AB7" s="648"/>
      <c r="AC7" s="646"/>
      <c r="AD7" s="163"/>
      <c r="AE7" s="648"/>
      <c r="AF7" s="648"/>
      <c r="AG7" s="648"/>
      <c r="AH7" s="648"/>
      <c r="AI7" s="648"/>
      <c r="AJ7" s="648"/>
      <c r="AK7" s="648"/>
      <c r="AL7" s="648"/>
      <c r="AM7" s="129"/>
      <c r="AN7" s="664"/>
      <c r="AO7" s="453" t="s">
        <v>35</v>
      </c>
      <c r="AP7" s="453" t="s">
        <v>36</v>
      </c>
      <c r="AQ7" s="662"/>
      <c r="AR7" s="648"/>
      <c r="AS7" s="646"/>
      <c r="AT7" s="163"/>
      <c r="AU7" s="664"/>
      <c r="AV7" s="453" t="s">
        <v>35</v>
      </c>
      <c r="AW7" s="453" t="s">
        <v>36</v>
      </c>
      <c r="AX7" s="662"/>
      <c r="AY7" s="648"/>
      <c r="AZ7" s="646"/>
      <c r="BA7" s="341"/>
      <c r="BB7" s="664"/>
      <c r="BC7" s="453" t="s">
        <v>35</v>
      </c>
      <c r="BD7" s="453" t="s">
        <v>36</v>
      </c>
      <c r="BE7" s="662"/>
      <c r="BF7" s="648"/>
      <c r="BG7" s="646"/>
      <c r="BH7" s="163"/>
      <c r="BI7" s="670"/>
      <c r="BJ7" s="326" t="s">
        <v>35</v>
      </c>
      <c r="BK7" s="326" t="s">
        <v>36</v>
      </c>
      <c r="BL7" s="672"/>
      <c r="BM7" s="667"/>
      <c r="BN7" s="669"/>
    </row>
    <row r="8" spans="1:67" s="130" customFormat="1" ht="37.5" customHeight="1">
      <c r="B8" s="451">
        <v>1</v>
      </c>
      <c r="C8" s="450" t="s">
        <v>90</v>
      </c>
      <c r="D8" s="449">
        <f>+D9+D17+D21+D24+D36+D41</f>
        <v>505300</v>
      </c>
      <c r="E8" s="381"/>
      <c r="F8" s="405"/>
      <c r="G8" s="381"/>
      <c r="H8" s="381"/>
      <c r="I8" s="381"/>
      <c r="J8" s="381"/>
      <c r="K8" s="381"/>
      <c r="L8" s="381"/>
      <c r="M8" s="405"/>
      <c r="N8" s="381"/>
      <c r="O8" s="381"/>
      <c r="P8" s="381"/>
      <c r="Q8" s="380"/>
      <c r="R8" s="395">
        <f>+R9+R17+R21+R24+R36+R41</f>
        <v>505300</v>
      </c>
      <c r="S8" s="380"/>
      <c r="T8" s="380">
        <f>+T9+T17+T21+T24+T36+T41</f>
        <v>678466.30999999994</v>
      </c>
      <c r="U8" s="380"/>
      <c r="V8" s="388"/>
      <c r="W8" s="341"/>
      <c r="X8" s="387">
        <f>+X9+X17+X21+X24+X36+X41</f>
        <v>505300</v>
      </c>
      <c r="Y8" s="380">
        <f>+Y9+Y17+Y21+Y24+Y36+Y41</f>
        <v>0</v>
      </c>
      <c r="Z8" s="380">
        <f>+Z9+Z17+Z21+Z24+Z36+Z41</f>
        <v>0</v>
      </c>
      <c r="AA8" s="380">
        <f>SUM(X8:Z8)</f>
        <v>505300</v>
      </c>
      <c r="AB8" s="381"/>
      <c r="AC8" s="388">
        <f>+AC9+AC17</f>
        <v>473704.55999999994</v>
      </c>
      <c r="AD8" s="164"/>
      <c r="AE8" s="392"/>
      <c r="AF8" s="381"/>
      <c r="AG8" s="395"/>
      <c r="AH8" s="380">
        <f>+AH9+AH17+AH21+AH24+AH36+AH41</f>
        <v>212556.25275604354</v>
      </c>
      <c r="AI8" s="380"/>
      <c r="AJ8" s="380">
        <f>+AJ9+AJ17+AJ21+AJ24+AJ36+AJ41</f>
        <v>285399.28057553957</v>
      </c>
      <c r="AK8" s="380"/>
      <c r="AL8" s="388">
        <f>+AL9+AL17+AL21+AL24+AL36+AL41</f>
        <v>793410</v>
      </c>
      <c r="AM8" s="341"/>
      <c r="AN8" s="387">
        <f>+AN9+AN17+AN21+AN24+AN36+AN41</f>
        <v>212596.25275604354</v>
      </c>
      <c r="AO8" s="380">
        <f>+AO9+AO17</f>
        <v>0</v>
      </c>
      <c r="AP8" s="381">
        <f>+AP9+AP17</f>
        <v>0</v>
      </c>
      <c r="AQ8" s="380">
        <f>SUM(AN8:AP8)</f>
        <v>212596.25275604354</v>
      </c>
      <c r="AR8" s="381"/>
      <c r="AS8" s="388">
        <f>+AS9+AS17</f>
        <v>225179.85611510792</v>
      </c>
      <c r="AT8" s="164"/>
      <c r="AU8" s="387">
        <f>+AU64+AU67+AU70+AU72+AU73+AU76+AU79+AU82</f>
        <v>12973</v>
      </c>
      <c r="AV8" s="381">
        <f>+AV9+AV17</f>
        <v>0</v>
      </c>
      <c r="AW8" s="381">
        <f>+AW9+AW17</f>
        <v>0</v>
      </c>
      <c r="AX8" s="380">
        <f>SUM(AU8:AW8)</f>
        <v>12973</v>
      </c>
      <c r="AY8" s="381"/>
      <c r="AZ8" s="388">
        <f>+AZ9+AZ17</f>
        <v>39208.633093525183</v>
      </c>
      <c r="BA8" s="341"/>
      <c r="BB8" s="387">
        <f>+BB64+BB67+BB70+BB72+BB73+BB76+BB79+BB82</f>
        <v>7000</v>
      </c>
      <c r="BC8" s="381">
        <f>+BC9+BC17</f>
        <v>0</v>
      </c>
      <c r="BD8" s="381">
        <f>+BD9+BD17</f>
        <v>0</v>
      </c>
      <c r="BE8" s="380">
        <f>SUM(BB8:BD8)</f>
        <v>7000</v>
      </c>
      <c r="BF8" s="381"/>
      <c r="BG8" s="388">
        <f>+BG9+BG17</f>
        <v>53956.834532374109</v>
      </c>
      <c r="BH8" s="164"/>
      <c r="BI8" s="356">
        <v>0</v>
      </c>
      <c r="BJ8" s="357">
        <f>+BJ9+BJ17</f>
        <v>0</v>
      </c>
      <c r="BK8" s="357">
        <f>+BK9+BK17</f>
        <v>0</v>
      </c>
      <c r="BL8" s="358">
        <f>SUM(BI8:BK8)</f>
        <v>0</v>
      </c>
      <c r="BM8" s="359"/>
      <c r="BN8" s="358">
        <f>+BN9+BN17</f>
        <v>0</v>
      </c>
    </row>
    <row r="9" spans="1:67" s="130" customFormat="1" ht="30" customHeight="1">
      <c r="B9" s="424" t="s">
        <v>128</v>
      </c>
      <c r="C9" s="433" t="s">
        <v>91</v>
      </c>
      <c r="D9" s="427">
        <f>SUM(D10:D14)</f>
        <v>334800</v>
      </c>
      <c r="E9" s="379"/>
      <c r="F9" s="406"/>
      <c r="G9" s="379"/>
      <c r="H9" s="379"/>
      <c r="I9" s="379"/>
      <c r="J9" s="379"/>
      <c r="K9" s="379"/>
      <c r="L9" s="379"/>
      <c r="M9" s="406"/>
      <c r="N9" s="379"/>
      <c r="O9" s="379"/>
      <c r="P9" s="379"/>
      <c r="Q9" s="378"/>
      <c r="R9" s="396">
        <f>SUM(R10:R14)</f>
        <v>334800</v>
      </c>
      <c r="S9" s="378"/>
      <c r="T9" s="378">
        <f>SUM(T10:T14)</f>
        <v>449535.95999999996</v>
      </c>
      <c r="U9" s="378"/>
      <c r="V9" s="376"/>
      <c r="W9" s="373"/>
      <c r="X9" s="374">
        <f>SUM(X10:X14)</f>
        <v>334800</v>
      </c>
      <c r="Y9" s="379">
        <f>SUM(Y10:Y14)</f>
        <v>0</v>
      </c>
      <c r="Z9" s="379">
        <f>SUM(Z10:Z14)</f>
        <v>0</v>
      </c>
      <c r="AA9" s="378">
        <f>SUM(AA10:AA14)</f>
        <v>288000</v>
      </c>
      <c r="AB9" s="379"/>
      <c r="AC9" s="376">
        <f>SUM(AC10:AC14)</f>
        <v>449535.95999999996</v>
      </c>
      <c r="AD9" s="126"/>
      <c r="AE9" s="377"/>
      <c r="AF9" s="379"/>
      <c r="AG9" s="396"/>
      <c r="AH9" s="378">
        <f>SUM(AH10:AH14)</f>
        <v>164491.92623260448</v>
      </c>
      <c r="AI9" s="378"/>
      <c r="AJ9" s="378">
        <f>SUM(AJ10:AJ14)</f>
        <v>220863.309352518</v>
      </c>
      <c r="AK9" s="378"/>
      <c r="AL9" s="376">
        <f>SUM(AL10:AL14)</f>
        <v>614000</v>
      </c>
      <c r="AM9" s="340"/>
      <c r="AN9" s="374">
        <f>SUM(AN10:AN14)</f>
        <v>164491.92623260448</v>
      </c>
      <c r="AO9" s="378">
        <f>SUM(AO10:AO14)</f>
        <v>0</v>
      </c>
      <c r="AP9" s="378">
        <f>SUM(AP10:AP14)</f>
        <v>0</v>
      </c>
      <c r="AQ9" s="378">
        <f>SUM(AQ10:AQ13)</f>
        <v>161277.10031274901</v>
      </c>
      <c r="AR9" s="379"/>
      <c r="AS9" s="376">
        <f>SUM(AS10:AS14)</f>
        <v>220863.309352518</v>
      </c>
      <c r="AT9" s="126"/>
      <c r="AU9" s="374">
        <f>SUM(AU10:AU14)</f>
        <v>29201.335438687107</v>
      </c>
      <c r="AV9" s="378">
        <f>SUM(AV10:AV14)</f>
        <v>0</v>
      </c>
      <c r="AW9" s="378">
        <f>SUM(AW10:AW14)</f>
        <v>0</v>
      </c>
      <c r="AX9" s="378">
        <f>SUM(AX10:AX14)</f>
        <v>29201.335438687107</v>
      </c>
      <c r="AY9" s="379"/>
      <c r="AZ9" s="376">
        <f>SUM(AZ10:AZ13)</f>
        <v>39208.633093525183</v>
      </c>
      <c r="BA9" s="340"/>
      <c r="BB9" s="374">
        <f>SUM(BB10:BB14)</f>
        <v>40185.323998193264</v>
      </c>
      <c r="BC9" s="378">
        <f>SUM(BC10:BC14)</f>
        <v>0</v>
      </c>
      <c r="BD9" s="378">
        <f>SUM(BD10:BD14)</f>
        <v>0</v>
      </c>
      <c r="BE9" s="378">
        <f>SUM(BE10:BE14)</f>
        <v>40185.323998193264</v>
      </c>
      <c r="BF9" s="379"/>
      <c r="BG9" s="376">
        <f>SUM(BG10:BG13)</f>
        <v>49640.287769784176</v>
      </c>
      <c r="BH9" s="126"/>
      <c r="BI9" s="374">
        <f>SUM(BI10:BI13)</f>
        <v>0</v>
      </c>
      <c r="BJ9" s="375">
        <f>SUM(BJ10:BJ13)</f>
        <v>0</v>
      </c>
      <c r="BK9" s="375">
        <f>SUM(BK10:BK13)</f>
        <v>0</v>
      </c>
      <c r="BL9" s="376">
        <f>SUM(BL10:BL13)</f>
        <v>0</v>
      </c>
      <c r="BM9" s="377"/>
      <c r="BN9" s="376">
        <f>SUM(BN10:BN13)</f>
        <v>0</v>
      </c>
    </row>
    <row r="10" spans="1:67" s="130" customFormat="1" ht="20.25" customHeight="1">
      <c r="B10" s="335" t="s">
        <v>268</v>
      </c>
      <c r="C10" s="434" t="s">
        <v>46</v>
      </c>
      <c r="D10" s="137">
        <v>150000</v>
      </c>
      <c r="E10" s="136" t="s">
        <v>125</v>
      </c>
      <c r="F10" s="136" t="s">
        <v>124</v>
      </c>
      <c r="G10" s="138">
        <v>1</v>
      </c>
      <c r="H10" s="136">
        <v>0</v>
      </c>
      <c r="I10" s="136">
        <v>0</v>
      </c>
      <c r="J10" s="136">
        <v>0</v>
      </c>
      <c r="K10" s="139">
        <v>41640</v>
      </c>
      <c r="L10" s="139">
        <v>42460</v>
      </c>
      <c r="M10" s="136" t="s">
        <v>76</v>
      </c>
      <c r="N10" s="136"/>
      <c r="O10" s="136" t="s">
        <v>106</v>
      </c>
      <c r="P10" s="136">
        <v>30</v>
      </c>
      <c r="Q10" s="336">
        <v>5000</v>
      </c>
      <c r="R10" s="397">
        <f>Q10*P10</f>
        <v>150000</v>
      </c>
      <c r="S10" s="336">
        <f>Q10*$C$4</f>
        <v>6713.5</v>
      </c>
      <c r="T10" s="336">
        <f>+S10*P10</f>
        <v>201405</v>
      </c>
      <c r="U10" s="336"/>
      <c r="V10" s="141"/>
      <c r="W10" s="340"/>
      <c r="X10" s="140">
        <f>+R10</f>
        <v>150000</v>
      </c>
      <c r="Y10" s="136">
        <v>0</v>
      </c>
      <c r="Z10" s="136">
        <v>0</v>
      </c>
      <c r="AA10" s="336">
        <f>SUM(X10:Z10)</f>
        <v>150000</v>
      </c>
      <c r="AB10" s="136">
        <f>+$C$4</f>
        <v>1.3427</v>
      </c>
      <c r="AC10" s="141">
        <f>+X10*AB10</f>
        <v>201405</v>
      </c>
      <c r="AD10" s="126"/>
      <c r="AE10" s="142" t="s">
        <v>106</v>
      </c>
      <c r="AF10" s="136">
        <v>27</v>
      </c>
      <c r="AG10" s="397">
        <f>+AI10/$C$4</f>
        <v>2679.0215998795516</v>
      </c>
      <c r="AH10" s="336">
        <f>AF10*AG10</f>
        <v>72333.583196747888</v>
      </c>
      <c r="AI10" s="336">
        <f>+AK10/$C$2</f>
        <v>3597.1223021582737</v>
      </c>
      <c r="AJ10" s="336">
        <f>+AF10*AI10</f>
        <v>97122.302158273393</v>
      </c>
      <c r="AK10" s="336">
        <v>10000</v>
      </c>
      <c r="AL10" s="141">
        <f>+AF10*AK10</f>
        <v>270000</v>
      </c>
      <c r="AM10" s="340"/>
      <c r="AN10" s="140">
        <f>+AH10</f>
        <v>72333.583196747888</v>
      </c>
      <c r="AO10" s="136">
        <v>0</v>
      </c>
      <c r="AP10" s="136">
        <v>0</v>
      </c>
      <c r="AQ10" s="336">
        <f>SUM(AN10:AP10)</f>
        <v>72333.583196747888</v>
      </c>
      <c r="AR10" s="136">
        <f t="shared" ref="AR10:AR16" si="0">+$C$4</f>
        <v>1.3427</v>
      </c>
      <c r="AS10" s="141">
        <f>+AN10*$C$4</f>
        <v>97122.302158273393</v>
      </c>
      <c r="AT10" s="126"/>
      <c r="AU10" s="140">
        <f>6*AG10</f>
        <v>16074.129599277308</v>
      </c>
      <c r="AV10" s="136">
        <v>0</v>
      </c>
      <c r="AW10" s="136">
        <v>0</v>
      </c>
      <c r="AX10" s="336">
        <f>SUM(AU10:AW10)</f>
        <v>16074.129599277308</v>
      </c>
      <c r="AY10" s="136">
        <f t="shared" ref="AY10:AY16" si="1">+$C$4</f>
        <v>1.3427</v>
      </c>
      <c r="AZ10" s="141">
        <f>+AU10*$C$4</f>
        <v>21582.733812949642</v>
      </c>
      <c r="BA10" s="340"/>
      <c r="BB10" s="140">
        <f>6*AG10</f>
        <v>16074.129599277308</v>
      </c>
      <c r="BC10" s="136">
        <v>0</v>
      </c>
      <c r="BD10" s="136">
        <v>0</v>
      </c>
      <c r="BE10" s="336">
        <f>SUM(BB10:BD10)</f>
        <v>16074.129599277308</v>
      </c>
      <c r="BF10" s="136">
        <f t="shared" ref="BF10:BF16" si="2">+$C$4</f>
        <v>1.3427</v>
      </c>
      <c r="BG10" s="141">
        <f>+BB10*$C$4</f>
        <v>21582.733812949642</v>
      </c>
      <c r="BH10" s="126"/>
      <c r="BI10" s="140">
        <v>0</v>
      </c>
      <c r="BJ10" s="136"/>
      <c r="BK10" s="136"/>
      <c r="BL10" s="141">
        <f>SUM(BI10:BK10)</f>
        <v>0</v>
      </c>
      <c r="BM10" s="142">
        <f>+$C$4</f>
        <v>1.3427</v>
      </c>
      <c r="BN10" s="141">
        <f>+BI10/$C$4</f>
        <v>0</v>
      </c>
    </row>
    <row r="11" spans="1:67" s="130" customFormat="1" ht="20.25" customHeight="1">
      <c r="B11" s="335" t="s">
        <v>269</v>
      </c>
      <c r="C11" s="434" t="s">
        <v>141</v>
      </c>
      <c r="D11" s="137">
        <v>78000</v>
      </c>
      <c r="E11" s="136" t="s">
        <v>125</v>
      </c>
      <c r="F11" s="136" t="s">
        <v>124</v>
      </c>
      <c r="G11" s="138">
        <v>1</v>
      </c>
      <c r="H11" s="136">
        <v>0</v>
      </c>
      <c r="I11" s="136">
        <v>0</v>
      </c>
      <c r="J11" s="136">
        <v>0</v>
      </c>
      <c r="K11" s="139">
        <v>41671</v>
      </c>
      <c r="L11" s="139">
        <v>42460</v>
      </c>
      <c r="M11" s="136" t="s">
        <v>76</v>
      </c>
      <c r="N11" s="136"/>
      <c r="O11" s="136" t="s">
        <v>106</v>
      </c>
      <c r="P11" s="136">
        <v>26</v>
      </c>
      <c r="Q11" s="336">
        <v>3000</v>
      </c>
      <c r="R11" s="397">
        <f>Q11*P11</f>
        <v>78000</v>
      </c>
      <c r="S11" s="336">
        <f>Q11*$C$4</f>
        <v>4028.1</v>
      </c>
      <c r="T11" s="336">
        <f>+S11*P11</f>
        <v>104730.59999999999</v>
      </c>
      <c r="U11" s="336"/>
      <c r="V11" s="141"/>
      <c r="W11" s="340"/>
      <c r="X11" s="140">
        <f>+R11</f>
        <v>78000</v>
      </c>
      <c r="Y11" s="136">
        <v>0</v>
      </c>
      <c r="Z11" s="136">
        <v>0</v>
      </c>
      <c r="AA11" s="336">
        <f>SUM(X11:Z11)</f>
        <v>78000</v>
      </c>
      <c r="AB11" s="136">
        <f t="shared" ref="AB11:AB33" si="3">+$C$4</f>
        <v>1.3427</v>
      </c>
      <c r="AC11" s="141">
        <f t="shared" ref="AC11:AC16" si="4">+X11*AB11</f>
        <v>104730.6</v>
      </c>
      <c r="AD11" s="126"/>
      <c r="AE11" s="142" t="s">
        <v>106</v>
      </c>
      <c r="AF11" s="136">
        <v>26</v>
      </c>
      <c r="AG11" s="397">
        <f t="shared" ref="AG11:AG12" si="5">+AI11/$C$4</f>
        <v>1875.3151199156857</v>
      </c>
      <c r="AH11" s="336">
        <f>AF11*AG11</f>
        <v>48758.19311780783</v>
      </c>
      <c r="AI11" s="336">
        <f t="shared" ref="AI11:AI55" si="6">+AK11/$C$2</f>
        <v>2517.9856115107914</v>
      </c>
      <c r="AJ11" s="336">
        <f t="shared" ref="AJ11:AJ12" si="7">+AF11*AI11</f>
        <v>65467.625899280574</v>
      </c>
      <c r="AK11" s="336">
        <v>7000</v>
      </c>
      <c r="AL11" s="141">
        <f t="shared" ref="AL11:AL23" si="8">+AF11*AK11</f>
        <v>182000</v>
      </c>
      <c r="AM11" s="340"/>
      <c r="AN11" s="140">
        <f t="shared" ref="AN11:AN55" si="9">+AH11</f>
        <v>48758.19311780783</v>
      </c>
      <c r="AO11" s="136">
        <v>0</v>
      </c>
      <c r="AP11" s="136">
        <v>0</v>
      </c>
      <c r="AQ11" s="336">
        <f>SUM(AN11:AP11)</f>
        <v>48758.19311780783</v>
      </c>
      <c r="AR11" s="136">
        <f t="shared" si="0"/>
        <v>1.3427</v>
      </c>
      <c r="AS11" s="141">
        <f t="shared" ref="AS11" si="10">+AN11*$C$4</f>
        <v>65467.625899280574</v>
      </c>
      <c r="AT11" s="126"/>
      <c r="AU11" s="140">
        <f>4*AG11</f>
        <v>7501.2604796627429</v>
      </c>
      <c r="AV11" s="136">
        <v>0</v>
      </c>
      <c r="AW11" s="136">
        <v>0</v>
      </c>
      <c r="AX11" s="336">
        <f>SUM(AU11:AW11)</f>
        <v>7501.2604796627429</v>
      </c>
      <c r="AY11" s="136">
        <f t="shared" si="1"/>
        <v>1.3427</v>
      </c>
      <c r="AZ11" s="141">
        <f t="shared" ref="AZ11:AZ27" si="11">+AU11*$C$4</f>
        <v>10071.942446043166</v>
      </c>
      <c r="BA11" s="340"/>
      <c r="BB11" s="140">
        <f t="shared" ref="BB11" si="12">6*AG11</f>
        <v>11251.890719494115</v>
      </c>
      <c r="BC11" s="136">
        <v>0</v>
      </c>
      <c r="BD11" s="136">
        <v>0</v>
      </c>
      <c r="BE11" s="336">
        <f>SUM(BB11:BD11)</f>
        <v>11251.890719494115</v>
      </c>
      <c r="BF11" s="136">
        <f t="shared" si="2"/>
        <v>1.3427</v>
      </c>
      <c r="BG11" s="141">
        <f t="shared" ref="BG11:BG13" si="13">+BB11*$C$4</f>
        <v>15107.913669064748</v>
      </c>
      <c r="BH11" s="126"/>
      <c r="BI11" s="140">
        <v>0</v>
      </c>
      <c r="BJ11" s="136"/>
      <c r="BK11" s="136"/>
      <c r="BL11" s="141">
        <f>SUM(BI11:BK11)</f>
        <v>0</v>
      </c>
      <c r="BM11" s="142">
        <f>+$C$4</f>
        <v>1.3427</v>
      </c>
      <c r="BN11" s="141">
        <f>+BI11/$C$4</f>
        <v>0</v>
      </c>
    </row>
    <row r="12" spans="1:67" s="130" customFormat="1" ht="20.25" customHeight="1">
      <c r="B12" s="335" t="s">
        <v>270</v>
      </c>
      <c r="C12" s="434" t="s">
        <v>140</v>
      </c>
      <c r="D12" s="137">
        <v>60000</v>
      </c>
      <c r="E12" s="136" t="s">
        <v>125</v>
      </c>
      <c r="F12" s="136" t="s">
        <v>124</v>
      </c>
      <c r="G12" s="138">
        <v>1</v>
      </c>
      <c r="H12" s="136">
        <v>0</v>
      </c>
      <c r="I12" s="136">
        <v>0</v>
      </c>
      <c r="J12" s="136">
        <v>0</v>
      </c>
      <c r="K12" s="139">
        <v>41699</v>
      </c>
      <c r="L12" s="139">
        <v>42460</v>
      </c>
      <c r="M12" s="136" t="s">
        <v>76</v>
      </c>
      <c r="N12" s="136"/>
      <c r="O12" s="136" t="s">
        <v>106</v>
      </c>
      <c r="P12" s="136">
        <v>30</v>
      </c>
      <c r="Q12" s="336">
        <v>2000</v>
      </c>
      <c r="R12" s="397">
        <f>Q12*P12</f>
        <v>60000</v>
      </c>
      <c r="S12" s="336">
        <f>Q12*$C$4</f>
        <v>2685.4</v>
      </c>
      <c r="T12" s="336">
        <f>+S12*P12</f>
        <v>80562</v>
      </c>
      <c r="U12" s="336"/>
      <c r="V12" s="141"/>
      <c r="W12" s="340"/>
      <c r="X12" s="140">
        <f>+R12</f>
        <v>60000</v>
      </c>
      <c r="Y12" s="136">
        <v>0</v>
      </c>
      <c r="Z12" s="136">
        <v>0</v>
      </c>
      <c r="AA12" s="336">
        <f>SUM(X12:Z12)</f>
        <v>60000</v>
      </c>
      <c r="AB12" s="136">
        <f t="shared" si="3"/>
        <v>1.3427</v>
      </c>
      <c r="AC12" s="141">
        <f t="shared" si="4"/>
        <v>80562</v>
      </c>
      <c r="AD12" s="126"/>
      <c r="AE12" s="142" t="s">
        <v>106</v>
      </c>
      <c r="AF12" s="136">
        <v>25</v>
      </c>
      <c r="AG12" s="397">
        <f t="shared" si="5"/>
        <v>1071.6086399518206</v>
      </c>
      <c r="AH12" s="336">
        <f>AF12*AG12</f>
        <v>26790.215998795513</v>
      </c>
      <c r="AI12" s="336">
        <f t="shared" si="6"/>
        <v>1438.8489208633096</v>
      </c>
      <c r="AJ12" s="336">
        <f t="shared" si="7"/>
        <v>35971.223021582737</v>
      </c>
      <c r="AK12" s="336">
        <v>4000</v>
      </c>
      <c r="AL12" s="141">
        <f t="shared" si="8"/>
        <v>100000</v>
      </c>
      <c r="AM12" s="340"/>
      <c r="AN12" s="140">
        <f t="shared" si="9"/>
        <v>26790.215998795513</v>
      </c>
      <c r="AO12" s="136">
        <v>0</v>
      </c>
      <c r="AP12" s="136">
        <v>0</v>
      </c>
      <c r="AQ12" s="336">
        <f>SUM(AN12:AP12)</f>
        <v>26790.215998795513</v>
      </c>
      <c r="AR12" s="136">
        <f>+$C$4</f>
        <v>1.3427</v>
      </c>
      <c r="AS12" s="141">
        <f>+AN12*$C$4</f>
        <v>35971.223021582737</v>
      </c>
      <c r="AT12" s="126"/>
      <c r="AU12" s="140">
        <f>3.5*AG12</f>
        <v>3750.6302398313719</v>
      </c>
      <c r="AV12" s="136">
        <v>0</v>
      </c>
      <c r="AW12" s="136">
        <v>0</v>
      </c>
      <c r="AX12" s="336">
        <f>SUM(AU12:AW12)</f>
        <v>3750.6302398313719</v>
      </c>
      <c r="AY12" s="136">
        <f t="shared" si="1"/>
        <v>1.3427</v>
      </c>
      <c r="AZ12" s="141">
        <f t="shared" si="11"/>
        <v>5035.9712230215828</v>
      </c>
      <c r="BA12" s="340"/>
      <c r="BB12" s="140">
        <f>6*AG12</f>
        <v>6429.651839710923</v>
      </c>
      <c r="BC12" s="136">
        <v>0</v>
      </c>
      <c r="BD12" s="136">
        <v>0</v>
      </c>
      <c r="BE12" s="336">
        <f>SUM(BB12:BD12)</f>
        <v>6429.651839710923</v>
      </c>
      <c r="BF12" s="136">
        <f t="shared" si="2"/>
        <v>1.3427</v>
      </c>
      <c r="BG12" s="141">
        <f t="shared" si="13"/>
        <v>8633.0935251798564</v>
      </c>
      <c r="BH12" s="126"/>
      <c r="BI12" s="140">
        <v>0</v>
      </c>
      <c r="BJ12" s="136"/>
      <c r="BK12" s="136"/>
      <c r="BL12" s="141">
        <f>SUM(BI12:BK12)</f>
        <v>0</v>
      </c>
      <c r="BM12" s="142">
        <f>+$C$4</f>
        <v>1.3427</v>
      </c>
      <c r="BN12" s="141">
        <f>+BI12/$C$4</f>
        <v>0</v>
      </c>
    </row>
    <row r="13" spans="1:67" s="130" customFormat="1" ht="20.25" customHeight="1">
      <c r="B13" s="335" t="s">
        <v>271</v>
      </c>
      <c r="C13" s="434" t="s">
        <v>310</v>
      </c>
      <c r="D13" s="137"/>
      <c r="E13" s="136" t="s">
        <v>125</v>
      </c>
      <c r="F13" s="136" t="s">
        <v>124</v>
      </c>
      <c r="G13" s="138">
        <v>1</v>
      </c>
      <c r="H13" s="136">
        <v>0</v>
      </c>
      <c r="I13" s="136">
        <v>0</v>
      </c>
      <c r="J13" s="136">
        <v>0</v>
      </c>
      <c r="K13" s="139">
        <v>41699</v>
      </c>
      <c r="L13" s="139">
        <v>42460</v>
      </c>
      <c r="M13" s="136" t="s">
        <v>76</v>
      </c>
      <c r="N13" s="136"/>
      <c r="O13" s="136" t="s">
        <v>106</v>
      </c>
      <c r="P13" s="136">
        <v>30</v>
      </c>
      <c r="Q13" s="336"/>
      <c r="R13" s="397">
        <f>Q13*P13</f>
        <v>0</v>
      </c>
      <c r="S13" s="336">
        <f>Q13*$C$4</f>
        <v>0</v>
      </c>
      <c r="T13" s="336">
        <f>+S13*P13</f>
        <v>0</v>
      </c>
      <c r="U13" s="336"/>
      <c r="V13" s="141"/>
      <c r="W13" s="340"/>
      <c r="X13" s="140">
        <f>+R13</f>
        <v>0</v>
      </c>
      <c r="Y13" s="136">
        <v>0</v>
      </c>
      <c r="Z13" s="136">
        <v>0</v>
      </c>
      <c r="AA13" s="336">
        <f>SUM(X13:Z13)</f>
        <v>0</v>
      </c>
      <c r="AB13" s="136">
        <f t="shared" si="3"/>
        <v>1.3427</v>
      </c>
      <c r="AC13" s="141">
        <f t="shared" si="4"/>
        <v>0</v>
      </c>
      <c r="AD13" s="126"/>
      <c r="AE13" s="142" t="s">
        <v>106</v>
      </c>
      <c r="AF13" s="136">
        <v>25</v>
      </c>
      <c r="AG13" s="397">
        <f>+AI13/$C$4</f>
        <v>535.80431997591029</v>
      </c>
      <c r="AH13" s="336">
        <f>AF13*AG13</f>
        <v>13395.107999397756</v>
      </c>
      <c r="AI13" s="336">
        <f t="shared" si="6"/>
        <v>719.42446043165478</v>
      </c>
      <c r="AJ13" s="336">
        <f>+AF13*AI13</f>
        <v>17985.611510791368</v>
      </c>
      <c r="AK13" s="336">
        <v>2000</v>
      </c>
      <c r="AL13" s="141">
        <f t="shared" si="8"/>
        <v>50000</v>
      </c>
      <c r="AM13" s="340"/>
      <c r="AN13" s="140">
        <f t="shared" si="9"/>
        <v>13395.107999397756</v>
      </c>
      <c r="AO13" s="136">
        <v>0</v>
      </c>
      <c r="AP13" s="136">
        <v>0</v>
      </c>
      <c r="AQ13" s="336">
        <f>SUM(AN13:AP13)</f>
        <v>13395.107999397756</v>
      </c>
      <c r="AR13" s="136">
        <f t="shared" si="0"/>
        <v>1.3427</v>
      </c>
      <c r="AS13" s="141">
        <f>+AN13*$C$4</f>
        <v>17985.611510791368</v>
      </c>
      <c r="AT13" s="126"/>
      <c r="AU13" s="140">
        <f>3.5*AG13</f>
        <v>1875.315119915686</v>
      </c>
      <c r="AV13" s="136">
        <v>0</v>
      </c>
      <c r="AW13" s="136">
        <v>0</v>
      </c>
      <c r="AX13" s="336">
        <f>SUM(AU13:AW13)</f>
        <v>1875.315119915686</v>
      </c>
      <c r="AY13" s="136">
        <f t="shared" si="1"/>
        <v>1.3427</v>
      </c>
      <c r="AZ13" s="141">
        <f t="shared" si="11"/>
        <v>2517.9856115107914</v>
      </c>
      <c r="BA13" s="340"/>
      <c r="BB13" s="140">
        <f>6*AG13</f>
        <v>3214.8259198554615</v>
      </c>
      <c r="BC13" s="136">
        <v>0</v>
      </c>
      <c r="BD13" s="136">
        <v>0</v>
      </c>
      <c r="BE13" s="336">
        <f>SUM(BB13:BD13)</f>
        <v>3214.8259198554615</v>
      </c>
      <c r="BF13" s="136">
        <f t="shared" si="2"/>
        <v>1.3427</v>
      </c>
      <c r="BG13" s="141">
        <f t="shared" si="13"/>
        <v>4316.5467625899282</v>
      </c>
      <c r="BH13" s="126"/>
      <c r="BI13" s="140">
        <v>0</v>
      </c>
      <c r="BJ13" s="136"/>
      <c r="BK13" s="136"/>
      <c r="BL13" s="141">
        <f>SUM(BI13:BK13)</f>
        <v>0</v>
      </c>
      <c r="BM13" s="142">
        <f>+$C$4</f>
        <v>1.3427</v>
      </c>
      <c r="BN13" s="141">
        <f>+BI13/$C$4</f>
        <v>0</v>
      </c>
    </row>
    <row r="14" spans="1:67" s="130" customFormat="1" ht="15" customHeight="1">
      <c r="B14" s="425" t="s">
        <v>272</v>
      </c>
      <c r="C14" s="435" t="s">
        <v>47</v>
      </c>
      <c r="D14" s="428">
        <v>46800</v>
      </c>
      <c r="E14" s="361"/>
      <c r="F14" s="361"/>
      <c r="G14" s="407"/>
      <c r="H14" s="361"/>
      <c r="I14" s="361"/>
      <c r="J14" s="361"/>
      <c r="K14" s="361"/>
      <c r="L14" s="361"/>
      <c r="M14" s="361"/>
      <c r="N14" s="361"/>
      <c r="O14" s="361" t="s">
        <v>106</v>
      </c>
      <c r="P14" s="361">
        <v>26</v>
      </c>
      <c r="Q14" s="360">
        <v>1800</v>
      </c>
      <c r="R14" s="398">
        <f>Q14*P14</f>
        <v>46800</v>
      </c>
      <c r="S14" s="360">
        <f>Q14*$C$4</f>
        <v>2416.86</v>
      </c>
      <c r="T14" s="360">
        <f>+S14*P14</f>
        <v>62838.36</v>
      </c>
      <c r="U14" s="360"/>
      <c r="V14" s="329"/>
      <c r="W14" s="340"/>
      <c r="X14" s="328">
        <v>46800</v>
      </c>
      <c r="Y14" s="361">
        <f>+Y15+Y16</f>
        <v>0</v>
      </c>
      <c r="Z14" s="361">
        <f>+Z15+Z16</f>
        <v>0</v>
      </c>
      <c r="AA14" s="360">
        <f>SUM(AA15:AA16)</f>
        <v>0</v>
      </c>
      <c r="AB14" s="361"/>
      <c r="AC14" s="329">
        <f>+X14*$C$4</f>
        <v>62838.36</v>
      </c>
      <c r="AD14" s="126"/>
      <c r="AE14" s="330"/>
      <c r="AF14" s="361"/>
      <c r="AG14" s="398"/>
      <c r="AH14" s="360">
        <f>SUM(AH15:AH16)</f>
        <v>3214.8259198554615</v>
      </c>
      <c r="AI14" s="360"/>
      <c r="AJ14" s="360">
        <f>SUM(AJ15:AJ16)</f>
        <v>4316.5467625899291</v>
      </c>
      <c r="AK14" s="360"/>
      <c r="AL14" s="329">
        <f>SUM(AL15:AL16)</f>
        <v>12000</v>
      </c>
      <c r="AM14" s="340"/>
      <c r="AN14" s="328">
        <f>SUM(AN15:AN16)</f>
        <v>3214.8259198554615</v>
      </c>
      <c r="AO14" s="361">
        <f>SUM(AO15:AO16)</f>
        <v>0</v>
      </c>
      <c r="AP14" s="361">
        <f>SUM(AP15:AP16)</f>
        <v>0</v>
      </c>
      <c r="AQ14" s="360"/>
      <c r="AR14" s="361">
        <f t="shared" si="0"/>
        <v>1.3427</v>
      </c>
      <c r="AS14" s="329">
        <f>SUM(AS15:AS16)</f>
        <v>4316.5467625899291</v>
      </c>
      <c r="AT14" s="126"/>
      <c r="AU14" s="328">
        <f>SUM(AU15:AU16)</f>
        <v>0</v>
      </c>
      <c r="AV14" s="361">
        <f>SUM(AV15:AV16)</f>
        <v>0</v>
      </c>
      <c r="AW14" s="361">
        <f>SUM(AW15:AW16)</f>
        <v>0</v>
      </c>
      <c r="AX14" s="360">
        <f>SUM(AX15:AX16)</f>
        <v>0</v>
      </c>
      <c r="AY14" s="361">
        <f t="shared" si="1"/>
        <v>1.3427</v>
      </c>
      <c r="AZ14" s="329">
        <f>+AU14/$C$4</f>
        <v>0</v>
      </c>
      <c r="BA14" s="340"/>
      <c r="BB14" s="328">
        <f>SUM(BB15:BB16)</f>
        <v>3214.8259198554615</v>
      </c>
      <c r="BC14" s="361">
        <f>SUM(BC15:BC16)</f>
        <v>0</v>
      </c>
      <c r="BD14" s="361">
        <f>SUM(BD15:BD16)</f>
        <v>0</v>
      </c>
      <c r="BE14" s="360">
        <f>SUM(BE15:BE16)</f>
        <v>3214.8259198554615</v>
      </c>
      <c r="BF14" s="361">
        <f t="shared" si="2"/>
        <v>1.3427</v>
      </c>
      <c r="BG14" s="329">
        <f>+BB14/$C$4</f>
        <v>2394.2994860024291</v>
      </c>
      <c r="BH14" s="126"/>
      <c r="BI14" s="328"/>
      <c r="BJ14" s="327"/>
      <c r="BK14" s="327"/>
      <c r="BL14" s="329"/>
      <c r="BM14" s="330"/>
      <c r="BN14" s="329"/>
      <c r="BO14" s="331"/>
    </row>
    <row r="15" spans="1:67" s="130" customFormat="1" ht="26.25" customHeight="1">
      <c r="B15" s="335" t="s">
        <v>398</v>
      </c>
      <c r="C15" s="436" t="s">
        <v>402</v>
      </c>
      <c r="D15" s="137"/>
      <c r="E15" s="136" t="s">
        <v>125</v>
      </c>
      <c r="F15" s="136" t="s">
        <v>124</v>
      </c>
      <c r="G15" s="138">
        <v>1</v>
      </c>
      <c r="H15" s="136">
        <v>0</v>
      </c>
      <c r="I15" s="136">
        <v>0</v>
      </c>
      <c r="J15" s="136">
        <v>0</v>
      </c>
      <c r="K15" s="139">
        <v>41883</v>
      </c>
      <c r="L15" s="136" t="s">
        <v>397</v>
      </c>
      <c r="M15" s="136" t="s">
        <v>39</v>
      </c>
      <c r="N15" s="306" t="s">
        <v>411</v>
      </c>
      <c r="O15" s="136"/>
      <c r="P15" s="136"/>
      <c r="Q15" s="336"/>
      <c r="R15" s="397"/>
      <c r="S15" s="336"/>
      <c r="T15" s="336"/>
      <c r="U15" s="336"/>
      <c r="V15" s="141"/>
      <c r="W15" s="340"/>
      <c r="X15" s="140">
        <f>+R15</f>
        <v>0</v>
      </c>
      <c r="Y15" s="136"/>
      <c r="Z15" s="136"/>
      <c r="AA15" s="336">
        <f>SUM(X15:Z15)</f>
        <v>0</v>
      </c>
      <c r="AB15" s="136">
        <f>+$C$4</f>
        <v>1.3427</v>
      </c>
      <c r="AC15" s="141">
        <f t="shared" si="4"/>
        <v>0</v>
      </c>
      <c r="AD15" s="126"/>
      <c r="AE15" s="142" t="s">
        <v>106</v>
      </c>
      <c r="AF15" s="136">
        <v>2</v>
      </c>
      <c r="AG15" s="397">
        <f>+AI15/$C$4</f>
        <v>535.80431997591029</v>
      </c>
      <c r="AH15" s="336">
        <f t="shared" ref="AH15:AH33" si="14">AF15*AG15</f>
        <v>1071.6086399518206</v>
      </c>
      <c r="AI15" s="336">
        <f>+AK15/$C$2</f>
        <v>719.42446043165478</v>
      </c>
      <c r="AJ15" s="336">
        <f>+AF15*AI15</f>
        <v>1438.8489208633096</v>
      </c>
      <c r="AK15" s="336">
        <v>2000</v>
      </c>
      <c r="AL15" s="141">
        <f t="shared" si="8"/>
        <v>4000</v>
      </c>
      <c r="AM15" s="340"/>
      <c r="AN15" s="140">
        <f t="shared" si="9"/>
        <v>1071.6086399518206</v>
      </c>
      <c r="AO15" s="136">
        <v>0</v>
      </c>
      <c r="AP15" s="136">
        <v>0</v>
      </c>
      <c r="AQ15" s="336">
        <f t="shared" ref="AQ15:AQ16" si="15">SUM(AN15:AP15)</f>
        <v>1071.6086399518206</v>
      </c>
      <c r="AR15" s="136">
        <f t="shared" si="0"/>
        <v>1.3427</v>
      </c>
      <c r="AS15" s="141">
        <f>+AN15*$C$4</f>
        <v>1438.8489208633096</v>
      </c>
      <c r="AT15" s="126"/>
      <c r="AU15" s="140">
        <v>0</v>
      </c>
      <c r="AV15" s="136">
        <v>0</v>
      </c>
      <c r="AW15" s="136">
        <v>0</v>
      </c>
      <c r="AX15" s="336">
        <f t="shared" ref="AX15:AX16" si="16">SUM(AU15:AW15)</f>
        <v>0</v>
      </c>
      <c r="AY15" s="136">
        <f t="shared" si="1"/>
        <v>1.3427</v>
      </c>
      <c r="AZ15" s="141">
        <f t="shared" si="11"/>
        <v>0</v>
      </c>
      <c r="BA15" s="340"/>
      <c r="BB15" s="140">
        <f>2*AG15</f>
        <v>1071.6086399518206</v>
      </c>
      <c r="BC15" s="136">
        <v>0</v>
      </c>
      <c r="BD15" s="136">
        <v>0</v>
      </c>
      <c r="BE15" s="336">
        <f t="shared" ref="BE15:BE16" si="17">SUM(BB15:BD15)</f>
        <v>1071.6086399518206</v>
      </c>
      <c r="BF15" s="136">
        <f t="shared" si="2"/>
        <v>1.3427</v>
      </c>
      <c r="BG15" s="141">
        <f t="shared" ref="BG15:BG16" si="18">+BB15*$C$4</f>
        <v>1438.8489208633096</v>
      </c>
      <c r="BH15" s="126"/>
      <c r="BI15" s="140"/>
      <c r="BJ15" s="143"/>
      <c r="BK15" s="143"/>
      <c r="BL15" s="141"/>
      <c r="BM15" s="142"/>
      <c r="BN15" s="141"/>
    </row>
    <row r="16" spans="1:67" s="130" customFormat="1" ht="22.5" customHeight="1">
      <c r="B16" s="335" t="s">
        <v>399</v>
      </c>
      <c r="C16" s="436" t="s">
        <v>401</v>
      </c>
      <c r="D16" s="137"/>
      <c r="E16" s="136" t="s">
        <v>125</v>
      </c>
      <c r="F16" s="136" t="s">
        <v>124</v>
      </c>
      <c r="G16" s="138">
        <v>1</v>
      </c>
      <c r="H16" s="136">
        <v>0</v>
      </c>
      <c r="I16" s="136">
        <v>0</v>
      </c>
      <c r="J16" s="136">
        <v>0</v>
      </c>
      <c r="K16" s="139">
        <v>41944</v>
      </c>
      <c r="L16" s="139">
        <v>41670</v>
      </c>
      <c r="M16" s="136" t="s">
        <v>39</v>
      </c>
      <c r="N16" s="306" t="s">
        <v>412</v>
      </c>
      <c r="O16" s="136"/>
      <c r="P16" s="136"/>
      <c r="Q16" s="336"/>
      <c r="R16" s="397"/>
      <c r="S16" s="336"/>
      <c r="T16" s="336"/>
      <c r="U16" s="336"/>
      <c r="V16" s="141"/>
      <c r="W16" s="340"/>
      <c r="X16" s="140">
        <f>+R16</f>
        <v>0</v>
      </c>
      <c r="Y16" s="136"/>
      <c r="Z16" s="136"/>
      <c r="AA16" s="336">
        <f>SUM(X16:Z16)</f>
        <v>0</v>
      </c>
      <c r="AB16" s="136">
        <f t="shared" si="3"/>
        <v>1.3427</v>
      </c>
      <c r="AC16" s="141">
        <f t="shared" si="4"/>
        <v>0</v>
      </c>
      <c r="AD16" s="126"/>
      <c r="AE16" s="142" t="s">
        <v>106</v>
      </c>
      <c r="AF16" s="136">
        <v>2</v>
      </c>
      <c r="AG16" s="397">
        <f t="shared" ref="AG16:AG33" si="19">+AI16/$C$4</f>
        <v>1071.6086399518206</v>
      </c>
      <c r="AH16" s="336">
        <f t="shared" si="14"/>
        <v>2143.2172799036412</v>
      </c>
      <c r="AI16" s="336">
        <f t="shared" si="6"/>
        <v>1438.8489208633096</v>
      </c>
      <c r="AJ16" s="336">
        <f t="shared" ref="AJ16:AJ39" si="20">+AF16*AI16</f>
        <v>2877.6978417266191</v>
      </c>
      <c r="AK16" s="336">
        <v>4000</v>
      </c>
      <c r="AL16" s="141">
        <f t="shared" si="8"/>
        <v>8000</v>
      </c>
      <c r="AM16" s="340"/>
      <c r="AN16" s="140">
        <f t="shared" si="9"/>
        <v>2143.2172799036412</v>
      </c>
      <c r="AO16" s="136">
        <v>0</v>
      </c>
      <c r="AP16" s="136">
        <v>0</v>
      </c>
      <c r="AQ16" s="336">
        <f t="shared" si="15"/>
        <v>2143.2172799036412</v>
      </c>
      <c r="AR16" s="136">
        <f t="shared" si="0"/>
        <v>1.3427</v>
      </c>
      <c r="AS16" s="141">
        <f t="shared" ref="AS16:AS55" si="21">+AN16*$C$4</f>
        <v>2877.6978417266191</v>
      </c>
      <c r="AT16" s="126"/>
      <c r="AU16" s="140">
        <v>0</v>
      </c>
      <c r="AV16" s="136">
        <v>0</v>
      </c>
      <c r="AW16" s="136">
        <v>0</v>
      </c>
      <c r="AX16" s="336">
        <f t="shared" si="16"/>
        <v>0</v>
      </c>
      <c r="AY16" s="136">
        <f t="shared" si="1"/>
        <v>1.3427</v>
      </c>
      <c r="AZ16" s="141">
        <f t="shared" si="11"/>
        <v>0</v>
      </c>
      <c r="BA16" s="340"/>
      <c r="BB16" s="140">
        <f>2*AG16</f>
        <v>2143.2172799036412</v>
      </c>
      <c r="BC16" s="136">
        <v>0</v>
      </c>
      <c r="BD16" s="136">
        <v>0</v>
      </c>
      <c r="BE16" s="336">
        <f t="shared" si="17"/>
        <v>2143.2172799036412</v>
      </c>
      <c r="BF16" s="136">
        <f t="shared" si="2"/>
        <v>1.3427</v>
      </c>
      <c r="BG16" s="141">
        <f t="shared" si="18"/>
        <v>2877.6978417266191</v>
      </c>
      <c r="BH16" s="126"/>
      <c r="BI16" s="140"/>
      <c r="BJ16" s="143"/>
      <c r="BK16" s="143"/>
      <c r="BL16" s="141"/>
      <c r="BM16" s="142"/>
      <c r="BN16" s="141"/>
    </row>
    <row r="17" spans="2:66" s="130" customFormat="1" ht="30" customHeight="1">
      <c r="B17" s="424" t="s">
        <v>145</v>
      </c>
      <c r="C17" s="433" t="s">
        <v>400</v>
      </c>
      <c r="D17" s="427">
        <f>SUM(D18:D20)</f>
        <v>18000</v>
      </c>
      <c r="E17" s="379"/>
      <c r="F17" s="406"/>
      <c r="G17" s="379"/>
      <c r="H17" s="379"/>
      <c r="I17" s="379"/>
      <c r="J17" s="379"/>
      <c r="K17" s="379"/>
      <c r="L17" s="379"/>
      <c r="M17" s="406"/>
      <c r="N17" s="379"/>
      <c r="O17" s="379"/>
      <c r="P17" s="379"/>
      <c r="Q17" s="378"/>
      <c r="R17" s="396">
        <f>SUM(R18:R20)</f>
        <v>18000</v>
      </c>
      <c r="S17" s="378"/>
      <c r="T17" s="378">
        <f>SUM(T18:T20)</f>
        <v>24168.6</v>
      </c>
      <c r="U17" s="378"/>
      <c r="V17" s="376"/>
      <c r="W17" s="373"/>
      <c r="X17" s="374">
        <f>SUM(X18:X20)</f>
        <v>18000</v>
      </c>
      <c r="Y17" s="379">
        <f>SUM(Y18:Y20)</f>
        <v>0</v>
      </c>
      <c r="Z17" s="379">
        <f>SUM(Z18:Z20)</f>
        <v>0</v>
      </c>
      <c r="AA17" s="378">
        <f>SUM(AA18:AA20)</f>
        <v>18000</v>
      </c>
      <c r="AB17" s="379"/>
      <c r="AC17" s="376">
        <f>SUM(AC18:AC20)</f>
        <v>24168.6</v>
      </c>
      <c r="AD17" s="126"/>
      <c r="AE17" s="377"/>
      <c r="AF17" s="379"/>
      <c r="AG17" s="396"/>
      <c r="AH17" s="378">
        <f>SUM(AH18:AH20)</f>
        <v>3214.8259198554615</v>
      </c>
      <c r="AI17" s="378"/>
      <c r="AJ17" s="378">
        <f>SUM(AJ18:AJ20)</f>
        <v>4316.5467625899291</v>
      </c>
      <c r="AK17" s="378"/>
      <c r="AL17" s="376">
        <f>SUM(AL18:AL20)</f>
        <v>12000</v>
      </c>
      <c r="AM17" s="340"/>
      <c r="AN17" s="374">
        <f>SUM(AN18:AN20)</f>
        <v>3214.8259198554615</v>
      </c>
      <c r="AO17" s="379">
        <f>SUM(AO18:AO20)</f>
        <v>0</v>
      </c>
      <c r="AP17" s="379">
        <f>SUM(AP18:AP20)</f>
        <v>0</v>
      </c>
      <c r="AQ17" s="378">
        <f>SUM(AQ18:AQ20)</f>
        <v>3214.8259198554615</v>
      </c>
      <c r="AR17" s="379"/>
      <c r="AS17" s="376">
        <f>SUM(AS18:AS20)</f>
        <v>4316.5467625899291</v>
      </c>
      <c r="AT17" s="126"/>
      <c r="AU17" s="374">
        <f>SUM(AU18:AU20)</f>
        <v>0</v>
      </c>
      <c r="AV17" s="379">
        <f>SUM(AV18:AV20)</f>
        <v>0</v>
      </c>
      <c r="AW17" s="379">
        <f>SUM(AW18:AW20)</f>
        <v>0</v>
      </c>
      <c r="AX17" s="378">
        <f>SUM(AX18:AX20)</f>
        <v>0</v>
      </c>
      <c r="AY17" s="379"/>
      <c r="AZ17" s="376">
        <f>SUM(AZ18:AZ20)</f>
        <v>0</v>
      </c>
      <c r="BA17" s="340"/>
      <c r="BB17" s="374">
        <f>SUM(BB18:BB20)</f>
        <v>3214.8259198554615</v>
      </c>
      <c r="BC17" s="379">
        <f>SUM(BC18:BC20)</f>
        <v>0</v>
      </c>
      <c r="BD17" s="379">
        <f>SUM(BD18:BD20)</f>
        <v>0</v>
      </c>
      <c r="BE17" s="378">
        <f>SUM(BE18:BE20)</f>
        <v>3214.8259198554615</v>
      </c>
      <c r="BF17" s="379"/>
      <c r="BG17" s="376">
        <f>SUM(BG18:BG20)</f>
        <v>4316.5467625899291</v>
      </c>
      <c r="BH17" s="126"/>
      <c r="BI17" s="374">
        <f>SUM(BI18:BI20)</f>
        <v>0</v>
      </c>
      <c r="BJ17" s="375">
        <f>SUM(BJ18:BJ20)</f>
        <v>0</v>
      </c>
      <c r="BK17" s="375">
        <f>SUM(BK18:BK20)</f>
        <v>0</v>
      </c>
      <c r="BL17" s="376">
        <f>SUM(BL18:BL20)</f>
        <v>0</v>
      </c>
      <c r="BM17" s="377"/>
      <c r="BN17" s="376">
        <f>SUM(BN18:BN20)</f>
        <v>0</v>
      </c>
    </row>
    <row r="18" spans="2:66" s="130" customFormat="1" ht="21.75" customHeight="1">
      <c r="B18" s="335" t="s">
        <v>273</v>
      </c>
      <c r="C18" s="437" t="s">
        <v>384</v>
      </c>
      <c r="D18" s="137">
        <v>6000</v>
      </c>
      <c r="E18" s="136" t="s">
        <v>125</v>
      </c>
      <c r="F18" s="136" t="s">
        <v>124</v>
      </c>
      <c r="G18" s="138">
        <v>1</v>
      </c>
      <c r="H18" s="136">
        <v>0</v>
      </c>
      <c r="I18" s="136">
        <v>0</v>
      </c>
      <c r="J18" s="136">
        <v>0</v>
      </c>
      <c r="K18" s="139">
        <v>41821</v>
      </c>
      <c r="L18" s="139">
        <v>41943</v>
      </c>
      <c r="M18" s="136" t="s">
        <v>39</v>
      </c>
      <c r="N18" s="136"/>
      <c r="O18" s="136" t="s">
        <v>117</v>
      </c>
      <c r="P18" s="136">
        <v>40</v>
      </c>
      <c r="Q18" s="336">
        <v>150</v>
      </c>
      <c r="R18" s="397">
        <f>Q18*P18</f>
        <v>6000</v>
      </c>
      <c r="S18" s="336">
        <f>Q18*$C$4</f>
        <v>201.405</v>
      </c>
      <c r="T18" s="336">
        <f>+S18*P18</f>
        <v>8056.2</v>
      </c>
      <c r="U18" s="336"/>
      <c r="V18" s="141"/>
      <c r="W18" s="340"/>
      <c r="X18" s="140">
        <f>+R18</f>
        <v>6000</v>
      </c>
      <c r="Y18" s="136">
        <v>0</v>
      </c>
      <c r="Z18" s="136">
        <v>0</v>
      </c>
      <c r="AA18" s="336">
        <f>SUM(X18:Z18)</f>
        <v>6000</v>
      </c>
      <c r="AB18" s="136">
        <f t="shared" si="3"/>
        <v>1.3427</v>
      </c>
      <c r="AC18" s="141">
        <f>+X18*AB18</f>
        <v>8056.2</v>
      </c>
      <c r="AD18" s="126"/>
      <c r="AE18" s="142" t="s">
        <v>117</v>
      </c>
      <c r="AF18" s="136">
        <v>10</v>
      </c>
      <c r="AG18" s="397">
        <f t="shared" si="19"/>
        <v>107.16086399518205</v>
      </c>
      <c r="AH18" s="336">
        <f t="shared" si="14"/>
        <v>1071.6086399518206</v>
      </c>
      <c r="AI18" s="336">
        <f>+AK18/$C$2</f>
        <v>143.88489208633095</v>
      </c>
      <c r="AJ18" s="336">
        <f>+AF18*AI18</f>
        <v>1438.8489208633096</v>
      </c>
      <c r="AK18" s="336">
        <v>400</v>
      </c>
      <c r="AL18" s="141">
        <f t="shared" si="8"/>
        <v>4000</v>
      </c>
      <c r="AM18" s="340"/>
      <c r="AN18" s="140">
        <f t="shared" si="9"/>
        <v>1071.6086399518206</v>
      </c>
      <c r="AO18" s="136">
        <v>0</v>
      </c>
      <c r="AP18" s="136">
        <v>0</v>
      </c>
      <c r="AQ18" s="336">
        <f>SUM(AN18:AP18)</f>
        <v>1071.6086399518206</v>
      </c>
      <c r="AR18" s="136">
        <f t="shared" ref="AR18:AR20" si="22">+$C$4</f>
        <v>1.3427</v>
      </c>
      <c r="AS18" s="141">
        <f>+AN18*$C$4</f>
        <v>1438.8489208633096</v>
      </c>
      <c r="AT18" s="126"/>
      <c r="AU18" s="140">
        <v>0</v>
      </c>
      <c r="AV18" s="136">
        <v>0</v>
      </c>
      <c r="AW18" s="136">
        <v>0</v>
      </c>
      <c r="AX18" s="336">
        <f>SUM(AU18:AW18)</f>
        <v>0</v>
      </c>
      <c r="AY18" s="136">
        <f t="shared" ref="AY18:AY20" si="23">+$C$4</f>
        <v>1.3427</v>
      </c>
      <c r="AZ18" s="141">
        <f t="shared" si="11"/>
        <v>0</v>
      </c>
      <c r="BA18" s="340"/>
      <c r="BB18" s="140">
        <f>10*AG18</f>
        <v>1071.6086399518206</v>
      </c>
      <c r="BC18" s="136">
        <v>0</v>
      </c>
      <c r="BD18" s="136">
        <v>0</v>
      </c>
      <c r="BE18" s="336">
        <f>SUM(BB18:BD18)</f>
        <v>1071.6086399518206</v>
      </c>
      <c r="BF18" s="136">
        <f t="shared" ref="BF18:BF20" si="24">+$C$4</f>
        <v>1.3427</v>
      </c>
      <c r="BG18" s="141">
        <f t="shared" ref="BG18:BG20" si="25">+BB18*$C$4</f>
        <v>1438.8489208633096</v>
      </c>
      <c r="BH18" s="126"/>
      <c r="BI18" s="140">
        <v>0</v>
      </c>
      <c r="BJ18" s="136"/>
      <c r="BK18" s="136"/>
      <c r="BL18" s="141">
        <f>SUM(BI18:BK18)</f>
        <v>0</v>
      </c>
      <c r="BM18" s="142">
        <f>+$C$4</f>
        <v>1.3427</v>
      </c>
      <c r="BN18" s="141">
        <f>+BI18/$C$4</f>
        <v>0</v>
      </c>
    </row>
    <row r="19" spans="2:66" s="130" customFormat="1" ht="21.75" customHeight="1">
      <c r="B19" s="335" t="s">
        <v>274</v>
      </c>
      <c r="C19" s="437" t="s">
        <v>403</v>
      </c>
      <c r="D19" s="137">
        <v>6000</v>
      </c>
      <c r="E19" s="136" t="s">
        <v>125</v>
      </c>
      <c r="F19" s="136" t="s">
        <v>124</v>
      </c>
      <c r="G19" s="138">
        <v>1</v>
      </c>
      <c r="H19" s="136">
        <v>0</v>
      </c>
      <c r="I19" s="136">
        <v>0</v>
      </c>
      <c r="J19" s="136">
        <v>0</v>
      </c>
      <c r="K19" s="139">
        <v>41821</v>
      </c>
      <c r="L19" s="139">
        <v>41943</v>
      </c>
      <c r="M19" s="136" t="s">
        <v>39</v>
      </c>
      <c r="N19" s="136"/>
      <c r="O19" s="136" t="s">
        <v>117</v>
      </c>
      <c r="P19" s="136">
        <v>40</v>
      </c>
      <c r="Q19" s="336">
        <v>150</v>
      </c>
      <c r="R19" s="397">
        <f>Q19*P19</f>
        <v>6000</v>
      </c>
      <c r="S19" s="336">
        <f>Q19*$C$4</f>
        <v>201.405</v>
      </c>
      <c r="T19" s="336">
        <f>+S19*P19</f>
        <v>8056.2</v>
      </c>
      <c r="U19" s="336"/>
      <c r="V19" s="141"/>
      <c r="W19" s="340"/>
      <c r="X19" s="140">
        <f>+R19</f>
        <v>6000</v>
      </c>
      <c r="Y19" s="136">
        <v>0</v>
      </c>
      <c r="Z19" s="136">
        <v>0</v>
      </c>
      <c r="AA19" s="336">
        <f>SUM(X19:Z19)</f>
        <v>6000</v>
      </c>
      <c r="AB19" s="136">
        <f t="shared" si="3"/>
        <v>1.3427</v>
      </c>
      <c r="AC19" s="141">
        <f>+X19*AB19</f>
        <v>8056.2</v>
      </c>
      <c r="AD19" s="126"/>
      <c r="AE19" s="142" t="s">
        <v>117</v>
      </c>
      <c r="AF19" s="136">
        <v>10</v>
      </c>
      <c r="AG19" s="397">
        <f t="shared" si="19"/>
        <v>107.16086399518205</v>
      </c>
      <c r="AH19" s="336">
        <f t="shared" si="14"/>
        <v>1071.6086399518206</v>
      </c>
      <c r="AI19" s="336">
        <f t="shared" si="6"/>
        <v>143.88489208633095</v>
      </c>
      <c r="AJ19" s="336">
        <f t="shared" si="20"/>
        <v>1438.8489208633096</v>
      </c>
      <c r="AK19" s="336">
        <v>400</v>
      </c>
      <c r="AL19" s="141">
        <f t="shared" si="8"/>
        <v>4000</v>
      </c>
      <c r="AM19" s="340"/>
      <c r="AN19" s="140">
        <f t="shared" si="9"/>
        <v>1071.6086399518206</v>
      </c>
      <c r="AO19" s="136">
        <v>0</v>
      </c>
      <c r="AP19" s="136">
        <v>0</v>
      </c>
      <c r="AQ19" s="336">
        <f>SUM(AN19:AP19)</f>
        <v>1071.6086399518206</v>
      </c>
      <c r="AR19" s="136">
        <f t="shared" si="22"/>
        <v>1.3427</v>
      </c>
      <c r="AS19" s="141">
        <f>+AN19*$C$4</f>
        <v>1438.8489208633096</v>
      </c>
      <c r="AT19" s="126"/>
      <c r="AU19" s="140">
        <v>0</v>
      </c>
      <c r="AV19" s="136">
        <v>0</v>
      </c>
      <c r="AW19" s="136">
        <v>0</v>
      </c>
      <c r="AX19" s="336">
        <f>SUM(AU19:AW19)</f>
        <v>0</v>
      </c>
      <c r="AY19" s="136">
        <f t="shared" si="23"/>
        <v>1.3427</v>
      </c>
      <c r="AZ19" s="141">
        <f t="shared" si="11"/>
        <v>0</v>
      </c>
      <c r="BA19" s="340"/>
      <c r="BB19" s="140">
        <f>10*AG19</f>
        <v>1071.6086399518206</v>
      </c>
      <c r="BC19" s="136">
        <v>0</v>
      </c>
      <c r="BD19" s="136">
        <v>0</v>
      </c>
      <c r="BE19" s="336">
        <f>SUM(BB19:BD19)</f>
        <v>1071.6086399518206</v>
      </c>
      <c r="BF19" s="136">
        <f t="shared" si="24"/>
        <v>1.3427</v>
      </c>
      <c r="BG19" s="141">
        <f t="shared" si="25"/>
        <v>1438.8489208633096</v>
      </c>
      <c r="BH19" s="126"/>
      <c r="BI19" s="140">
        <v>0</v>
      </c>
      <c r="BJ19" s="136"/>
      <c r="BK19" s="136"/>
      <c r="BL19" s="141">
        <f>SUM(BI19:BK19)</f>
        <v>0</v>
      </c>
      <c r="BM19" s="142">
        <f>+$C$4</f>
        <v>1.3427</v>
      </c>
      <c r="BN19" s="141">
        <f>+BI19/$C$4</f>
        <v>0</v>
      </c>
    </row>
    <row r="20" spans="2:66" s="130" customFormat="1" ht="21.75" customHeight="1">
      <c r="B20" s="335" t="s">
        <v>275</v>
      </c>
      <c r="C20" s="437" t="s">
        <v>95</v>
      </c>
      <c r="D20" s="137">
        <v>6000</v>
      </c>
      <c r="E20" s="136" t="s">
        <v>125</v>
      </c>
      <c r="F20" s="136" t="s">
        <v>124</v>
      </c>
      <c r="G20" s="138">
        <v>1</v>
      </c>
      <c r="H20" s="136">
        <v>0</v>
      </c>
      <c r="I20" s="136">
        <v>0</v>
      </c>
      <c r="J20" s="136">
        <v>0</v>
      </c>
      <c r="K20" s="139">
        <v>41821</v>
      </c>
      <c r="L20" s="139">
        <v>41943</v>
      </c>
      <c r="M20" s="136" t="s">
        <v>39</v>
      </c>
      <c r="N20" s="136"/>
      <c r="O20" s="136" t="s">
        <v>117</v>
      </c>
      <c r="P20" s="136">
        <v>40</v>
      </c>
      <c r="Q20" s="336">
        <v>150</v>
      </c>
      <c r="R20" s="397">
        <f>Q20*P20</f>
        <v>6000</v>
      </c>
      <c r="S20" s="336">
        <f>Q20*$C$4</f>
        <v>201.405</v>
      </c>
      <c r="T20" s="336">
        <f>+S20*P20</f>
        <v>8056.2</v>
      </c>
      <c r="U20" s="336"/>
      <c r="V20" s="141"/>
      <c r="W20" s="340"/>
      <c r="X20" s="140">
        <f>+R20</f>
        <v>6000</v>
      </c>
      <c r="Y20" s="136">
        <v>0</v>
      </c>
      <c r="Z20" s="136">
        <v>0</v>
      </c>
      <c r="AA20" s="336">
        <f>SUM(X20:Z20)</f>
        <v>6000</v>
      </c>
      <c r="AB20" s="136">
        <f t="shared" si="3"/>
        <v>1.3427</v>
      </c>
      <c r="AC20" s="141">
        <f>+X20*AB20</f>
        <v>8056.2</v>
      </c>
      <c r="AD20" s="126"/>
      <c r="AE20" s="142" t="s">
        <v>117</v>
      </c>
      <c r="AF20" s="136">
        <v>10</v>
      </c>
      <c r="AG20" s="397">
        <f t="shared" si="19"/>
        <v>107.16086399518205</v>
      </c>
      <c r="AH20" s="336">
        <f t="shared" si="14"/>
        <v>1071.6086399518206</v>
      </c>
      <c r="AI20" s="336">
        <f t="shared" si="6"/>
        <v>143.88489208633095</v>
      </c>
      <c r="AJ20" s="336">
        <f t="shared" si="20"/>
        <v>1438.8489208633096</v>
      </c>
      <c r="AK20" s="336">
        <v>400</v>
      </c>
      <c r="AL20" s="141">
        <f t="shared" si="8"/>
        <v>4000</v>
      </c>
      <c r="AM20" s="340"/>
      <c r="AN20" s="140">
        <f t="shared" si="9"/>
        <v>1071.6086399518206</v>
      </c>
      <c r="AO20" s="136">
        <v>0</v>
      </c>
      <c r="AP20" s="136">
        <v>0</v>
      </c>
      <c r="AQ20" s="336">
        <f>SUM(AN20:AP20)</f>
        <v>1071.6086399518206</v>
      </c>
      <c r="AR20" s="136">
        <f t="shared" si="22"/>
        <v>1.3427</v>
      </c>
      <c r="AS20" s="141">
        <f>+AN20*$C$4</f>
        <v>1438.8489208633096</v>
      </c>
      <c r="AT20" s="126"/>
      <c r="AU20" s="140">
        <v>0</v>
      </c>
      <c r="AV20" s="136">
        <v>0</v>
      </c>
      <c r="AW20" s="136">
        <v>0</v>
      </c>
      <c r="AX20" s="336">
        <f>SUM(AU20:AW20)</f>
        <v>0</v>
      </c>
      <c r="AY20" s="136">
        <f t="shared" si="23"/>
        <v>1.3427</v>
      </c>
      <c r="AZ20" s="141">
        <f t="shared" si="11"/>
        <v>0</v>
      </c>
      <c r="BA20" s="340"/>
      <c r="BB20" s="140">
        <f>10*AG20</f>
        <v>1071.6086399518206</v>
      </c>
      <c r="BC20" s="136">
        <v>0</v>
      </c>
      <c r="BD20" s="136">
        <v>0</v>
      </c>
      <c r="BE20" s="336">
        <f>SUM(BB20:BD20)</f>
        <v>1071.6086399518206</v>
      </c>
      <c r="BF20" s="136">
        <f t="shared" si="24"/>
        <v>1.3427</v>
      </c>
      <c r="BG20" s="141">
        <f t="shared" si="25"/>
        <v>1438.8489208633096</v>
      </c>
      <c r="BH20" s="126"/>
      <c r="BI20" s="140">
        <v>0</v>
      </c>
      <c r="BJ20" s="143"/>
      <c r="BK20" s="143"/>
      <c r="BL20" s="141">
        <f>SUM(BI20:BK20)</f>
        <v>0</v>
      </c>
      <c r="BM20" s="142">
        <f>+$C$4</f>
        <v>1.3427</v>
      </c>
      <c r="BN20" s="141">
        <f>+BI20/$C$4</f>
        <v>0</v>
      </c>
    </row>
    <row r="21" spans="2:66" s="130" customFormat="1" ht="30.75" customHeight="1">
      <c r="B21" s="424" t="s">
        <v>146</v>
      </c>
      <c r="C21" s="433" t="s">
        <v>61</v>
      </c>
      <c r="D21" s="427">
        <f>SUM(D22:D23)</f>
        <v>90000</v>
      </c>
      <c r="E21" s="379"/>
      <c r="F21" s="406"/>
      <c r="G21" s="379"/>
      <c r="H21" s="379"/>
      <c r="I21" s="379"/>
      <c r="J21" s="379"/>
      <c r="K21" s="379"/>
      <c r="L21" s="379"/>
      <c r="M21" s="406"/>
      <c r="N21" s="379"/>
      <c r="O21" s="379"/>
      <c r="P21" s="379"/>
      <c r="Q21" s="378"/>
      <c r="R21" s="396">
        <f>SUM(R22:R22)</f>
        <v>90000</v>
      </c>
      <c r="S21" s="378"/>
      <c r="T21" s="378">
        <f>SUM(T22:T22)</f>
        <v>120843</v>
      </c>
      <c r="U21" s="378"/>
      <c r="V21" s="376"/>
      <c r="W21" s="373"/>
      <c r="X21" s="374">
        <f>SUM(X22:X23)</f>
        <v>90000</v>
      </c>
      <c r="Y21" s="379">
        <f>SUM(Y22:Y23)</f>
        <v>0</v>
      </c>
      <c r="Z21" s="379">
        <f>SUM(Z22:Z23)</f>
        <v>0</v>
      </c>
      <c r="AA21" s="378">
        <f>SUM(AA22:AA23)</f>
        <v>90000</v>
      </c>
      <c r="AB21" s="379"/>
      <c r="AC21" s="376">
        <f>SUM(AC22:AC23)</f>
        <v>120843</v>
      </c>
      <c r="AD21" s="126"/>
      <c r="AE21" s="377"/>
      <c r="AF21" s="379"/>
      <c r="AG21" s="396"/>
      <c r="AH21" s="378">
        <f>SUM(AH22:AH23)</f>
        <v>13395.107999397758</v>
      </c>
      <c r="AI21" s="378"/>
      <c r="AJ21" s="378">
        <f>SUM(AJ22:AJ23)</f>
        <v>17985.611510791368</v>
      </c>
      <c r="AK21" s="378"/>
      <c r="AL21" s="376">
        <f>SUM(AL22:AL23)</f>
        <v>50000</v>
      </c>
      <c r="AM21" s="340"/>
      <c r="AN21" s="374">
        <f>SUM(AN22:AN23)</f>
        <v>13395.107999397758</v>
      </c>
      <c r="AO21" s="379">
        <f>SUM(AO22:AO23)</f>
        <v>0</v>
      </c>
      <c r="AP21" s="379">
        <f>SUM(AP22:AP23)</f>
        <v>0</v>
      </c>
      <c r="AQ21" s="378">
        <f>SUM(AQ22:AQ22)</f>
        <v>10716.086399518206</v>
      </c>
      <c r="AR21" s="379"/>
      <c r="AS21" s="376">
        <f>SUM(AS22:AS23)</f>
        <v>17985.611510791368</v>
      </c>
      <c r="AT21" s="126"/>
      <c r="AU21" s="374">
        <f>SUM(AU22:AU23)</f>
        <v>0</v>
      </c>
      <c r="AV21" s="379">
        <f>SUM(AV22:AV23)</f>
        <v>0</v>
      </c>
      <c r="AW21" s="379">
        <f>SUM(AW22:AW23)</f>
        <v>0</v>
      </c>
      <c r="AX21" s="378">
        <f>SUM(AX22:AX23)</f>
        <v>0</v>
      </c>
      <c r="AY21" s="379"/>
      <c r="AZ21" s="376">
        <f>SUM(AZ22:AZ23)</f>
        <v>0</v>
      </c>
      <c r="BA21" s="340"/>
      <c r="BB21" s="374">
        <f>SUM(BB22:BB23)</f>
        <v>2679.0215998795516</v>
      </c>
      <c r="BC21" s="379">
        <f>SUM(BC22:BC23)</f>
        <v>0</v>
      </c>
      <c r="BD21" s="379">
        <f>SUM(BD22:BD23)</f>
        <v>0</v>
      </c>
      <c r="BE21" s="378">
        <f>SUM(BE22:BE23)</f>
        <v>2679.0215998795516</v>
      </c>
      <c r="BF21" s="379"/>
      <c r="BG21" s="376">
        <f>SUM(BG22:BG23)</f>
        <v>3597.1223021582737</v>
      </c>
      <c r="BH21" s="126"/>
      <c r="BI21" s="374">
        <f>SUM(BI22:BI22)</f>
        <v>0</v>
      </c>
      <c r="BJ21" s="375">
        <f>SUM(BJ22:BJ22)</f>
        <v>0</v>
      </c>
      <c r="BK21" s="375">
        <f>SUM(BK22:BK22)</f>
        <v>0</v>
      </c>
      <c r="BL21" s="376">
        <f>SUM(BL22:BL22)</f>
        <v>0</v>
      </c>
      <c r="BM21" s="377"/>
      <c r="BN21" s="376">
        <f>SUM(BN22:BN22)</f>
        <v>0</v>
      </c>
    </row>
    <row r="22" spans="2:66" s="130" customFormat="1" ht="20.25" customHeight="1">
      <c r="B22" s="335" t="s">
        <v>276</v>
      </c>
      <c r="C22" s="438" t="s">
        <v>404</v>
      </c>
      <c r="D22" s="137">
        <v>90000</v>
      </c>
      <c r="E22" s="136" t="s">
        <v>126</v>
      </c>
      <c r="F22" s="136" t="s">
        <v>124</v>
      </c>
      <c r="G22" s="138">
        <v>1</v>
      </c>
      <c r="H22" s="136">
        <v>0</v>
      </c>
      <c r="I22" s="136">
        <v>0</v>
      </c>
      <c r="J22" s="136">
        <v>0</v>
      </c>
      <c r="K22" s="139">
        <v>41913</v>
      </c>
      <c r="L22" s="139">
        <v>42004</v>
      </c>
      <c r="M22" s="136" t="s">
        <v>39</v>
      </c>
      <c r="N22" s="136" t="s">
        <v>264</v>
      </c>
      <c r="O22" s="136" t="s">
        <v>449</v>
      </c>
      <c r="P22" s="136">
        <v>100</v>
      </c>
      <c r="Q22" s="336">
        <v>900</v>
      </c>
      <c r="R22" s="397">
        <f>Q22*P22</f>
        <v>90000</v>
      </c>
      <c r="S22" s="336">
        <f>Q22*$C$4</f>
        <v>1208.43</v>
      </c>
      <c r="T22" s="336">
        <f>+S22*P22</f>
        <v>120843</v>
      </c>
      <c r="U22" s="336"/>
      <c r="V22" s="141"/>
      <c r="W22" s="340"/>
      <c r="X22" s="140">
        <f>+R22</f>
        <v>90000</v>
      </c>
      <c r="Y22" s="136">
        <v>0</v>
      </c>
      <c r="Z22" s="136">
        <v>0</v>
      </c>
      <c r="AA22" s="336">
        <f>SUM(X22:Z22)</f>
        <v>90000</v>
      </c>
      <c r="AB22" s="136">
        <f t="shared" si="3"/>
        <v>1.3427</v>
      </c>
      <c r="AC22" s="141">
        <f t="shared" ref="AC22" si="26">+X22*AB22</f>
        <v>120843</v>
      </c>
      <c r="AD22" s="126"/>
      <c r="AE22" s="142" t="s">
        <v>449</v>
      </c>
      <c r="AF22" s="136">
        <v>40</v>
      </c>
      <c r="AG22" s="397">
        <f>+AI22/$C$4</f>
        <v>267.90215998795514</v>
      </c>
      <c r="AH22" s="336">
        <f t="shared" si="14"/>
        <v>10716.086399518206</v>
      </c>
      <c r="AI22" s="336">
        <f t="shared" si="6"/>
        <v>359.71223021582739</v>
      </c>
      <c r="AJ22" s="336">
        <f t="shared" si="20"/>
        <v>14388.489208633095</v>
      </c>
      <c r="AK22" s="336">
        <v>1000</v>
      </c>
      <c r="AL22" s="141">
        <f t="shared" si="8"/>
        <v>40000</v>
      </c>
      <c r="AM22" s="340"/>
      <c r="AN22" s="140">
        <f t="shared" si="9"/>
        <v>10716.086399518206</v>
      </c>
      <c r="AO22" s="136">
        <v>0</v>
      </c>
      <c r="AP22" s="136">
        <v>0</v>
      </c>
      <c r="AQ22" s="336">
        <f>SUM(AN22:AP22)</f>
        <v>10716.086399518206</v>
      </c>
      <c r="AR22" s="136">
        <f>+$C$4</f>
        <v>1.3427</v>
      </c>
      <c r="AS22" s="141">
        <f t="shared" si="21"/>
        <v>14388.489208633095</v>
      </c>
      <c r="AT22" s="126"/>
      <c r="AU22" s="140">
        <v>0</v>
      </c>
      <c r="AV22" s="136">
        <v>0</v>
      </c>
      <c r="AW22" s="136">
        <v>0</v>
      </c>
      <c r="AX22" s="336">
        <f>SUM(AU22:AW22)</f>
        <v>0</v>
      </c>
      <c r="AY22" s="136">
        <f>+$C$4</f>
        <v>1.3427</v>
      </c>
      <c r="AZ22" s="141">
        <f>+AU22*$C$4</f>
        <v>0</v>
      </c>
      <c r="BA22" s="340"/>
      <c r="BB22" s="140">
        <v>0</v>
      </c>
      <c r="BC22" s="136">
        <v>0</v>
      </c>
      <c r="BD22" s="136">
        <v>0</v>
      </c>
      <c r="BE22" s="336">
        <f>SUM(BB22:BD22)</f>
        <v>0</v>
      </c>
      <c r="BF22" s="136">
        <f>+$C$4</f>
        <v>1.3427</v>
      </c>
      <c r="BG22" s="141">
        <f>+BB22*$C$4</f>
        <v>0</v>
      </c>
      <c r="BH22" s="126"/>
      <c r="BI22" s="140">
        <v>0</v>
      </c>
      <c r="BJ22" s="143"/>
      <c r="BK22" s="143"/>
      <c r="BL22" s="141">
        <f>SUM(BI22:BK22)</f>
        <v>0</v>
      </c>
      <c r="BM22" s="142">
        <f>+$C$4</f>
        <v>1.3427</v>
      </c>
      <c r="BN22" s="141">
        <f>+BI22/$C$4</f>
        <v>0</v>
      </c>
    </row>
    <row r="23" spans="2:66" s="130" customFormat="1" ht="20.25" customHeight="1">
      <c r="B23" s="335" t="s">
        <v>406</v>
      </c>
      <c r="C23" s="438" t="s">
        <v>405</v>
      </c>
      <c r="D23" s="137">
        <v>0</v>
      </c>
      <c r="E23" s="136" t="s">
        <v>126</v>
      </c>
      <c r="F23" s="136" t="s">
        <v>124</v>
      </c>
      <c r="G23" s="138">
        <v>1</v>
      </c>
      <c r="H23" s="136">
        <v>0</v>
      </c>
      <c r="I23" s="136">
        <v>0</v>
      </c>
      <c r="J23" s="136">
        <v>0</v>
      </c>
      <c r="K23" s="139">
        <v>41883</v>
      </c>
      <c r="L23" s="139">
        <v>41927</v>
      </c>
      <c r="M23" s="136" t="s">
        <v>39</v>
      </c>
      <c r="N23" s="136" t="s">
        <v>413</v>
      </c>
      <c r="O23" s="136" t="s">
        <v>449</v>
      </c>
      <c r="P23" s="136"/>
      <c r="Q23" s="336"/>
      <c r="R23" s="397"/>
      <c r="S23" s="336"/>
      <c r="T23" s="336"/>
      <c r="U23" s="336"/>
      <c r="V23" s="141"/>
      <c r="W23" s="340"/>
      <c r="X23" s="140">
        <f>+R23</f>
        <v>0</v>
      </c>
      <c r="Y23" s="136"/>
      <c r="Z23" s="136"/>
      <c r="AA23" s="336"/>
      <c r="AB23" s="136">
        <f t="shared" si="3"/>
        <v>1.3427</v>
      </c>
      <c r="AC23" s="141">
        <f>+X23*AB23</f>
        <v>0</v>
      </c>
      <c r="AD23" s="126"/>
      <c r="AE23" s="142" t="s">
        <v>449</v>
      </c>
      <c r="AF23" s="136">
        <v>10</v>
      </c>
      <c r="AG23" s="397">
        <f t="shared" si="19"/>
        <v>267.90215998795514</v>
      </c>
      <c r="AH23" s="336">
        <f t="shared" si="14"/>
        <v>2679.0215998795516</v>
      </c>
      <c r="AI23" s="336">
        <f t="shared" si="6"/>
        <v>359.71223021582739</v>
      </c>
      <c r="AJ23" s="336">
        <f t="shared" si="20"/>
        <v>3597.1223021582737</v>
      </c>
      <c r="AK23" s="336">
        <v>1000</v>
      </c>
      <c r="AL23" s="141">
        <f t="shared" si="8"/>
        <v>10000</v>
      </c>
      <c r="AM23" s="340"/>
      <c r="AN23" s="140">
        <f t="shared" si="9"/>
        <v>2679.0215998795516</v>
      </c>
      <c r="AO23" s="136"/>
      <c r="AP23" s="136"/>
      <c r="AQ23" s="336">
        <f>SUM(AN23:AP23)</f>
        <v>2679.0215998795516</v>
      </c>
      <c r="AR23" s="136">
        <f>+$C$4</f>
        <v>1.3427</v>
      </c>
      <c r="AS23" s="141">
        <f t="shared" si="21"/>
        <v>3597.1223021582737</v>
      </c>
      <c r="AT23" s="126"/>
      <c r="AU23" s="140">
        <v>0</v>
      </c>
      <c r="AV23" s="136">
        <v>0</v>
      </c>
      <c r="AW23" s="136">
        <v>0</v>
      </c>
      <c r="AX23" s="336">
        <f>SUM(AU23:AW23)</f>
        <v>0</v>
      </c>
      <c r="AY23" s="136">
        <f>+$C$4</f>
        <v>1.3427</v>
      </c>
      <c r="AZ23" s="141">
        <f t="shared" si="11"/>
        <v>0</v>
      </c>
      <c r="BA23" s="340"/>
      <c r="BB23" s="140">
        <f>10*AG23</f>
        <v>2679.0215998795516</v>
      </c>
      <c r="BC23" s="136">
        <v>0</v>
      </c>
      <c r="BD23" s="136">
        <v>0</v>
      </c>
      <c r="BE23" s="336">
        <f>SUM(BB23:BD23)</f>
        <v>2679.0215998795516</v>
      </c>
      <c r="BF23" s="136">
        <f>+$C$4</f>
        <v>1.3427</v>
      </c>
      <c r="BG23" s="141">
        <f t="shared" ref="BG23" si="27">+BB23*$C$4</f>
        <v>3597.1223021582737</v>
      </c>
      <c r="BH23" s="126"/>
      <c r="BI23" s="140"/>
      <c r="BJ23" s="143"/>
      <c r="BK23" s="143"/>
      <c r="BL23" s="141"/>
      <c r="BM23" s="142"/>
      <c r="BN23" s="141"/>
    </row>
    <row r="24" spans="2:66" s="130" customFormat="1" ht="30.75" customHeight="1">
      <c r="B24" s="424" t="s">
        <v>147</v>
      </c>
      <c r="C24" s="433" t="s">
        <v>71</v>
      </c>
      <c r="D24" s="427">
        <f>+D25+D26+D27+D28+D29+D34</f>
        <v>31500</v>
      </c>
      <c r="E24" s="379"/>
      <c r="F24" s="406"/>
      <c r="G24" s="379"/>
      <c r="H24" s="379"/>
      <c r="I24" s="379"/>
      <c r="J24" s="379"/>
      <c r="K24" s="379"/>
      <c r="L24" s="379"/>
      <c r="M24" s="406"/>
      <c r="N24" s="379"/>
      <c r="O24" s="379"/>
      <c r="P24" s="379"/>
      <c r="Q24" s="378"/>
      <c r="R24" s="396">
        <f>SUM(R25:R29)</f>
        <v>31500</v>
      </c>
      <c r="S24" s="378"/>
      <c r="T24" s="378">
        <f>SUM(T25:T29)</f>
        <v>42295.05</v>
      </c>
      <c r="U24" s="378"/>
      <c r="V24" s="376"/>
      <c r="W24" s="373"/>
      <c r="X24" s="374">
        <f>+X25+X26+X27+X28+X29+X34</f>
        <v>31500</v>
      </c>
      <c r="Y24" s="378">
        <f>+Y25+Y26+Y27+Y28+Y29+Y34</f>
        <v>0</v>
      </c>
      <c r="Z24" s="378">
        <f>+Z25+Z26+Z27+Z28+Z29+Z34</f>
        <v>0</v>
      </c>
      <c r="AA24" s="378">
        <f>+AA25+AA26+AA27+AA28+AA29+AA34</f>
        <v>31500</v>
      </c>
      <c r="AB24" s="379"/>
      <c r="AC24" s="376">
        <f>+AC25+AC26+AC27+AC28+AC29+AC34</f>
        <v>42295.05</v>
      </c>
      <c r="AD24" s="126"/>
      <c r="AE24" s="377"/>
      <c r="AF24" s="379"/>
      <c r="AG24" s="396"/>
      <c r="AH24" s="378">
        <f>+AH25+AH26+AH27+AH28+AH29+AH34</f>
        <v>15514.214084902484</v>
      </c>
      <c r="AI24" s="378"/>
      <c r="AJ24" s="378">
        <f>+AJ25+AJ26+AJ27+AJ28+AJ29+AJ34</f>
        <v>20830.935251798561</v>
      </c>
      <c r="AK24" s="378"/>
      <c r="AL24" s="376">
        <f>+AL25+AL26+AL27+AL28+AL29+AL34</f>
        <v>57910</v>
      </c>
      <c r="AM24" s="340"/>
      <c r="AN24" s="374">
        <f>+AN25+AN26+AN27+AN28+AN29+AN34</f>
        <v>15514.214084902484</v>
      </c>
      <c r="AO24" s="378">
        <f>+AO25+AO26+AO27+AO28+AO29+AO34</f>
        <v>0</v>
      </c>
      <c r="AP24" s="378">
        <f>+AP25+AP26+AP27+AP28+AP29+AP34</f>
        <v>0</v>
      </c>
      <c r="AQ24" s="378">
        <f>+AQ25+AQ26+AQ27+AQ28+AQ29+AQ34</f>
        <v>15514.214084902484</v>
      </c>
      <c r="AR24" s="379"/>
      <c r="AS24" s="376">
        <f>+AS25+AS26+AS27+AS28+AS29+AS34</f>
        <v>20830.935251798561</v>
      </c>
      <c r="AT24" s="126"/>
      <c r="AU24" s="374">
        <f>+AU25+AU26+AU27+AU28+AU29+AU34</f>
        <v>3861</v>
      </c>
      <c r="AV24" s="378">
        <f t="shared" ref="AV24:AW24" si="28">+AV25+AV26+AV27+AV28+AV29+AV34</f>
        <v>0</v>
      </c>
      <c r="AW24" s="378">
        <f t="shared" si="28"/>
        <v>0</v>
      </c>
      <c r="AX24" s="378">
        <f>+AX25+AX26+AX27+AX28+AX29+AX34</f>
        <v>3861</v>
      </c>
      <c r="AY24" s="379"/>
      <c r="AZ24" s="376">
        <f>+AZ25+AZ26+AZ27+AZ28+AZ29+AZ34</f>
        <v>4477.4090816340213</v>
      </c>
      <c r="BA24" s="340"/>
      <c r="BB24" s="374">
        <f>+BB25+BB26+BB27+BB28+BB29+BB34</f>
        <v>4618.510799939776</v>
      </c>
      <c r="BC24" s="378">
        <f t="shared" ref="BC24" si="29">+BC25+BC26+BC27+BC28+BC29+BC34</f>
        <v>0</v>
      </c>
      <c r="BD24" s="378">
        <f t="shared" ref="BD24" si="30">+BD25+BD26+BD27+BD28+BD29+BD34</f>
        <v>0</v>
      </c>
      <c r="BE24" s="378">
        <f>+BE25+BE26+BE27+BE28+BE29+BE34</f>
        <v>4618.510799939776</v>
      </c>
      <c r="BF24" s="379"/>
      <c r="BG24" s="376">
        <f>+BG25+BG26+BG27+BG28+BG29+BG34</f>
        <v>5962.1016529857434</v>
      </c>
      <c r="BH24" s="126"/>
      <c r="BI24" s="374">
        <f>SUM(BI25:BI29)</f>
        <v>0</v>
      </c>
      <c r="BJ24" s="375">
        <f>SUM(BJ25:BJ29)</f>
        <v>0</v>
      </c>
      <c r="BK24" s="375">
        <f>SUM(BK25:BK29)</f>
        <v>0</v>
      </c>
      <c r="BL24" s="376">
        <f>SUM(BL25:BL29)</f>
        <v>0</v>
      </c>
      <c r="BM24" s="377"/>
      <c r="BN24" s="376">
        <f>SUM(BN25:BN29)</f>
        <v>0</v>
      </c>
    </row>
    <row r="25" spans="2:66" s="130" customFormat="1" ht="28.5" customHeight="1">
      <c r="B25" s="335" t="s">
        <v>277</v>
      </c>
      <c r="C25" s="437" t="s">
        <v>455</v>
      </c>
      <c r="D25" s="137">
        <v>10000</v>
      </c>
      <c r="E25" s="136" t="s">
        <v>126</v>
      </c>
      <c r="F25" s="136" t="s">
        <v>124</v>
      </c>
      <c r="G25" s="138">
        <v>1</v>
      </c>
      <c r="H25" s="136">
        <v>0</v>
      </c>
      <c r="I25" s="136">
        <v>0</v>
      </c>
      <c r="J25" s="136">
        <v>0</v>
      </c>
      <c r="K25" s="136"/>
      <c r="L25" s="136"/>
      <c r="M25" s="136" t="s">
        <v>39</v>
      </c>
      <c r="N25" s="136"/>
      <c r="O25" s="136" t="s">
        <v>120</v>
      </c>
      <c r="P25" s="136">
        <v>1</v>
      </c>
      <c r="Q25" s="336">
        <v>10000</v>
      </c>
      <c r="R25" s="397">
        <f>Q25*P25</f>
        <v>10000</v>
      </c>
      <c r="S25" s="336">
        <f>Q25*$C$4</f>
        <v>13427</v>
      </c>
      <c r="T25" s="336">
        <f>S25*P25</f>
        <v>13427</v>
      </c>
      <c r="U25" s="336"/>
      <c r="V25" s="141"/>
      <c r="W25" s="340"/>
      <c r="X25" s="140">
        <f>+R25</f>
        <v>10000</v>
      </c>
      <c r="Y25" s="136">
        <v>0</v>
      </c>
      <c r="Z25" s="136">
        <v>0</v>
      </c>
      <c r="AA25" s="336">
        <f>SUM(X25:Z25)</f>
        <v>10000</v>
      </c>
      <c r="AB25" s="136">
        <f t="shared" si="3"/>
        <v>1.3427</v>
      </c>
      <c r="AC25" s="141">
        <f>+X25*AB25</f>
        <v>13427</v>
      </c>
      <c r="AD25" s="126"/>
      <c r="AE25" s="142" t="s">
        <v>120</v>
      </c>
      <c r="AF25" s="136">
        <f>+(10*2)</f>
        <v>20</v>
      </c>
      <c r="AG25" s="397">
        <f t="shared" si="19"/>
        <v>267.90215998795514</v>
      </c>
      <c r="AH25" s="336">
        <f t="shared" si="14"/>
        <v>5358.0431997591031</v>
      </c>
      <c r="AI25" s="336">
        <f t="shared" si="6"/>
        <v>359.71223021582739</v>
      </c>
      <c r="AJ25" s="336">
        <f t="shared" si="20"/>
        <v>7194.2446043165473</v>
      </c>
      <c r="AK25" s="336">
        <v>1000</v>
      </c>
      <c r="AL25" s="141">
        <f>+AF25*AK25</f>
        <v>20000</v>
      </c>
      <c r="AM25" s="340"/>
      <c r="AN25" s="140">
        <f t="shared" si="9"/>
        <v>5358.0431997591031</v>
      </c>
      <c r="AO25" s="136">
        <v>0</v>
      </c>
      <c r="AP25" s="136">
        <v>0</v>
      </c>
      <c r="AQ25" s="336">
        <f>SUM(AN25:AP25)</f>
        <v>5358.0431997591031</v>
      </c>
      <c r="AR25" s="136">
        <f t="shared" ref="AR25:AR35" si="31">+$C$4</f>
        <v>1.3427</v>
      </c>
      <c r="AS25" s="141">
        <f t="shared" si="21"/>
        <v>7194.2446043165473</v>
      </c>
      <c r="AT25" s="126"/>
      <c r="AU25" s="140"/>
      <c r="AV25" s="136">
        <v>0</v>
      </c>
      <c r="AW25" s="136">
        <v>0</v>
      </c>
      <c r="AX25" s="336">
        <f>SUM(AU25:AW25)</f>
        <v>0</v>
      </c>
      <c r="AY25" s="136">
        <f t="shared" ref="AY25:AY35" si="32">+$C$4</f>
        <v>1.3427</v>
      </c>
      <c r="AZ25" s="141">
        <f t="shared" si="11"/>
        <v>0</v>
      </c>
      <c r="BA25" s="340"/>
      <c r="BB25" s="140">
        <f>5*AG25</f>
        <v>1339.5107999397758</v>
      </c>
      <c r="BC25" s="136">
        <v>0</v>
      </c>
      <c r="BD25" s="136">
        <v>0</v>
      </c>
      <c r="BE25" s="336">
        <f>SUM(BB25:BD25)</f>
        <v>1339.5107999397758</v>
      </c>
      <c r="BF25" s="136">
        <f t="shared" ref="BF25:BF35" si="33">+$C$4</f>
        <v>1.3427</v>
      </c>
      <c r="BG25" s="141">
        <f t="shared" ref="BG25:BG27" si="34">+BB25*$C$4</f>
        <v>1798.5611510791368</v>
      </c>
      <c r="BH25" s="126"/>
      <c r="BI25" s="140">
        <v>0</v>
      </c>
      <c r="BJ25" s="143"/>
      <c r="BK25" s="143"/>
      <c r="BL25" s="141">
        <f>SUM(BI25:BK25)</f>
        <v>0</v>
      </c>
      <c r="BM25" s="142">
        <f>+$C$4</f>
        <v>1.3427</v>
      </c>
      <c r="BN25" s="141">
        <f>+BI25/$C$4</f>
        <v>0</v>
      </c>
    </row>
    <row r="26" spans="2:66" s="130" customFormat="1" ht="22.5" customHeight="1">
      <c r="B26" s="335" t="s">
        <v>278</v>
      </c>
      <c r="C26" s="437" t="s">
        <v>407</v>
      </c>
      <c r="D26" s="137">
        <v>4000</v>
      </c>
      <c r="E26" s="136" t="s">
        <v>126</v>
      </c>
      <c r="F26" s="136" t="s">
        <v>124</v>
      </c>
      <c r="G26" s="138">
        <v>1</v>
      </c>
      <c r="H26" s="136">
        <v>0</v>
      </c>
      <c r="I26" s="136">
        <v>0</v>
      </c>
      <c r="J26" s="136">
        <v>0</v>
      </c>
      <c r="K26" s="139">
        <v>41699</v>
      </c>
      <c r="L26" s="139">
        <v>41743</v>
      </c>
      <c r="M26" s="136" t="s">
        <v>76</v>
      </c>
      <c r="N26" s="136"/>
      <c r="O26" s="136" t="s">
        <v>120</v>
      </c>
      <c r="P26" s="136">
        <v>2</v>
      </c>
      <c r="Q26" s="336">
        <v>2000</v>
      </c>
      <c r="R26" s="397">
        <f>Q26*P26</f>
        <v>4000</v>
      </c>
      <c r="S26" s="336">
        <f>Q26*$C$4</f>
        <v>2685.4</v>
      </c>
      <c r="T26" s="336">
        <f>S26*P26</f>
        <v>5370.8</v>
      </c>
      <c r="U26" s="336"/>
      <c r="V26" s="141"/>
      <c r="W26" s="340"/>
      <c r="X26" s="140">
        <f>+R26</f>
        <v>4000</v>
      </c>
      <c r="Y26" s="136">
        <v>0</v>
      </c>
      <c r="Z26" s="136">
        <v>0</v>
      </c>
      <c r="AA26" s="336">
        <f>SUM(X26:Z26)</f>
        <v>4000</v>
      </c>
      <c r="AB26" s="136">
        <f t="shared" si="3"/>
        <v>1.3427</v>
      </c>
      <c r="AC26" s="141">
        <f t="shared" ref="AC26:AC33" si="35">+X26*AB26</f>
        <v>5370.8</v>
      </c>
      <c r="AD26" s="126"/>
      <c r="AE26" s="142" t="s">
        <v>120</v>
      </c>
      <c r="AF26" s="136">
        <v>1</v>
      </c>
      <c r="AG26" s="397">
        <f t="shared" si="19"/>
        <v>2679.0215998795516</v>
      </c>
      <c r="AH26" s="336">
        <f t="shared" si="14"/>
        <v>2679.0215998795516</v>
      </c>
      <c r="AI26" s="336">
        <f t="shared" si="6"/>
        <v>3597.1223021582737</v>
      </c>
      <c r="AJ26" s="336">
        <f t="shared" si="20"/>
        <v>3597.1223021582737</v>
      </c>
      <c r="AK26" s="336">
        <v>10000</v>
      </c>
      <c r="AL26" s="141">
        <f>+AF26*AK26</f>
        <v>10000</v>
      </c>
      <c r="AM26" s="340"/>
      <c r="AN26" s="140">
        <f t="shared" si="9"/>
        <v>2679.0215998795516</v>
      </c>
      <c r="AO26" s="136">
        <v>0</v>
      </c>
      <c r="AP26" s="136">
        <v>0</v>
      </c>
      <c r="AQ26" s="336">
        <f>SUM(AN26:AP26)</f>
        <v>2679.0215998795516</v>
      </c>
      <c r="AR26" s="136">
        <f t="shared" si="31"/>
        <v>1.3427</v>
      </c>
      <c r="AS26" s="141">
        <f t="shared" si="21"/>
        <v>3597.1223021582737</v>
      </c>
      <c r="AT26" s="126"/>
      <c r="AU26" s="140">
        <v>2679</v>
      </c>
      <c r="AV26" s="136">
        <v>0</v>
      </c>
      <c r="AW26" s="136">
        <v>0</v>
      </c>
      <c r="AX26" s="336">
        <f>SUM(AU26:AW26)</f>
        <v>2679</v>
      </c>
      <c r="AY26" s="136">
        <f t="shared" si="32"/>
        <v>1.3427</v>
      </c>
      <c r="AZ26" s="141">
        <f t="shared" si="11"/>
        <v>3597.0933</v>
      </c>
      <c r="BA26" s="340"/>
      <c r="BB26" s="140">
        <v>2679</v>
      </c>
      <c r="BC26" s="136">
        <v>0</v>
      </c>
      <c r="BD26" s="136">
        <v>0</v>
      </c>
      <c r="BE26" s="336">
        <f>SUM(BB26:BD26)</f>
        <v>2679</v>
      </c>
      <c r="BF26" s="136">
        <f t="shared" si="33"/>
        <v>1.3427</v>
      </c>
      <c r="BG26" s="141">
        <f t="shared" si="34"/>
        <v>3597.0933</v>
      </c>
      <c r="BH26" s="126"/>
      <c r="BI26" s="140">
        <v>0</v>
      </c>
      <c r="BJ26" s="143"/>
      <c r="BK26" s="143"/>
      <c r="BL26" s="141">
        <f>SUM(BI26:BK26)</f>
        <v>0</v>
      </c>
      <c r="BM26" s="142">
        <f>+$C$4</f>
        <v>1.3427</v>
      </c>
      <c r="BN26" s="141">
        <f t="shared" ref="BN26:BN29" si="36">+BI26/$C$4</f>
        <v>0</v>
      </c>
    </row>
    <row r="27" spans="2:66" s="130" customFormat="1" ht="22.5" customHeight="1">
      <c r="B27" s="335" t="s">
        <v>279</v>
      </c>
      <c r="C27" s="437" t="s">
        <v>63</v>
      </c>
      <c r="D27" s="137">
        <v>15000</v>
      </c>
      <c r="E27" s="136" t="s">
        <v>126</v>
      </c>
      <c r="F27" s="136" t="s">
        <v>124</v>
      </c>
      <c r="G27" s="138">
        <v>1</v>
      </c>
      <c r="H27" s="136">
        <v>0</v>
      </c>
      <c r="I27" s="136">
        <v>0</v>
      </c>
      <c r="J27" s="136">
        <v>0</v>
      </c>
      <c r="K27" s="139">
        <v>41791</v>
      </c>
      <c r="L27" s="136" t="s">
        <v>410</v>
      </c>
      <c r="M27" s="136" t="s">
        <v>39</v>
      </c>
      <c r="N27" s="136"/>
      <c r="O27" s="136" t="s">
        <v>120</v>
      </c>
      <c r="P27" s="136">
        <v>6</v>
      </c>
      <c r="Q27" s="336">
        <v>2500</v>
      </c>
      <c r="R27" s="397">
        <f>Q27*P27</f>
        <v>15000</v>
      </c>
      <c r="S27" s="336">
        <f>Q27*$C$4</f>
        <v>3356.75</v>
      </c>
      <c r="T27" s="336">
        <f>S27*P27</f>
        <v>20140.5</v>
      </c>
      <c r="U27" s="336"/>
      <c r="V27" s="141"/>
      <c r="W27" s="340"/>
      <c r="X27" s="140">
        <f>+R27</f>
        <v>15000</v>
      </c>
      <c r="Y27" s="136">
        <v>0</v>
      </c>
      <c r="Z27" s="136">
        <v>0</v>
      </c>
      <c r="AA27" s="336">
        <f>SUM(X27:Z27)</f>
        <v>15000</v>
      </c>
      <c r="AB27" s="136">
        <f t="shared" si="3"/>
        <v>1.3427</v>
      </c>
      <c r="AC27" s="141">
        <f t="shared" si="35"/>
        <v>20140.5</v>
      </c>
      <c r="AD27" s="126"/>
      <c r="AE27" s="142" t="s">
        <v>120</v>
      </c>
      <c r="AF27" s="136">
        <f>+(5*4)</f>
        <v>20</v>
      </c>
      <c r="AG27" s="397">
        <f t="shared" si="19"/>
        <v>267.90215998795514</v>
      </c>
      <c r="AH27" s="336">
        <f t="shared" si="14"/>
        <v>5358.0431997591031</v>
      </c>
      <c r="AI27" s="336">
        <f>+AK27/$C$2</f>
        <v>359.71223021582739</v>
      </c>
      <c r="AJ27" s="336">
        <f t="shared" si="20"/>
        <v>7194.2446043165473</v>
      </c>
      <c r="AK27" s="336">
        <v>1000</v>
      </c>
      <c r="AL27" s="141">
        <f>+AF27*AK27</f>
        <v>20000</v>
      </c>
      <c r="AM27" s="340"/>
      <c r="AN27" s="140">
        <f t="shared" si="9"/>
        <v>5358.0431997591031</v>
      </c>
      <c r="AO27" s="136">
        <v>0</v>
      </c>
      <c r="AP27" s="136">
        <v>0</v>
      </c>
      <c r="AQ27" s="336">
        <f>SUM(AN27:AP27)</f>
        <v>5358.0431997591031</v>
      </c>
      <c r="AR27" s="136">
        <f t="shared" si="31"/>
        <v>1.3427</v>
      </c>
      <c r="AS27" s="141">
        <f t="shared" si="21"/>
        <v>7194.2446043165473</v>
      </c>
      <c r="AT27" s="126"/>
      <c r="AU27" s="140">
        <v>0</v>
      </c>
      <c r="AV27" s="136">
        <v>0</v>
      </c>
      <c r="AW27" s="136">
        <v>0</v>
      </c>
      <c r="AX27" s="336">
        <f>SUM(AU27:AW27)</f>
        <v>0</v>
      </c>
      <c r="AY27" s="136">
        <f t="shared" si="32"/>
        <v>1.3427</v>
      </c>
      <c r="AZ27" s="141">
        <f t="shared" si="11"/>
        <v>0</v>
      </c>
      <c r="BA27" s="340"/>
      <c r="BB27" s="140">
        <v>0</v>
      </c>
      <c r="BC27" s="136">
        <v>0</v>
      </c>
      <c r="BD27" s="136">
        <v>0</v>
      </c>
      <c r="BE27" s="336">
        <f>SUM(BB27:BD27)</f>
        <v>0</v>
      </c>
      <c r="BF27" s="136">
        <f t="shared" si="33"/>
        <v>1.3427</v>
      </c>
      <c r="BG27" s="141">
        <f t="shared" si="34"/>
        <v>0</v>
      </c>
      <c r="BH27" s="126"/>
      <c r="BI27" s="140">
        <v>0</v>
      </c>
      <c r="BJ27" s="143"/>
      <c r="BK27" s="143"/>
      <c r="BL27" s="141">
        <f>SUM(BI27:BK27)</f>
        <v>0</v>
      </c>
      <c r="BM27" s="142">
        <f>+$C$4</f>
        <v>1.3427</v>
      </c>
      <c r="BN27" s="141">
        <f t="shared" si="36"/>
        <v>0</v>
      </c>
    </row>
    <row r="28" spans="2:66" s="130" customFormat="1" ht="22.5" customHeight="1">
      <c r="B28" s="335" t="s">
        <v>280</v>
      </c>
      <c r="C28" s="437" t="s">
        <v>518</v>
      </c>
      <c r="D28" s="137"/>
      <c r="E28" s="136" t="s">
        <v>126</v>
      </c>
      <c r="F28" s="136" t="s">
        <v>124</v>
      </c>
      <c r="G28" s="138">
        <v>1</v>
      </c>
      <c r="H28" s="136">
        <v>0</v>
      </c>
      <c r="I28" s="136">
        <v>0</v>
      </c>
      <c r="J28" s="136">
        <v>0</v>
      </c>
      <c r="K28" s="139">
        <v>42309</v>
      </c>
      <c r="L28" s="139">
        <v>42335</v>
      </c>
      <c r="M28" s="136" t="s">
        <v>39</v>
      </c>
      <c r="N28" s="136"/>
      <c r="O28" s="136" t="s">
        <v>120</v>
      </c>
      <c r="P28" s="136"/>
      <c r="Q28" s="336"/>
      <c r="R28" s="397"/>
      <c r="S28" s="336"/>
      <c r="T28" s="336"/>
      <c r="U28" s="336"/>
      <c r="V28" s="141"/>
      <c r="W28" s="340"/>
      <c r="X28" s="140">
        <f>+R28</f>
        <v>0</v>
      </c>
      <c r="Y28" s="136"/>
      <c r="Z28" s="136"/>
      <c r="AA28" s="336">
        <f>SUM(X28:Z28)</f>
        <v>0</v>
      </c>
      <c r="AB28" s="136">
        <f t="shared" si="3"/>
        <v>1.3427</v>
      </c>
      <c r="AC28" s="141">
        <f t="shared" si="35"/>
        <v>0</v>
      </c>
      <c r="AD28" s="126"/>
      <c r="AE28" s="142" t="s">
        <v>120</v>
      </c>
      <c r="AF28" s="136">
        <v>1</v>
      </c>
      <c r="AG28" s="397">
        <f t="shared" si="19"/>
        <v>267.90215998795514</v>
      </c>
      <c r="AH28" s="336">
        <f t="shared" si="14"/>
        <v>267.90215998795514</v>
      </c>
      <c r="AI28" s="336">
        <f t="shared" si="6"/>
        <v>359.71223021582739</v>
      </c>
      <c r="AJ28" s="336">
        <f t="shared" si="20"/>
        <v>359.71223021582739</v>
      </c>
      <c r="AK28" s="336">
        <v>1000</v>
      </c>
      <c r="AL28" s="141">
        <f>+AF28*AK28</f>
        <v>1000</v>
      </c>
      <c r="AM28" s="340"/>
      <c r="AN28" s="140">
        <f t="shared" si="9"/>
        <v>267.90215998795514</v>
      </c>
      <c r="AO28" s="136">
        <v>0</v>
      </c>
      <c r="AP28" s="136">
        <v>0</v>
      </c>
      <c r="AQ28" s="336">
        <f>SUM(AN28:AP28)</f>
        <v>267.90215998795514</v>
      </c>
      <c r="AR28" s="136">
        <f t="shared" si="31"/>
        <v>1.3427</v>
      </c>
      <c r="AS28" s="141">
        <f t="shared" si="21"/>
        <v>359.71223021582739</v>
      </c>
      <c r="AT28" s="126"/>
      <c r="AU28" s="140">
        <v>0</v>
      </c>
      <c r="AV28" s="136">
        <v>0</v>
      </c>
      <c r="AW28" s="136">
        <v>0</v>
      </c>
      <c r="AX28" s="336">
        <f>SUM(AU28:AW28)</f>
        <v>0</v>
      </c>
      <c r="AY28" s="136">
        <f t="shared" si="32"/>
        <v>1.3427</v>
      </c>
      <c r="AZ28" s="141">
        <f>+AU28*$C$4</f>
        <v>0</v>
      </c>
      <c r="BA28" s="340"/>
      <c r="BB28" s="140">
        <v>0</v>
      </c>
      <c r="BC28" s="136">
        <v>0</v>
      </c>
      <c r="BD28" s="136">
        <v>0</v>
      </c>
      <c r="BE28" s="336">
        <f>SUM(BB28:BD28)</f>
        <v>0</v>
      </c>
      <c r="BF28" s="136">
        <f t="shared" si="33"/>
        <v>1.3427</v>
      </c>
      <c r="BG28" s="141">
        <f>+BB28*$C$4</f>
        <v>0</v>
      </c>
      <c r="BH28" s="126"/>
      <c r="BI28" s="140"/>
      <c r="BJ28" s="143"/>
      <c r="BK28" s="143"/>
      <c r="BL28" s="141"/>
      <c r="BM28" s="142"/>
      <c r="BN28" s="141"/>
    </row>
    <row r="29" spans="2:66" s="130" customFormat="1" ht="15" customHeight="1">
      <c r="B29" s="425" t="s">
        <v>408</v>
      </c>
      <c r="C29" s="439" t="s">
        <v>64</v>
      </c>
      <c r="D29" s="428">
        <f>SUM(D30:D33)</f>
        <v>2500</v>
      </c>
      <c r="E29" s="361" t="s">
        <v>126</v>
      </c>
      <c r="F29" s="361" t="s">
        <v>124</v>
      </c>
      <c r="G29" s="407">
        <v>1</v>
      </c>
      <c r="H29" s="361"/>
      <c r="I29" s="361"/>
      <c r="J29" s="361"/>
      <c r="K29" s="408">
        <v>41699</v>
      </c>
      <c r="L29" s="361"/>
      <c r="M29" s="361" t="s">
        <v>76</v>
      </c>
      <c r="N29" s="361"/>
      <c r="O29" s="361" t="s">
        <v>120</v>
      </c>
      <c r="P29" s="361">
        <v>1</v>
      </c>
      <c r="Q29" s="360">
        <f>SUM(Q30:Q33)</f>
        <v>2500</v>
      </c>
      <c r="R29" s="398">
        <f>SUM(R30:R33)</f>
        <v>2500</v>
      </c>
      <c r="S29" s="360">
        <f>Q29*$C$4</f>
        <v>3356.75</v>
      </c>
      <c r="T29" s="360">
        <f>S29*P29</f>
        <v>3356.75</v>
      </c>
      <c r="U29" s="360"/>
      <c r="V29" s="329"/>
      <c r="W29" s="340"/>
      <c r="X29" s="328">
        <f>SUM(X30:X33)</f>
        <v>2500</v>
      </c>
      <c r="Y29" s="361">
        <f>SUM(Y30:Y33)</f>
        <v>0</v>
      </c>
      <c r="Z29" s="361">
        <f>SUM(Z30:Z33)</f>
        <v>0</v>
      </c>
      <c r="AA29" s="360">
        <f>SUM(AA30:AA33)</f>
        <v>2500</v>
      </c>
      <c r="AB29" s="361">
        <f>+C4</f>
        <v>1.3427</v>
      </c>
      <c r="AC29" s="329">
        <f>SUM(AC30:AC33)</f>
        <v>3356.75</v>
      </c>
      <c r="AD29" s="126"/>
      <c r="AE29" s="330"/>
      <c r="AF29" s="361"/>
      <c r="AG29" s="398"/>
      <c r="AH29" s="360">
        <f>SUM(AH30:AH33)</f>
        <v>1181.4485255468821</v>
      </c>
      <c r="AI29" s="360"/>
      <c r="AJ29" s="360">
        <f>SUM(AJ30:AJ33)</f>
        <v>1586.3309352517988</v>
      </c>
      <c r="AK29" s="360"/>
      <c r="AL29" s="329">
        <f>SUM(AL30:AL33)</f>
        <v>4410</v>
      </c>
      <c r="AM29" s="340"/>
      <c r="AN29" s="328">
        <f>SUM(AN30:AN33)</f>
        <v>1181.4485255468821</v>
      </c>
      <c r="AO29" s="360">
        <f>SUM(AO30:AO33)</f>
        <v>0</v>
      </c>
      <c r="AP29" s="360">
        <f>SUM(AP30:AP33)</f>
        <v>0</v>
      </c>
      <c r="AQ29" s="360">
        <f>SUM(AQ30:AQ33)</f>
        <v>1181.4485255468821</v>
      </c>
      <c r="AR29" s="361">
        <f t="shared" si="31"/>
        <v>1.3427</v>
      </c>
      <c r="AS29" s="329">
        <f>SUM(AS30:AS33)</f>
        <v>1586.3309352517988</v>
      </c>
      <c r="AT29" s="126"/>
      <c r="AU29" s="328">
        <f>SUM(AU30:AU35)</f>
        <v>1182</v>
      </c>
      <c r="AV29" s="360">
        <f>SUM(AV30:AV35)</f>
        <v>0</v>
      </c>
      <c r="AW29" s="360">
        <f>SUM(AW30:AW35)</f>
        <v>0</v>
      </c>
      <c r="AX29" s="360">
        <f>SUM(AU29:AW29)</f>
        <v>1182</v>
      </c>
      <c r="AY29" s="361">
        <f t="shared" si="32"/>
        <v>1.3427</v>
      </c>
      <c r="AZ29" s="329">
        <f t="shared" ref="AZ29" si="37">+AU29/$C$4</f>
        <v>880.31578163402105</v>
      </c>
      <c r="BA29" s="340"/>
      <c r="BB29" s="328">
        <f>SUM(BB30:BB35)</f>
        <v>400</v>
      </c>
      <c r="BC29" s="360">
        <f>SUM(BC30:BC35)</f>
        <v>0</v>
      </c>
      <c r="BD29" s="360">
        <f>SUM(BD30:BD35)</f>
        <v>0</v>
      </c>
      <c r="BE29" s="360">
        <f>SUM(BB29:BD29)</f>
        <v>400</v>
      </c>
      <c r="BF29" s="361">
        <f t="shared" si="33"/>
        <v>1.3427</v>
      </c>
      <c r="BG29" s="329">
        <f t="shared" ref="BG29" si="38">+BB29/$C$4</f>
        <v>297.90720190660608</v>
      </c>
      <c r="BH29" s="126"/>
      <c r="BI29" s="328">
        <v>0</v>
      </c>
      <c r="BJ29" s="327"/>
      <c r="BK29" s="327"/>
      <c r="BL29" s="329">
        <f>SUM(BI29:BK29)</f>
        <v>0</v>
      </c>
      <c r="BM29" s="330">
        <f>+$C$4</f>
        <v>1.3427</v>
      </c>
      <c r="BN29" s="329">
        <f t="shared" si="36"/>
        <v>0</v>
      </c>
    </row>
    <row r="30" spans="2:66" s="130" customFormat="1" ht="20.25" customHeight="1">
      <c r="B30" s="335" t="s">
        <v>409</v>
      </c>
      <c r="C30" s="437" t="s">
        <v>377</v>
      </c>
      <c r="D30" s="137">
        <v>1000</v>
      </c>
      <c r="E30" s="136" t="s">
        <v>126</v>
      </c>
      <c r="F30" s="136" t="s">
        <v>124</v>
      </c>
      <c r="G30" s="138">
        <v>1</v>
      </c>
      <c r="H30" s="136">
        <v>0</v>
      </c>
      <c r="I30" s="136">
        <v>0</v>
      </c>
      <c r="J30" s="136">
        <v>0</v>
      </c>
      <c r="K30" s="139">
        <v>41685</v>
      </c>
      <c r="L30" s="139">
        <v>41729</v>
      </c>
      <c r="M30" s="136" t="s">
        <v>76</v>
      </c>
      <c r="N30" s="136"/>
      <c r="O30" s="136" t="s">
        <v>120</v>
      </c>
      <c r="P30" s="136">
        <v>1</v>
      </c>
      <c r="Q30" s="336">
        <v>1000</v>
      </c>
      <c r="R30" s="397">
        <f>Q30*P30</f>
        <v>1000</v>
      </c>
      <c r="S30" s="336"/>
      <c r="T30" s="336"/>
      <c r="U30" s="336"/>
      <c r="V30" s="141"/>
      <c r="W30" s="340"/>
      <c r="X30" s="140">
        <f>+R30</f>
        <v>1000</v>
      </c>
      <c r="Y30" s="136"/>
      <c r="Z30" s="136"/>
      <c r="AA30" s="336">
        <f>SUM(X30:Z30)</f>
        <v>1000</v>
      </c>
      <c r="AB30" s="136">
        <f>+$C$4</f>
        <v>1.3427</v>
      </c>
      <c r="AC30" s="141">
        <f>+X30*AB30</f>
        <v>1342.7</v>
      </c>
      <c r="AD30" s="126"/>
      <c r="AE30" s="142" t="s">
        <v>120</v>
      </c>
      <c r="AF30" s="136">
        <v>1</v>
      </c>
      <c r="AG30" s="397">
        <f>+AI30/$C$4</f>
        <v>744.76800476651533</v>
      </c>
      <c r="AH30" s="336">
        <f t="shared" si="14"/>
        <v>744.76800476651533</v>
      </c>
      <c r="AI30" s="336">
        <f t="shared" si="6"/>
        <v>1000.0000000000001</v>
      </c>
      <c r="AJ30" s="336">
        <f t="shared" si="20"/>
        <v>1000.0000000000001</v>
      </c>
      <c r="AK30" s="336">
        <v>2780</v>
      </c>
      <c r="AL30" s="141">
        <f t="shared" ref="AL30:AL33" si="39">+AF30*AK30</f>
        <v>2780</v>
      </c>
      <c r="AM30" s="340"/>
      <c r="AN30" s="140">
        <f>+AH30</f>
        <v>744.76800476651533</v>
      </c>
      <c r="AO30" s="136">
        <v>0</v>
      </c>
      <c r="AP30" s="136">
        <v>0</v>
      </c>
      <c r="AQ30" s="336">
        <f t="shared" ref="AQ30:AQ35" si="40">SUM(AN30:AP30)</f>
        <v>744.76800476651533</v>
      </c>
      <c r="AR30" s="136">
        <f t="shared" si="31"/>
        <v>1.3427</v>
      </c>
      <c r="AS30" s="141">
        <f t="shared" si="21"/>
        <v>1000.0000000000001</v>
      </c>
      <c r="AT30" s="126"/>
      <c r="AU30" s="140">
        <v>745</v>
      </c>
      <c r="AV30" s="136">
        <v>0</v>
      </c>
      <c r="AW30" s="136">
        <v>0</v>
      </c>
      <c r="AX30" s="336">
        <f t="shared" ref="AX30:AX35" si="41">SUM(AU30:AW30)</f>
        <v>745</v>
      </c>
      <c r="AY30" s="136">
        <f t="shared" si="32"/>
        <v>1.3427</v>
      </c>
      <c r="AZ30" s="141">
        <f t="shared" ref="AZ30:AZ34" si="42">+AU30*$C$4</f>
        <v>1000.3115</v>
      </c>
      <c r="BA30" s="340"/>
      <c r="BB30" s="140">
        <v>0</v>
      </c>
      <c r="BC30" s="136">
        <v>0</v>
      </c>
      <c r="BD30" s="136">
        <v>0</v>
      </c>
      <c r="BE30" s="336">
        <f t="shared" ref="BE30:BE33" si="43">SUM(BB30:BD30)</f>
        <v>0</v>
      </c>
      <c r="BF30" s="136">
        <f t="shared" si="33"/>
        <v>1.3427</v>
      </c>
      <c r="BG30" s="141">
        <f t="shared" ref="BG30:BG32" si="44">+BB30*$C$4</f>
        <v>0</v>
      </c>
      <c r="BH30" s="126"/>
      <c r="BI30" s="140"/>
      <c r="BJ30" s="143"/>
      <c r="BK30" s="143"/>
      <c r="BL30" s="141"/>
      <c r="BM30" s="142"/>
      <c r="BN30" s="141"/>
    </row>
    <row r="31" spans="2:66" s="130" customFormat="1" ht="20.25" customHeight="1">
      <c r="B31" s="335" t="s">
        <v>437</v>
      </c>
      <c r="C31" s="437" t="s">
        <v>345</v>
      </c>
      <c r="D31" s="137">
        <v>800</v>
      </c>
      <c r="E31" s="136" t="s">
        <v>126</v>
      </c>
      <c r="F31" s="136" t="s">
        <v>124</v>
      </c>
      <c r="G31" s="138">
        <v>1</v>
      </c>
      <c r="H31" s="136">
        <v>0</v>
      </c>
      <c r="I31" s="136">
        <v>0</v>
      </c>
      <c r="J31" s="136">
        <v>0</v>
      </c>
      <c r="K31" s="139">
        <v>41699</v>
      </c>
      <c r="L31" s="139">
        <v>41718</v>
      </c>
      <c r="M31" s="136" t="s">
        <v>76</v>
      </c>
      <c r="N31" s="136"/>
      <c r="O31" s="136" t="s">
        <v>120</v>
      </c>
      <c r="P31" s="136">
        <v>1</v>
      </c>
      <c r="Q31" s="336">
        <v>800</v>
      </c>
      <c r="R31" s="397">
        <f t="shared" ref="R31:R33" si="45">Q31*P31</f>
        <v>800</v>
      </c>
      <c r="S31" s="336"/>
      <c r="T31" s="336"/>
      <c r="U31" s="336"/>
      <c r="V31" s="141"/>
      <c r="W31" s="340"/>
      <c r="X31" s="140">
        <f>+R31</f>
        <v>800</v>
      </c>
      <c r="Y31" s="136"/>
      <c r="Z31" s="136"/>
      <c r="AA31" s="336">
        <f t="shared" ref="AA31:AA33" si="46">SUM(X31:Z31)</f>
        <v>800</v>
      </c>
      <c r="AB31" s="136">
        <f t="shared" si="3"/>
        <v>1.3427</v>
      </c>
      <c r="AC31" s="141">
        <f>+X31*AB31</f>
        <v>1074.1600000000001</v>
      </c>
      <c r="AD31" s="126"/>
      <c r="AE31" s="142" t="s">
        <v>120</v>
      </c>
      <c r="AF31" s="136">
        <v>1</v>
      </c>
      <c r="AG31" s="397">
        <f t="shared" si="19"/>
        <v>75.012604796627443</v>
      </c>
      <c r="AH31" s="336">
        <f t="shared" si="14"/>
        <v>75.012604796627443</v>
      </c>
      <c r="AI31" s="336">
        <f t="shared" si="6"/>
        <v>100.71942446043167</v>
      </c>
      <c r="AJ31" s="336">
        <f t="shared" si="20"/>
        <v>100.71942446043167</v>
      </c>
      <c r="AK31" s="336">
        <v>280</v>
      </c>
      <c r="AL31" s="141">
        <f t="shared" si="39"/>
        <v>280</v>
      </c>
      <c r="AM31" s="340"/>
      <c r="AN31" s="140">
        <f>+AH31</f>
        <v>75.012604796627443</v>
      </c>
      <c r="AO31" s="136">
        <v>0</v>
      </c>
      <c r="AP31" s="136">
        <v>0</v>
      </c>
      <c r="AQ31" s="336">
        <f t="shared" si="40"/>
        <v>75.012604796627443</v>
      </c>
      <c r="AR31" s="136">
        <f t="shared" si="31"/>
        <v>1.3427</v>
      </c>
      <c r="AS31" s="141">
        <f t="shared" si="21"/>
        <v>100.71942446043167</v>
      </c>
      <c r="AT31" s="126"/>
      <c r="AU31" s="140">
        <v>75</v>
      </c>
      <c r="AV31" s="136">
        <v>0</v>
      </c>
      <c r="AW31" s="136">
        <v>0</v>
      </c>
      <c r="AX31" s="336">
        <f t="shared" si="41"/>
        <v>75</v>
      </c>
      <c r="AY31" s="136">
        <f t="shared" si="32"/>
        <v>1.3427</v>
      </c>
      <c r="AZ31" s="141">
        <f t="shared" si="42"/>
        <v>100.7025</v>
      </c>
      <c r="BA31" s="340"/>
      <c r="BB31" s="140">
        <v>0</v>
      </c>
      <c r="BC31" s="136">
        <v>0</v>
      </c>
      <c r="BD31" s="136">
        <v>0</v>
      </c>
      <c r="BE31" s="336">
        <f t="shared" si="43"/>
        <v>0</v>
      </c>
      <c r="BF31" s="136">
        <f t="shared" si="33"/>
        <v>1.3427</v>
      </c>
      <c r="BG31" s="141">
        <f t="shared" si="44"/>
        <v>0</v>
      </c>
      <c r="BH31" s="126"/>
      <c r="BI31" s="140"/>
      <c r="BJ31" s="143"/>
      <c r="BK31" s="143"/>
      <c r="BL31" s="141"/>
      <c r="BM31" s="142"/>
      <c r="BN31" s="141"/>
    </row>
    <row r="32" spans="2:66" s="130" customFormat="1" ht="20.25" customHeight="1">
      <c r="B32" s="335" t="s">
        <v>438</v>
      </c>
      <c r="C32" s="437" t="s">
        <v>385</v>
      </c>
      <c r="D32" s="137">
        <v>500</v>
      </c>
      <c r="E32" s="136" t="s">
        <v>126</v>
      </c>
      <c r="F32" s="136" t="s">
        <v>124</v>
      </c>
      <c r="G32" s="138">
        <v>1</v>
      </c>
      <c r="H32" s="136">
        <v>0</v>
      </c>
      <c r="I32" s="136">
        <v>0</v>
      </c>
      <c r="J32" s="136">
        <v>0</v>
      </c>
      <c r="K32" s="139">
        <v>41713</v>
      </c>
      <c r="L32" s="139">
        <v>41729</v>
      </c>
      <c r="M32" s="136" t="s">
        <v>76</v>
      </c>
      <c r="N32" s="136"/>
      <c r="O32" s="136" t="s">
        <v>120</v>
      </c>
      <c r="P32" s="136">
        <v>1</v>
      </c>
      <c r="Q32" s="336">
        <v>500</v>
      </c>
      <c r="R32" s="397">
        <f t="shared" si="45"/>
        <v>500</v>
      </c>
      <c r="S32" s="336"/>
      <c r="T32" s="336"/>
      <c r="U32" s="336"/>
      <c r="V32" s="141"/>
      <c r="W32" s="340"/>
      <c r="X32" s="140">
        <f>+R32</f>
        <v>500</v>
      </c>
      <c r="Y32" s="136"/>
      <c r="Z32" s="136"/>
      <c r="AA32" s="336">
        <f t="shared" si="46"/>
        <v>500</v>
      </c>
      <c r="AB32" s="136">
        <f t="shared" si="3"/>
        <v>1.3427</v>
      </c>
      <c r="AC32" s="141">
        <f t="shared" si="35"/>
        <v>671.35</v>
      </c>
      <c r="AD32" s="126"/>
      <c r="AE32" s="142" t="s">
        <v>120</v>
      </c>
      <c r="AF32" s="136">
        <v>1</v>
      </c>
      <c r="AG32" s="397">
        <f t="shared" si="19"/>
        <v>227.71683598976188</v>
      </c>
      <c r="AH32" s="336">
        <f>AF32*AG32</f>
        <v>227.71683598976188</v>
      </c>
      <c r="AI32" s="336">
        <f t="shared" si="6"/>
        <v>305.75539568345329</v>
      </c>
      <c r="AJ32" s="336">
        <f t="shared" si="20"/>
        <v>305.75539568345329</v>
      </c>
      <c r="AK32" s="336">
        <v>850</v>
      </c>
      <c r="AL32" s="141">
        <f t="shared" si="39"/>
        <v>850</v>
      </c>
      <c r="AM32" s="340"/>
      <c r="AN32" s="140">
        <f t="shared" si="9"/>
        <v>227.71683598976188</v>
      </c>
      <c r="AO32" s="136">
        <v>0</v>
      </c>
      <c r="AP32" s="136">
        <v>0</v>
      </c>
      <c r="AQ32" s="336">
        <f t="shared" si="40"/>
        <v>227.71683598976188</v>
      </c>
      <c r="AR32" s="136">
        <f t="shared" si="31"/>
        <v>1.3427</v>
      </c>
      <c r="AS32" s="141">
        <f t="shared" si="21"/>
        <v>305.75539568345329</v>
      </c>
      <c r="AT32" s="126"/>
      <c r="AU32" s="140">
        <v>228</v>
      </c>
      <c r="AV32" s="136">
        <v>0</v>
      </c>
      <c r="AW32" s="136">
        <v>0</v>
      </c>
      <c r="AX32" s="336">
        <f t="shared" si="41"/>
        <v>228</v>
      </c>
      <c r="AY32" s="136">
        <f t="shared" si="32"/>
        <v>1.3427</v>
      </c>
      <c r="AZ32" s="141">
        <f t="shared" si="42"/>
        <v>306.13560000000001</v>
      </c>
      <c r="BA32" s="340"/>
      <c r="BB32" s="140">
        <v>0</v>
      </c>
      <c r="BC32" s="136">
        <v>0</v>
      </c>
      <c r="BD32" s="136">
        <v>0</v>
      </c>
      <c r="BE32" s="336">
        <f t="shared" si="43"/>
        <v>0</v>
      </c>
      <c r="BF32" s="136">
        <f t="shared" si="33"/>
        <v>1.3427</v>
      </c>
      <c r="BG32" s="141">
        <f t="shared" si="44"/>
        <v>0</v>
      </c>
      <c r="BH32" s="126"/>
      <c r="BI32" s="140"/>
      <c r="BJ32" s="143"/>
      <c r="BK32" s="143"/>
      <c r="BL32" s="141"/>
      <c r="BM32" s="142"/>
      <c r="BN32" s="141"/>
    </row>
    <row r="33" spans="2:66" s="130" customFormat="1" ht="20.25" customHeight="1">
      <c r="B33" s="335" t="s">
        <v>439</v>
      </c>
      <c r="C33" s="437" t="s">
        <v>414</v>
      </c>
      <c r="D33" s="137">
        <v>200</v>
      </c>
      <c r="E33" s="136" t="s">
        <v>126</v>
      </c>
      <c r="F33" s="136" t="s">
        <v>124</v>
      </c>
      <c r="G33" s="138">
        <v>1</v>
      </c>
      <c r="H33" s="136">
        <v>0</v>
      </c>
      <c r="I33" s="136">
        <v>0</v>
      </c>
      <c r="J33" s="136">
        <v>0</v>
      </c>
      <c r="K33" s="139">
        <v>41852</v>
      </c>
      <c r="L33" s="139">
        <v>41882</v>
      </c>
      <c r="M33" s="136" t="s">
        <v>39</v>
      </c>
      <c r="N33" s="136"/>
      <c r="O33" s="136" t="s">
        <v>120</v>
      </c>
      <c r="P33" s="136">
        <v>1</v>
      </c>
      <c r="Q33" s="336">
        <v>200</v>
      </c>
      <c r="R33" s="397">
        <f t="shared" si="45"/>
        <v>200</v>
      </c>
      <c r="S33" s="336"/>
      <c r="T33" s="336"/>
      <c r="U33" s="336"/>
      <c r="V33" s="141"/>
      <c r="W33" s="340"/>
      <c r="X33" s="140">
        <f>+R33</f>
        <v>200</v>
      </c>
      <c r="Y33" s="136"/>
      <c r="Z33" s="136"/>
      <c r="AA33" s="336">
        <f t="shared" si="46"/>
        <v>200</v>
      </c>
      <c r="AB33" s="136">
        <f t="shared" si="3"/>
        <v>1.3427</v>
      </c>
      <c r="AC33" s="141">
        <f t="shared" si="35"/>
        <v>268.54000000000002</v>
      </c>
      <c r="AD33" s="126"/>
      <c r="AE33" s="142" t="s">
        <v>120</v>
      </c>
      <c r="AF33" s="136">
        <v>1</v>
      </c>
      <c r="AG33" s="397">
        <f t="shared" si="19"/>
        <v>133.95107999397757</v>
      </c>
      <c r="AH33" s="336">
        <f t="shared" si="14"/>
        <v>133.95107999397757</v>
      </c>
      <c r="AI33" s="336">
        <f t="shared" si="6"/>
        <v>179.85611510791369</v>
      </c>
      <c r="AJ33" s="336">
        <f t="shared" si="20"/>
        <v>179.85611510791369</v>
      </c>
      <c r="AK33" s="336">
        <v>500</v>
      </c>
      <c r="AL33" s="141">
        <f t="shared" si="39"/>
        <v>500</v>
      </c>
      <c r="AM33" s="340"/>
      <c r="AN33" s="140">
        <f t="shared" si="9"/>
        <v>133.95107999397757</v>
      </c>
      <c r="AO33" s="136">
        <v>0</v>
      </c>
      <c r="AP33" s="136">
        <v>0</v>
      </c>
      <c r="AQ33" s="336">
        <f t="shared" si="40"/>
        <v>133.95107999397757</v>
      </c>
      <c r="AR33" s="136">
        <f t="shared" si="31"/>
        <v>1.3427</v>
      </c>
      <c r="AS33" s="141">
        <f t="shared" si="21"/>
        <v>179.85611510791369</v>
      </c>
      <c r="AT33" s="126"/>
      <c r="AU33" s="140">
        <v>134</v>
      </c>
      <c r="AV33" s="136">
        <v>0</v>
      </c>
      <c r="AW33" s="136">
        <v>0</v>
      </c>
      <c r="AX33" s="336">
        <f t="shared" si="41"/>
        <v>134</v>
      </c>
      <c r="AY33" s="136">
        <f t="shared" si="32"/>
        <v>1.3427</v>
      </c>
      <c r="AZ33" s="141">
        <f>+AU33*$C$4</f>
        <v>179.92179999999999</v>
      </c>
      <c r="BA33" s="340"/>
      <c r="BB33" s="140">
        <v>0</v>
      </c>
      <c r="BC33" s="136">
        <v>0</v>
      </c>
      <c r="BD33" s="136">
        <v>0</v>
      </c>
      <c r="BE33" s="336">
        <f t="shared" si="43"/>
        <v>0</v>
      </c>
      <c r="BF33" s="136">
        <f t="shared" si="33"/>
        <v>1.3427</v>
      </c>
      <c r="BG33" s="141">
        <f>+BB33*$C$4</f>
        <v>0</v>
      </c>
      <c r="BH33" s="126"/>
      <c r="BI33" s="140"/>
      <c r="BJ33" s="143"/>
      <c r="BK33" s="143"/>
      <c r="BL33" s="141"/>
      <c r="BM33" s="142"/>
      <c r="BN33" s="141"/>
    </row>
    <row r="34" spans="2:66" s="130" customFormat="1" ht="15" customHeight="1">
      <c r="B34" s="425" t="s">
        <v>436</v>
      </c>
      <c r="C34" s="439" t="s">
        <v>380</v>
      </c>
      <c r="D34" s="428">
        <f>SUM(D35:D35)</f>
        <v>0</v>
      </c>
      <c r="E34" s="361" t="s">
        <v>126</v>
      </c>
      <c r="F34" s="361" t="s">
        <v>124</v>
      </c>
      <c r="G34" s="407">
        <v>1</v>
      </c>
      <c r="H34" s="361">
        <v>0</v>
      </c>
      <c r="I34" s="361">
        <v>0</v>
      </c>
      <c r="J34" s="361">
        <v>0</v>
      </c>
      <c r="K34" s="408"/>
      <c r="L34" s="361"/>
      <c r="M34" s="361"/>
      <c r="N34" s="361"/>
      <c r="O34" s="361"/>
      <c r="P34" s="361"/>
      <c r="Q34" s="360"/>
      <c r="R34" s="398"/>
      <c r="S34" s="360"/>
      <c r="T34" s="360"/>
      <c r="U34" s="360"/>
      <c r="V34" s="329"/>
      <c r="W34" s="340"/>
      <c r="X34" s="328">
        <f>+X35</f>
        <v>0</v>
      </c>
      <c r="Y34" s="361">
        <f>+Y35</f>
        <v>0</v>
      </c>
      <c r="Z34" s="361">
        <f>+Z35</f>
        <v>0</v>
      </c>
      <c r="AA34" s="360"/>
      <c r="AB34" s="361"/>
      <c r="AC34" s="329">
        <f>+AC35</f>
        <v>0</v>
      </c>
      <c r="AD34" s="126"/>
      <c r="AE34" s="330"/>
      <c r="AF34" s="361"/>
      <c r="AG34" s="398"/>
      <c r="AH34" s="360">
        <f>SUM(AH35)</f>
        <v>669.75539996988789</v>
      </c>
      <c r="AI34" s="360"/>
      <c r="AJ34" s="360">
        <f>SUM(AJ35)</f>
        <v>899.28057553956842</v>
      </c>
      <c r="AK34" s="360"/>
      <c r="AL34" s="329">
        <f>AL35</f>
        <v>2500</v>
      </c>
      <c r="AM34" s="340"/>
      <c r="AN34" s="328">
        <f>SUM(AN35)</f>
        <v>669.75539996988789</v>
      </c>
      <c r="AO34" s="361">
        <f>SUM(AO35)</f>
        <v>0</v>
      </c>
      <c r="AP34" s="361">
        <f>+AP35</f>
        <v>0</v>
      </c>
      <c r="AQ34" s="360">
        <f>+AQ35</f>
        <v>669.75539996988789</v>
      </c>
      <c r="AR34" s="361"/>
      <c r="AS34" s="329">
        <f>+AS35</f>
        <v>899.28057553956842</v>
      </c>
      <c r="AT34" s="126"/>
      <c r="AU34" s="328">
        <f>+AU35</f>
        <v>0</v>
      </c>
      <c r="AV34" s="361">
        <f>+AV35</f>
        <v>0</v>
      </c>
      <c r="AW34" s="361">
        <f>+AW35</f>
        <v>0</v>
      </c>
      <c r="AX34" s="360">
        <f>+AX35</f>
        <v>0</v>
      </c>
      <c r="AY34" s="361"/>
      <c r="AZ34" s="329">
        <f t="shared" si="42"/>
        <v>0</v>
      </c>
      <c r="BA34" s="340"/>
      <c r="BB34" s="328">
        <f>+BB35</f>
        <v>200</v>
      </c>
      <c r="BC34" s="361">
        <f>+BC35</f>
        <v>0</v>
      </c>
      <c r="BD34" s="361">
        <f>+BD35</f>
        <v>0</v>
      </c>
      <c r="BE34" s="360">
        <f>+BE35</f>
        <v>200</v>
      </c>
      <c r="BF34" s="361"/>
      <c r="BG34" s="329">
        <f t="shared" ref="BG34" si="47">+BB34*$C$4</f>
        <v>268.54000000000002</v>
      </c>
      <c r="BH34" s="126"/>
      <c r="BI34" s="140"/>
      <c r="BJ34" s="143"/>
      <c r="BK34" s="143"/>
      <c r="BL34" s="141"/>
      <c r="BM34" s="142"/>
      <c r="BN34" s="141"/>
    </row>
    <row r="35" spans="2:66" s="130" customFormat="1" ht="20.25" customHeight="1">
      <c r="B35" s="335" t="s">
        <v>440</v>
      </c>
      <c r="C35" s="437" t="s">
        <v>415</v>
      </c>
      <c r="D35" s="137">
        <v>0</v>
      </c>
      <c r="E35" s="136" t="s">
        <v>126</v>
      </c>
      <c r="F35" s="136" t="s">
        <v>124</v>
      </c>
      <c r="G35" s="138">
        <v>1</v>
      </c>
      <c r="H35" s="136">
        <v>0</v>
      </c>
      <c r="I35" s="136">
        <v>0</v>
      </c>
      <c r="J35" s="136">
        <v>0</v>
      </c>
      <c r="K35" s="139"/>
      <c r="L35" s="136"/>
      <c r="M35" s="136"/>
      <c r="N35" s="409" t="s">
        <v>447</v>
      </c>
      <c r="O35" s="136" t="s">
        <v>120</v>
      </c>
      <c r="P35" s="136"/>
      <c r="Q35" s="336"/>
      <c r="R35" s="397"/>
      <c r="S35" s="336"/>
      <c r="T35" s="336"/>
      <c r="U35" s="336"/>
      <c r="V35" s="141"/>
      <c r="W35" s="340"/>
      <c r="X35" s="140"/>
      <c r="Y35" s="136"/>
      <c r="Z35" s="136"/>
      <c r="AA35" s="336"/>
      <c r="AB35" s="136"/>
      <c r="AC35" s="141"/>
      <c r="AD35" s="126"/>
      <c r="AE35" s="142" t="s">
        <v>120</v>
      </c>
      <c r="AF35" s="136">
        <v>1</v>
      </c>
      <c r="AG35" s="397">
        <f>+AI35/$C$4</f>
        <v>669.75539996988789</v>
      </c>
      <c r="AH35" s="336">
        <f>AF35*AG35</f>
        <v>669.75539996988789</v>
      </c>
      <c r="AI35" s="336">
        <f t="shared" si="6"/>
        <v>899.28057553956842</v>
      </c>
      <c r="AJ35" s="336">
        <f t="shared" si="20"/>
        <v>899.28057553956842</v>
      </c>
      <c r="AK35" s="336">
        <v>2500</v>
      </c>
      <c r="AL35" s="141">
        <f>+AF35*AK35</f>
        <v>2500</v>
      </c>
      <c r="AM35" s="340"/>
      <c r="AN35" s="140">
        <f t="shared" si="9"/>
        <v>669.75539996988789</v>
      </c>
      <c r="AO35" s="136">
        <v>0</v>
      </c>
      <c r="AP35" s="136">
        <v>0</v>
      </c>
      <c r="AQ35" s="336">
        <f t="shared" si="40"/>
        <v>669.75539996988789</v>
      </c>
      <c r="AR35" s="136">
        <f t="shared" si="31"/>
        <v>1.3427</v>
      </c>
      <c r="AS35" s="141">
        <f t="shared" si="21"/>
        <v>899.28057553956842</v>
      </c>
      <c r="AT35" s="126"/>
      <c r="AU35" s="140">
        <v>0</v>
      </c>
      <c r="AV35" s="136">
        <v>0</v>
      </c>
      <c r="AW35" s="136">
        <v>0</v>
      </c>
      <c r="AX35" s="336">
        <f t="shared" si="41"/>
        <v>0</v>
      </c>
      <c r="AY35" s="136">
        <f t="shared" si="32"/>
        <v>1.3427</v>
      </c>
      <c r="AZ35" s="141">
        <f>+AU35*$C$4</f>
        <v>0</v>
      </c>
      <c r="BA35" s="340"/>
      <c r="BB35" s="140">
        <v>200</v>
      </c>
      <c r="BC35" s="136">
        <v>0</v>
      </c>
      <c r="BD35" s="136">
        <v>0</v>
      </c>
      <c r="BE35" s="336">
        <f t="shared" ref="BE35" si="48">SUM(BB35:BD35)</f>
        <v>200</v>
      </c>
      <c r="BF35" s="136">
        <f t="shared" si="33"/>
        <v>1.3427</v>
      </c>
      <c r="BG35" s="141">
        <f>+BB35*$C$4</f>
        <v>268.54000000000002</v>
      </c>
      <c r="BH35" s="126"/>
      <c r="BI35" s="140"/>
      <c r="BJ35" s="143"/>
      <c r="BK35" s="143"/>
      <c r="BL35" s="141"/>
      <c r="BM35" s="142"/>
      <c r="BN35" s="141"/>
    </row>
    <row r="36" spans="2:66" s="130" customFormat="1" ht="29.25" customHeight="1">
      <c r="B36" s="424" t="s">
        <v>148</v>
      </c>
      <c r="C36" s="440" t="s">
        <v>65</v>
      </c>
      <c r="D36" s="427">
        <f>SUM(D37:D39)</f>
        <v>16000</v>
      </c>
      <c r="E36" s="379"/>
      <c r="F36" s="406"/>
      <c r="G36" s="379"/>
      <c r="H36" s="379"/>
      <c r="I36" s="379"/>
      <c r="J36" s="379"/>
      <c r="K36" s="379"/>
      <c r="L36" s="379"/>
      <c r="M36" s="406"/>
      <c r="N36" s="379"/>
      <c r="O36" s="379"/>
      <c r="P36" s="379"/>
      <c r="Q36" s="378"/>
      <c r="R36" s="396">
        <f>SUM(R37:R39)</f>
        <v>16000</v>
      </c>
      <c r="S36" s="378"/>
      <c r="T36" s="378">
        <f>SUM(T37:T39)</f>
        <v>21483.200000000001</v>
      </c>
      <c r="U36" s="378"/>
      <c r="V36" s="376"/>
      <c r="W36" s="373"/>
      <c r="X36" s="374">
        <f>SUM(X37:X40)</f>
        <v>16000</v>
      </c>
      <c r="Y36" s="379">
        <f>SUM(Y37:Y40)</f>
        <v>0</v>
      </c>
      <c r="Z36" s="379">
        <f>SUM(Z37:Z40)</f>
        <v>0</v>
      </c>
      <c r="AA36" s="378">
        <f>SUM(AA37:AA40)</f>
        <v>40000</v>
      </c>
      <c r="AB36" s="379"/>
      <c r="AC36" s="376">
        <f>SUM(AC37:AC40)</f>
        <v>21483.200000000001</v>
      </c>
      <c r="AD36" s="126"/>
      <c r="AE36" s="377"/>
      <c r="AF36" s="379"/>
      <c r="AG36" s="396"/>
      <c r="AH36" s="378">
        <f>SUM(AH37:AH40)</f>
        <v>5224.092119765126</v>
      </c>
      <c r="AI36" s="378"/>
      <c r="AJ36" s="378">
        <f>SUM(AJ37:AJ40)</f>
        <v>7014.3884892086335</v>
      </c>
      <c r="AK36" s="378"/>
      <c r="AL36" s="376">
        <f>SUM(AL37:AL40)</f>
        <v>19500</v>
      </c>
      <c r="AM36" s="340"/>
      <c r="AN36" s="374">
        <f>SUM(AN37:AN40)</f>
        <v>5264.092119765126</v>
      </c>
      <c r="AO36" s="379">
        <f>SUM(AO37:AO40)</f>
        <v>0</v>
      </c>
      <c r="AP36" s="379">
        <f>SUM(AP37:AP40)</f>
        <v>0</v>
      </c>
      <c r="AQ36" s="378">
        <f>SUM(AQ37:AQ40)</f>
        <v>5264.092119765126</v>
      </c>
      <c r="AR36" s="379"/>
      <c r="AS36" s="376">
        <f>SUM(AS37:AS39)</f>
        <v>7014.3884892086353</v>
      </c>
      <c r="AT36" s="126"/>
      <c r="AU36" s="374">
        <f>SUM(AU37:AU40)</f>
        <v>15</v>
      </c>
      <c r="AV36" s="379">
        <f>SUM(AV37:AV40)</f>
        <v>0</v>
      </c>
      <c r="AW36" s="379">
        <f>SUM(AW37:AW40)</f>
        <v>0</v>
      </c>
      <c r="AX36" s="378">
        <f>SUM(AX37:AX40)</f>
        <v>15</v>
      </c>
      <c r="AY36" s="379"/>
      <c r="AZ36" s="376">
        <f>SUM(AZ37:AZ40)</f>
        <v>20.140499999999999</v>
      </c>
      <c r="BA36" s="340"/>
      <c r="BB36" s="374">
        <f>SUM(BB37:BB40)</f>
        <v>0</v>
      </c>
      <c r="BC36" s="379">
        <f>SUM(BC37:BC40)</f>
        <v>0</v>
      </c>
      <c r="BD36" s="379">
        <f>SUM(BD37:BD40)</f>
        <v>0</v>
      </c>
      <c r="BE36" s="378">
        <f>SUM(BE37:BE40)</f>
        <v>0</v>
      </c>
      <c r="BF36" s="379"/>
      <c r="BG36" s="376">
        <f>SUM(BG37:BG39)</f>
        <v>0</v>
      </c>
      <c r="BH36" s="126"/>
      <c r="BI36" s="374">
        <f>SUM(BI37:BI40)</f>
        <v>0</v>
      </c>
      <c r="BJ36" s="375">
        <f>SUM(BJ37:BJ40)</f>
        <v>0</v>
      </c>
      <c r="BK36" s="375">
        <f>SUM(BK37:BK40)</f>
        <v>0</v>
      </c>
      <c r="BL36" s="376">
        <f>SUM(BL37:BL40)</f>
        <v>0</v>
      </c>
      <c r="BM36" s="377"/>
      <c r="BN36" s="376">
        <f>SUM(BN37:BN40)</f>
        <v>0</v>
      </c>
    </row>
    <row r="37" spans="2:66" s="130" customFormat="1" ht="21.75" customHeight="1">
      <c r="B37" s="335" t="s">
        <v>283</v>
      </c>
      <c r="C37" s="436" t="s">
        <v>66</v>
      </c>
      <c r="D37" s="137">
        <v>4000</v>
      </c>
      <c r="E37" s="136" t="s">
        <v>126</v>
      </c>
      <c r="F37" s="136" t="s">
        <v>124</v>
      </c>
      <c r="G37" s="138">
        <v>1</v>
      </c>
      <c r="H37" s="136">
        <v>0</v>
      </c>
      <c r="I37" s="136">
        <v>0</v>
      </c>
      <c r="J37" s="136">
        <v>0</v>
      </c>
      <c r="K37" s="139">
        <v>41640</v>
      </c>
      <c r="L37" s="139">
        <v>41729</v>
      </c>
      <c r="M37" s="136" t="s">
        <v>76</v>
      </c>
      <c r="N37" s="136"/>
      <c r="O37" s="136" t="s">
        <v>120</v>
      </c>
      <c r="P37" s="136">
        <v>1</v>
      </c>
      <c r="Q37" s="336">
        <v>4000</v>
      </c>
      <c r="R37" s="397">
        <f>Q37*P37</f>
        <v>4000</v>
      </c>
      <c r="S37" s="336">
        <f>Q37*$C$4</f>
        <v>5370.8</v>
      </c>
      <c r="T37" s="336">
        <f>S37*P37</f>
        <v>5370.8</v>
      </c>
      <c r="U37" s="336"/>
      <c r="V37" s="141"/>
      <c r="W37" s="340"/>
      <c r="X37" s="140">
        <f>+R37</f>
        <v>4000</v>
      </c>
      <c r="Y37" s="136">
        <v>0</v>
      </c>
      <c r="Z37" s="136">
        <v>0</v>
      </c>
      <c r="AA37" s="336">
        <f>SUM(X37:Z37)</f>
        <v>4000</v>
      </c>
      <c r="AB37" s="136">
        <f t="shared" ref="AB37:AB44" si="49">+$C$4</f>
        <v>1.3427</v>
      </c>
      <c r="AC37" s="141">
        <f>+X37*AB37</f>
        <v>5370.8</v>
      </c>
      <c r="AD37" s="126"/>
      <c r="AE37" s="142" t="s">
        <v>120</v>
      </c>
      <c r="AF37" s="136">
        <v>1</v>
      </c>
      <c r="AG37" s="397">
        <f t="shared" ref="AG37:AG55" si="50">+AI37/$C$4</f>
        <v>535.80431997591029</v>
      </c>
      <c r="AH37" s="336">
        <f>AF37*AG37</f>
        <v>535.80431997591029</v>
      </c>
      <c r="AI37" s="336">
        <f t="shared" si="6"/>
        <v>719.42446043165478</v>
      </c>
      <c r="AJ37" s="336">
        <f t="shared" si="20"/>
        <v>719.42446043165478</v>
      </c>
      <c r="AK37" s="336">
        <v>2000</v>
      </c>
      <c r="AL37" s="141">
        <f t="shared" ref="AL37:AL55" si="51">+AF37*AK37</f>
        <v>2000</v>
      </c>
      <c r="AM37" s="340"/>
      <c r="AN37" s="140">
        <f t="shared" si="9"/>
        <v>535.80431997591029</v>
      </c>
      <c r="AO37" s="136">
        <v>0</v>
      </c>
      <c r="AP37" s="136">
        <v>0</v>
      </c>
      <c r="AQ37" s="336">
        <f>SUM(AN37:AP37)</f>
        <v>535.80431997591029</v>
      </c>
      <c r="AR37" s="136">
        <f t="shared" ref="AR37:AR40" si="52">+$C$4</f>
        <v>1.3427</v>
      </c>
      <c r="AS37" s="141">
        <f t="shared" si="21"/>
        <v>719.42446043165478</v>
      </c>
      <c r="AT37" s="126"/>
      <c r="AU37" s="140"/>
      <c r="AV37" s="136">
        <v>0</v>
      </c>
      <c r="AW37" s="136">
        <v>0</v>
      </c>
      <c r="AX37" s="336">
        <f>SUM(AU37:AW37)</f>
        <v>0</v>
      </c>
      <c r="AY37" s="136">
        <f t="shared" ref="AY37:AY40" si="53">+$C$4</f>
        <v>1.3427</v>
      </c>
      <c r="AZ37" s="141">
        <f t="shared" ref="AZ37:AZ40" si="54">+AU37*$C$4</f>
        <v>0</v>
      </c>
      <c r="BA37" s="340"/>
      <c r="BB37" s="140">
        <v>0</v>
      </c>
      <c r="BC37" s="136">
        <v>0</v>
      </c>
      <c r="BD37" s="136">
        <v>0</v>
      </c>
      <c r="BE37" s="336">
        <f>SUM(BB37:BD37)</f>
        <v>0</v>
      </c>
      <c r="BF37" s="136">
        <f t="shared" ref="BF37:BF40" si="55">+$C$4</f>
        <v>1.3427</v>
      </c>
      <c r="BG37" s="141">
        <f t="shared" ref="BG37:BG38" si="56">+BB37*$C$4</f>
        <v>0</v>
      </c>
      <c r="BH37" s="126"/>
      <c r="BI37" s="140">
        <v>0</v>
      </c>
      <c r="BJ37" s="143"/>
      <c r="BK37" s="143"/>
      <c r="BL37" s="141">
        <f>SUM(BI37:BK37)</f>
        <v>0</v>
      </c>
      <c r="BM37" s="142">
        <f>+$C$4</f>
        <v>1.3427</v>
      </c>
      <c r="BN37" s="141">
        <f>+BI37/$C$4</f>
        <v>0</v>
      </c>
    </row>
    <row r="38" spans="2:66" s="130" customFormat="1" ht="21.75" customHeight="1">
      <c r="B38" s="335" t="s">
        <v>284</v>
      </c>
      <c r="C38" s="436" t="s">
        <v>67</v>
      </c>
      <c r="D38" s="137">
        <v>6000</v>
      </c>
      <c r="E38" s="136" t="s">
        <v>126</v>
      </c>
      <c r="F38" s="136" t="s">
        <v>124</v>
      </c>
      <c r="G38" s="138">
        <v>1</v>
      </c>
      <c r="H38" s="136">
        <v>0</v>
      </c>
      <c r="I38" s="136">
        <v>0</v>
      </c>
      <c r="J38" s="136">
        <v>0</v>
      </c>
      <c r="K38" s="139">
        <v>41640</v>
      </c>
      <c r="L38" s="139">
        <v>41729</v>
      </c>
      <c r="M38" s="136" t="s">
        <v>76</v>
      </c>
      <c r="N38" s="409" t="s">
        <v>446</v>
      </c>
      <c r="O38" s="136" t="s">
        <v>120</v>
      </c>
      <c r="P38" s="136">
        <v>1</v>
      </c>
      <c r="Q38" s="336">
        <v>6000</v>
      </c>
      <c r="R38" s="397">
        <f t="shared" ref="R38:R39" si="57">Q38*P38</f>
        <v>6000</v>
      </c>
      <c r="S38" s="336">
        <f>Q38*$C$4</f>
        <v>8056.2</v>
      </c>
      <c r="T38" s="336">
        <f>S38*P38</f>
        <v>8056.2</v>
      </c>
      <c r="U38" s="336"/>
      <c r="V38" s="141"/>
      <c r="W38" s="340"/>
      <c r="X38" s="140">
        <f>+R38</f>
        <v>6000</v>
      </c>
      <c r="Y38" s="136">
        <v>0</v>
      </c>
      <c r="Z38" s="136">
        <v>0</v>
      </c>
      <c r="AA38" s="336">
        <f>SUM(X38:Z38)</f>
        <v>6000</v>
      </c>
      <c r="AB38" s="136">
        <f t="shared" si="49"/>
        <v>1.3427</v>
      </c>
      <c r="AC38" s="141">
        <f>+X38*AB38</f>
        <v>8056.2</v>
      </c>
      <c r="AD38" s="126"/>
      <c r="AE38" s="142" t="s">
        <v>120</v>
      </c>
      <c r="AF38" s="136">
        <v>1</v>
      </c>
      <c r="AG38" s="397">
        <f t="shared" si="50"/>
        <v>535.80431997591029</v>
      </c>
      <c r="AH38" s="336">
        <f t="shared" ref="AH38:AH55" si="58">AF38*AG38</f>
        <v>535.80431997591029</v>
      </c>
      <c r="AI38" s="336">
        <f t="shared" si="6"/>
        <v>719.42446043165478</v>
      </c>
      <c r="AJ38" s="336">
        <f t="shared" si="20"/>
        <v>719.42446043165478</v>
      </c>
      <c r="AK38" s="336">
        <v>2000</v>
      </c>
      <c r="AL38" s="141">
        <f t="shared" si="51"/>
        <v>2000</v>
      </c>
      <c r="AM38" s="340"/>
      <c r="AN38" s="140">
        <f t="shared" si="9"/>
        <v>535.80431997591029</v>
      </c>
      <c r="AO38" s="136">
        <v>0</v>
      </c>
      <c r="AP38" s="136">
        <v>0</v>
      </c>
      <c r="AQ38" s="336">
        <f>SUM(AN38:AP38)</f>
        <v>535.80431997591029</v>
      </c>
      <c r="AR38" s="136">
        <f t="shared" si="52"/>
        <v>1.3427</v>
      </c>
      <c r="AS38" s="141">
        <f t="shared" si="21"/>
        <v>719.42446043165478</v>
      </c>
      <c r="AT38" s="126"/>
      <c r="AU38" s="140"/>
      <c r="AV38" s="136">
        <v>0</v>
      </c>
      <c r="AW38" s="136">
        <v>0</v>
      </c>
      <c r="AX38" s="336">
        <f>SUM(AU38:AW38)</f>
        <v>0</v>
      </c>
      <c r="AY38" s="136">
        <f t="shared" si="53"/>
        <v>1.3427</v>
      </c>
      <c r="AZ38" s="141">
        <f t="shared" si="54"/>
        <v>0</v>
      </c>
      <c r="BA38" s="340"/>
      <c r="BB38" s="140">
        <v>0</v>
      </c>
      <c r="BC38" s="136">
        <v>0</v>
      </c>
      <c r="BD38" s="136">
        <v>0</v>
      </c>
      <c r="BE38" s="336">
        <f>SUM(BB38:BD38)</f>
        <v>0</v>
      </c>
      <c r="BF38" s="136">
        <f t="shared" si="55"/>
        <v>1.3427</v>
      </c>
      <c r="BG38" s="141">
        <f t="shared" si="56"/>
        <v>0</v>
      </c>
      <c r="BH38" s="126"/>
      <c r="BI38" s="140">
        <v>0</v>
      </c>
      <c r="BJ38" s="143"/>
      <c r="BK38" s="143"/>
      <c r="BL38" s="141">
        <f>SUM(BI38:BK38)</f>
        <v>0</v>
      </c>
      <c r="BM38" s="142">
        <f>+$C$4</f>
        <v>1.3427</v>
      </c>
      <c r="BN38" s="141">
        <f t="shared" ref="BN38:BN39" si="59">+BI38/$C$4</f>
        <v>0</v>
      </c>
    </row>
    <row r="39" spans="2:66" s="130" customFormat="1" ht="33" customHeight="1">
      <c r="B39" s="335" t="s">
        <v>358</v>
      </c>
      <c r="C39" s="436" t="s">
        <v>68</v>
      </c>
      <c r="D39" s="137">
        <v>6000</v>
      </c>
      <c r="E39" s="136" t="s">
        <v>126</v>
      </c>
      <c r="F39" s="136" t="s">
        <v>124</v>
      </c>
      <c r="G39" s="138">
        <v>1</v>
      </c>
      <c r="H39" s="136">
        <v>0</v>
      </c>
      <c r="I39" s="136">
        <v>0</v>
      </c>
      <c r="J39" s="136">
        <v>0</v>
      </c>
      <c r="K39" s="139">
        <v>41640</v>
      </c>
      <c r="L39" s="139">
        <v>41729</v>
      </c>
      <c r="M39" s="136" t="s">
        <v>76</v>
      </c>
      <c r="N39" s="136"/>
      <c r="O39" s="136" t="s">
        <v>120</v>
      </c>
      <c r="P39" s="136">
        <v>1</v>
      </c>
      <c r="Q39" s="336">
        <v>6000</v>
      </c>
      <c r="R39" s="397">
        <f t="shared" si="57"/>
        <v>6000</v>
      </c>
      <c r="S39" s="336">
        <f>Q39*$C$4</f>
        <v>8056.2</v>
      </c>
      <c r="T39" s="336">
        <f>S39*P39</f>
        <v>8056.2</v>
      </c>
      <c r="U39" s="336"/>
      <c r="V39" s="141"/>
      <c r="W39" s="340"/>
      <c r="X39" s="140">
        <f>+R39</f>
        <v>6000</v>
      </c>
      <c r="Y39" s="136">
        <v>0</v>
      </c>
      <c r="Z39" s="136">
        <v>0</v>
      </c>
      <c r="AA39" s="336">
        <f>SUM(AA41:AA42)</f>
        <v>30000</v>
      </c>
      <c r="AB39" s="136">
        <f t="shared" si="49"/>
        <v>1.3427</v>
      </c>
      <c r="AC39" s="141">
        <f t="shared" ref="AC39:AC40" si="60">+X39*AB39</f>
        <v>8056.2</v>
      </c>
      <c r="AD39" s="126"/>
      <c r="AE39" s="142" t="s">
        <v>120</v>
      </c>
      <c r="AF39" s="136">
        <v>1</v>
      </c>
      <c r="AG39" s="397">
        <f t="shared" si="50"/>
        <v>4152.4834798133052</v>
      </c>
      <c r="AH39" s="336">
        <f t="shared" si="58"/>
        <v>4152.4834798133052</v>
      </c>
      <c r="AI39" s="336">
        <f t="shared" si="6"/>
        <v>5575.5395683453244</v>
      </c>
      <c r="AJ39" s="336">
        <f t="shared" si="20"/>
        <v>5575.5395683453244</v>
      </c>
      <c r="AK39" s="336">
        <v>15500</v>
      </c>
      <c r="AL39" s="141">
        <f t="shared" si="51"/>
        <v>15500</v>
      </c>
      <c r="AM39" s="340"/>
      <c r="AN39" s="140">
        <f t="shared" si="9"/>
        <v>4152.4834798133052</v>
      </c>
      <c r="AO39" s="136">
        <v>0</v>
      </c>
      <c r="AP39" s="136">
        <v>0</v>
      </c>
      <c r="AQ39" s="336">
        <f>SUM(AN39:AP39)</f>
        <v>4152.4834798133052</v>
      </c>
      <c r="AR39" s="136">
        <f t="shared" si="52"/>
        <v>1.3427</v>
      </c>
      <c r="AS39" s="141">
        <f>+AN39*$C$4</f>
        <v>5575.5395683453253</v>
      </c>
      <c r="AT39" s="126"/>
      <c r="AU39" s="140"/>
      <c r="AV39" s="136">
        <v>0</v>
      </c>
      <c r="AW39" s="136">
        <v>0</v>
      </c>
      <c r="AX39" s="336">
        <f>SUM(AU39:AW39)</f>
        <v>0</v>
      </c>
      <c r="AY39" s="136">
        <f t="shared" si="53"/>
        <v>1.3427</v>
      </c>
      <c r="AZ39" s="141">
        <f t="shared" si="54"/>
        <v>0</v>
      </c>
      <c r="BA39" s="340"/>
      <c r="BB39" s="140">
        <v>0</v>
      </c>
      <c r="BC39" s="136">
        <v>0</v>
      </c>
      <c r="BD39" s="136">
        <v>0</v>
      </c>
      <c r="BE39" s="336">
        <f>SUM(BB39:BD39)</f>
        <v>0</v>
      </c>
      <c r="BF39" s="136">
        <f t="shared" si="55"/>
        <v>1.3427</v>
      </c>
      <c r="BG39" s="141">
        <f>+BB39*$C$4</f>
        <v>0</v>
      </c>
      <c r="BH39" s="126"/>
      <c r="BI39" s="140">
        <v>0</v>
      </c>
      <c r="BJ39" s="143"/>
      <c r="BK39" s="143"/>
      <c r="BL39" s="141">
        <f>SUM(BI39:BK39)</f>
        <v>0</v>
      </c>
      <c r="BM39" s="142">
        <f>+$C$4</f>
        <v>1.3427</v>
      </c>
      <c r="BN39" s="141">
        <f t="shared" si="59"/>
        <v>0</v>
      </c>
    </row>
    <row r="40" spans="2:66" s="130" customFormat="1" ht="33" customHeight="1">
      <c r="B40" s="335" t="s">
        <v>516</v>
      </c>
      <c r="C40" s="436" t="s">
        <v>517</v>
      </c>
      <c r="D40" s="137"/>
      <c r="E40" s="136"/>
      <c r="F40" s="136"/>
      <c r="G40" s="138"/>
      <c r="H40" s="136"/>
      <c r="I40" s="136"/>
      <c r="J40" s="136"/>
      <c r="K40" s="139"/>
      <c r="L40" s="139"/>
      <c r="M40" s="136"/>
      <c r="N40" s="136"/>
      <c r="O40" s="136"/>
      <c r="P40" s="136"/>
      <c r="Q40" s="336"/>
      <c r="R40" s="397"/>
      <c r="S40" s="336"/>
      <c r="T40" s="336"/>
      <c r="U40" s="336"/>
      <c r="V40" s="141"/>
      <c r="W40" s="340"/>
      <c r="X40" s="140"/>
      <c r="Y40" s="136"/>
      <c r="Z40" s="136"/>
      <c r="AA40" s="336"/>
      <c r="AB40" s="136">
        <f t="shared" si="49"/>
        <v>1.3427</v>
      </c>
      <c r="AC40" s="141">
        <f t="shared" si="60"/>
        <v>0</v>
      </c>
      <c r="AD40" s="126"/>
      <c r="AE40" s="142"/>
      <c r="AF40" s="136"/>
      <c r="AG40" s="397"/>
      <c r="AH40" s="336"/>
      <c r="AI40" s="336"/>
      <c r="AJ40" s="336"/>
      <c r="AK40" s="336"/>
      <c r="AL40" s="141">
        <f t="shared" si="51"/>
        <v>0</v>
      </c>
      <c r="AM40" s="340"/>
      <c r="AN40" s="140">
        <v>40</v>
      </c>
      <c r="AO40" s="136">
        <v>0</v>
      </c>
      <c r="AP40" s="136">
        <v>0</v>
      </c>
      <c r="AQ40" s="336">
        <f>SUM(AN40:AP40)</f>
        <v>40</v>
      </c>
      <c r="AR40" s="136">
        <f t="shared" si="52"/>
        <v>1.3427</v>
      </c>
      <c r="AS40" s="141">
        <f>+AN40*$C$4</f>
        <v>53.707999999999998</v>
      </c>
      <c r="AT40" s="126"/>
      <c r="AU40" s="140">
        <v>15</v>
      </c>
      <c r="AV40" s="136"/>
      <c r="AW40" s="136"/>
      <c r="AX40" s="336">
        <f>SUM(AU40:AW40)</f>
        <v>15</v>
      </c>
      <c r="AY40" s="136">
        <f t="shared" si="53"/>
        <v>1.3427</v>
      </c>
      <c r="AZ40" s="141">
        <f t="shared" si="54"/>
        <v>20.140499999999999</v>
      </c>
      <c r="BA40" s="340"/>
      <c r="BB40" s="140">
        <v>0</v>
      </c>
      <c r="BC40" s="136">
        <v>0</v>
      </c>
      <c r="BD40" s="136">
        <v>0</v>
      </c>
      <c r="BE40" s="336">
        <f>SUM(BB40:BD40)</f>
        <v>0</v>
      </c>
      <c r="BF40" s="136">
        <f t="shared" si="55"/>
        <v>1.3427</v>
      </c>
      <c r="BG40" s="141">
        <f>+BB40*$C$4</f>
        <v>0</v>
      </c>
      <c r="BH40" s="126"/>
      <c r="BI40" s="140"/>
      <c r="BJ40" s="143"/>
      <c r="BK40" s="143"/>
      <c r="BL40" s="141"/>
      <c r="BM40" s="142">
        <f>+$C$4</f>
        <v>1.3427</v>
      </c>
      <c r="BN40" s="141">
        <f>+BI40/$C$4</f>
        <v>0</v>
      </c>
    </row>
    <row r="41" spans="2:66" s="130" customFormat="1" ht="30" customHeight="1">
      <c r="B41" s="424" t="s">
        <v>149</v>
      </c>
      <c r="C41" s="433" t="s">
        <v>37</v>
      </c>
      <c r="D41" s="427">
        <f>+D42</f>
        <v>15000</v>
      </c>
      <c r="E41" s="379"/>
      <c r="F41" s="406"/>
      <c r="G41" s="379"/>
      <c r="H41" s="379"/>
      <c r="I41" s="379"/>
      <c r="J41" s="379"/>
      <c r="K41" s="379"/>
      <c r="L41" s="379"/>
      <c r="M41" s="406"/>
      <c r="N41" s="379"/>
      <c r="O41" s="379"/>
      <c r="P41" s="379"/>
      <c r="Q41" s="378"/>
      <c r="R41" s="396">
        <f>SUM(R42:R42)</f>
        <v>15000</v>
      </c>
      <c r="S41" s="378"/>
      <c r="T41" s="378">
        <f>SUM(T42:T42)</f>
        <v>20140.5</v>
      </c>
      <c r="U41" s="378"/>
      <c r="V41" s="376"/>
      <c r="W41" s="373"/>
      <c r="X41" s="374">
        <f>SUM(X42:X42)</f>
        <v>15000</v>
      </c>
      <c r="Y41" s="379">
        <f>SUM(Y42:Y42)</f>
        <v>0</v>
      </c>
      <c r="Z41" s="379">
        <f>SUM(Z42:Z42)</f>
        <v>0</v>
      </c>
      <c r="AA41" s="378">
        <f>SUM(AA42:AA42)</f>
        <v>15000</v>
      </c>
      <c r="AB41" s="379"/>
      <c r="AC41" s="376">
        <f>SUM(AC42:AC42)</f>
        <v>20140.5</v>
      </c>
      <c r="AD41" s="126"/>
      <c r="AE41" s="377"/>
      <c r="AF41" s="379"/>
      <c r="AG41" s="396"/>
      <c r="AH41" s="378">
        <f>+AH42</f>
        <v>10716.086399518206</v>
      </c>
      <c r="AI41" s="378"/>
      <c r="AJ41" s="378">
        <f>+AJ42</f>
        <v>14388.489208633095</v>
      </c>
      <c r="AK41" s="378"/>
      <c r="AL41" s="376">
        <f>+AL42</f>
        <v>40000</v>
      </c>
      <c r="AM41" s="340"/>
      <c r="AN41" s="374">
        <f>SUM(AN42:AN42)</f>
        <v>10716.086399518206</v>
      </c>
      <c r="AO41" s="379">
        <f>SUM(AO42:AO42)</f>
        <v>0</v>
      </c>
      <c r="AP41" s="379">
        <f>SUM(AP42:AP42)</f>
        <v>0</v>
      </c>
      <c r="AQ41" s="378">
        <f>SUM(AQ42:AQ42)</f>
        <v>10716.086399518206</v>
      </c>
      <c r="AR41" s="379"/>
      <c r="AS41" s="376">
        <f>SUM(AS42:AS42)</f>
        <v>14388.489208633095</v>
      </c>
      <c r="AT41" s="126"/>
      <c r="AU41" s="374">
        <f>SUM(AU42:AU42)</f>
        <v>0</v>
      </c>
      <c r="AV41" s="379">
        <f>SUM(AV42:AV42)</f>
        <v>0</v>
      </c>
      <c r="AW41" s="379">
        <f>SUM(AW42:AW42)</f>
        <v>0</v>
      </c>
      <c r="AX41" s="378">
        <f>SUM(AX42:AX42)</f>
        <v>0</v>
      </c>
      <c r="AY41" s="379"/>
      <c r="AZ41" s="376">
        <f>SUM(AZ42:AZ42)</f>
        <v>0</v>
      </c>
      <c r="BA41" s="340"/>
      <c r="BB41" s="374">
        <f>SUM(BB42:BB42)</f>
        <v>0</v>
      </c>
      <c r="BC41" s="379">
        <f>SUM(BC42:BC42)</f>
        <v>0</v>
      </c>
      <c r="BD41" s="379">
        <f>SUM(BD42:BD42)</f>
        <v>0</v>
      </c>
      <c r="BE41" s="378">
        <f>SUM(BE42:BE42)</f>
        <v>0</v>
      </c>
      <c r="BF41" s="379"/>
      <c r="BG41" s="376">
        <f>SUM(BG42:BG42)</f>
        <v>0</v>
      </c>
      <c r="BH41" s="126"/>
      <c r="BI41" s="374">
        <f>SUM(BI42:BI42)</f>
        <v>0</v>
      </c>
      <c r="BJ41" s="375">
        <f>SUM(BJ42:BJ42)</f>
        <v>0</v>
      </c>
      <c r="BK41" s="375">
        <f>SUM(BK42:BK42)</f>
        <v>0</v>
      </c>
      <c r="BL41" s="376">
        <f>SUM(BL42:BL42)</f>
        <v>0</v>
      </c>
      <c r="BM41" s="377"/>
      <c r="BN41" s="376">
        <f>SUM(BN42:BN42)</f>
        <v>0</v>
      </c>
    </row>
    <row r="42" spans="2:66" s="130" customFormat="1" ht="20.25" customHeight="1">
      <c r="B42" s="335" t="s">
        <v>328</v>
      </c>
      <c r="C42" s="436" t="s">
        <v>448</v>
      </c>
      <c r="D42" s="137">
        <v>15000</v>
      </c>
      <c r="E42" s="136" t="s">
        <v>126</v>
      </c>
      <c r="F42" s="136" t="s">
        <v>124</v>
      </c>
      <c r="G42" s="138">
        <v>1</v>
      </c>
      <c r="H42" s="136">
        <v>0</v>
      </c>
      <c r="I42" s="136">
        <v>0</v>
      </c>
      <c r="J42" s="136">
        <v>0</v>
      </c>
      <c r="K42" s="139">
        <v>41944</v>
      </c>
      <c r="L42" s="139">
        <v>41988</v>
      </c>
      <c r="M42" s="136" t="s">
        <v>39</v>
      </c>
      <c r="N42" s="136"/>
      <c r="O42" s="136" t="s">
        <v>120</v>
      </c>
      <c r="P42" s="136">
        <v>1</v>
      </c>
      <c r="Q42" s="336">
        <v>15000</v>
      </c>
      <c r="R42" s="397">
        <f>Q42*P42</f>
        <v>15000</v>
      </c>
      <c r="S42" s="336">
        <f>Q42*$C$4</f>
        <v>20140.5</v>
      </c>
      <c r="T42" s="336">
        <f>S42*P42</f>
        <v>20140.5</v>
      </c>
      <c r="U42" s="336"/>
      <c r="V42" s="141"/>
      <c r="W42" s="340"/>
      <c r="X42" s="140">
        <f>+R42</f>
        <v>15000</v>
      </c>
      <c r="Y42" s="136">
        <v>0</v>
      </c>
      <c r="Z42" s="136">
        <v>0</v>
      </c>
      <c r="AA42" s="336">
        <f>SUM(X42:Z42)</f>
        <v>15000</v>
      </c>
      <c r="AB42" s="136">
        <f t="shared" si="49"/>
        <v>1.3427</v>
      </c>
      <c r="AC42" s="141">
        <f>+X42*AB42</f>
        <v>20140.5</v>
      </c>
      <c r="AD42" s="126"/>
      <c r="AE42" s="142" t="s">
        <v>120</v>
      </c>
      <c r="AF42" s="136">
        <v>1</v>
      </c>
      <c r="AG42" s="397">
        <f t="shared" si="50"/>
        <v>10716.086399518206</v>
      </c>
      <c r="AH42" s="336">
        <f>AF42*AG42</f>
        <v>10716.086399518206</v>
      </c>
      <c r="AI42" s="336">
        <f>+AK42/$C$2</f>
        <v>14388.489208633095</v>
      </c>
      <c r="AJ42" s="336">
        <f>+AF42*AI42</f>
        <v>14388.489208633095</v>
      </c>
      <c r="AK42" s="336">
        <v>40000</v>
      </c>
      <c r="AL42" s="141">
        <f t="shared" si="51"/>
        <v>40000</v>
      </c>
      <c r="AM42" s="340"/>
      <c r="AN42" s="140">
        <f t="shared" si="9"/>
        <v>10716.086399518206</v>
      </c>
      <c r="AO42" s="136">
        <v>0</v>
      </c>
      <c r="AP42" s="136">
        <v>0</v>
      </c>
      <c r="AQ42" s="336">
        <f>SUM(AN42:AP42)</f>
        <v>10716.086399518206</v>
      </c>
      <c r="AR42" s="136">
        <f>+$C$4</f>
        <v>1.3427</v>
      </c>
      <c r="AS42" s="141">
        <f t="shared" si="21"/>
        <v>14388.489208633095</v>
      </c>
      <c r="AT42" s="126"/>
      <c r="AU42" s="140">
        <v>0</v>
      </c>
      <c r="AV42" s="136">
        <v>0</v>
      </c>
      <c r="AW42" s="136">
        <v>0</v>
      </c>
      <c r="AX42" s="336">
        <f>SUM(AU42:AW42)</f>
        <v>0</v>
      </c>
      <c r="AY42" s="136">
        <f>+$C$4</f>
        <v>1.3427</v>
      </c>
      <c r="AZ42" s="141">
        <f>+AU42*$C$4</f>
        <v>0</v>
      </c>
      <c r="BA42" s="340"/>
      <c r="BB42" s="140">
        <v>0</v>
      </c>
      <c r="BC42" s="136">
        <v>0</v>
      </c>
      <c r="BD42" s="136">
        <v>0</v>
      </c>
      <c r="BE42" s="336">
        <f>SUM(BB42:BD42)</f>
        <v>0</v>
      </c>
      <c r="BF42" s="136">
        <f>+$C$4</f>
        <v>1.3427</v>
      </c>
      <c r="BG42" s="141">
        <f>+BB42*$C$4</f>
        <v>0</v>
      </c>
      <c r="BH42" s="126"/>
      <c r="BI42" s="140">
        <v>0</v>
      </c>
      <c r="BJ42" s="136"/>
      <c r="BK42" s="136"/>
      <c r="BL42" s="141">
        <f>SUM(BI42:BK42)</f>
        <v>0</v>
      </c>
      <c r="BM42" s="142">
        <f>+$C$4</f>
        <v>1.3427</v>
      </c>
      <c r="BN42" s="141">
        <f>+BI42/$C$4</f>
        <v>0</v>
      </c>
    </row>
    <row r="43" spans="2:66" s="130" customFormat="1" ht="30" customHeight="1">
      <c r="B43" s="424" t="s">
        <v>528</v>
      </c>
      <c r="C43" s="474" t="s">
        <v>70</v>
      </c>
      <c r="D43" s="427">
        <f>+D44</f>
        <v>9677</v>
      </c>
      <c r="E43" s="379"/>
      <c r="F43" s="379"/>
      <c r="G43" s="475"/>
      <c r="H43" s="379"/>
      <c r="I43" s="379"/>
      <c r="J43" s="379"/>
      <c r="K43" s="476"/>
      <c r="L43" s="476"/>
      <c r="M43" s="379"/>
      <c r="N43" s="379"/>
      <c r="O43" s="379"/>
      <c r="P43" s="379"/>
      <c r="Q43" s="378"/>
      <c r="R43" s="396">
        <f>+R44</f>
        <v>9677</v>
      </c>
      <c r="S43" s="378"/>
      <c r="T43" s="378"/>
      <c r="U43" s="378"/>
      <c r="V43" s="376"/>
      <c r="W43" s="340"/>
      <c r="X43" s="374">
        <f>+X44</f>
        <v>9677</v>
      </c>
      <c r="Y43" s="379">
        <f>+Y44</f>
        <v>0</v>
      </c>
      <c r="Z43" s="379">
        <f>+Z44</f>
        <v>0</v>
      </c>
      <c r="AA43" s="378">
        <f>+AA44</f>
        <v>9677</v>
      </c>
      <c r="AB43" s="379"/>
      <c r="AC43" s="376"/>
      <c r="AD43" s="126"/>
      <c r="AE43" s="377"/>
      <c r="AF43" s="379"/>
      <c r="AG43" s="396"/>
      <c r="AH43" s="378"/>
      <c r="AI43" s="378"/>
      <c r="AJ43" s="378"/>
      <c r="AK43" s="378"/>
      <c r="AL43" s="376"/>
      <c r="AM43" s="340"/>
      <c r="AN43" s="140"/>
      <c r="AO43" s="136"/>
      <c r="AP43" s="136"/>
      <c r="AQ43" s="336"/>
      <c r="AR43" s="136"/>
      <c r="AS43" s="141"/>
      <c r="AT43" s="126"/>
      <c r="AU43" s="140"/>
      <c r="AV43" s="136"/>
      <c r="AW43" s="136"/>
      <c r="AX43" s="336"/>
      <c r="AY43" s="136"/>
      <c r="AZ43" s="141"/>
      <c r="BA43" s="340"/>
      <c r="BB43" s="140"/>
      <c r="BC43" s="136"/>
      <c r="BD43" s="136"/>
      <c r="BE43" s="336"/>
      <c r="BF43" s="136"/>
      <c r="BG43" s="141"/>
      <c r="BH43" s="126"/>
      <c r="BI43" s="470"/>
      <c r="BJ43" s="471"/>
      <c r="BK43" s="471"/>
      <c r="BL43" s="472"/>
      <c r="BM43" s="473"/>
      <c r="BN43" s="472"/>
    </row>
    <row r="44" spans="2:66" s="130" customFormat="1" ht="20.25" customHeight="1">
      <c r="B44" s="335" t="s">
        <v>529</v>
      </c>
      <c r="C44" s="436" t="s">
        <v>530</v>
      </c>
      <c r="D44" s="137">
        <v>9677</v>
      </c>
      <c r="E44" s="136"/>
      <c r="F44" s="136" t="s">
        <v>124</v>
      </c>
      <c r="G44" s="138">
        <v>1</v>
      </c>
      <c r="H44" s="136">
        <v>0</v>
      </c>
      <c r="I44" s="136">
        <v>0</v>
      </c>
      <c r="J44" s="136">
        <v>0</v>
      </c>
      <c r="K44" s="139"/>
      <c r="L44" s="139"/>
      <c r="M44" s="136" t="s">
        <v>39</v>
      </c>
      <c r="N44" s="136"/>
      <c r="O44" s="136" t="s">
        <v>120</v>
      </c>
      <c r="P44" s="136">
        <v>1</v>
      </c>
      <c r="Q44" s="336">
        <v>9677</v>
      </c>
      <c r="R44" s="397">
        <f>Q44*P44</f>
        <v>9677</v>
      </c>
      <c r="S44" s="336">
        <f>Q44*$C$4</f>
        <v>12993.3079</v>
      </c>
      <c r="T44" s="336">
        <f>S44*P44</f>
        <v>12993.3079</v>
      </c>
      <c r="U44" s="336"/>
      <c r="V44" s="141"/>
      <c r="W44" s="340"/>
      <c r="X44" s="140">
        <v>9677</v>
      </c>
      <c r="Y44" s="136">
        <v>0</v>
      </c>
      <c r="Z44" s="136">
        <v>0</v>
      </c>
      <c r="AA44" s="336">
        <f>SUM(X44:Z44)</f>
        <v>9677</v>
      </c>
      <c r="AB44" s="136">
        <f t="shared" si="49"/>
        <v>1.3427</v>
      </c>
      <c r="AC44" s="141">
        <f>+X44*AB44</f>
        <v>12993.3079</v>
      </c>
      <c r="AD44" s="126"/>
      <c r="AE44" s="142" t="s">
        <v>120</v>
      </c>
      <c r="AF44" s="136">
        <v>1</v>
      </c>
      <c r="AG44" s="397">
        <v>9677</v>
      </c>
      <c r="AH44" s="336">
        <f>AF44*AG44</f>
        <v>9677</v>
      </c>
      <c r="AI44" s="336"/>
      <c r="AJ44" s="336"/>
      <c r="AK44" s="336"/>
      <c r="AL44" s="141"/>
      <c r="AM44" s="340"/>
      <c r="AN44" s="140"/>
      <c r="AO44" s="136"/>
      <c r="AP44" s="136"/>
      <c r="AQ44" s="336"/>
      <c r="AR44" s="136"/>
      <c r="AS44" s="141"/>
      <c r="AT44" s="126"/>
      <c r="AU44" s="140"/>
      <c r="AV44" s="136"/>
      <c r="AW44" s="136"/>
      <c r="AX44" s="336"/>
      <c r="AY44" s="136"/>
      <c r="AZ44" s="141"/>
      <c r="BA44" s="340"/>
      <c r="BB44" s="140"/>
      <c r="BC44" s="136"/>
      <c r="BD44" s="136"/>
      <c r="BE44" s="336"/>
      <c r="BF44" s="136"/>
      <c r="BG44" s="141"/>
      <c r="BH44" s="126"/>
      <c r="BI44" s="470"/>
      <c r="BJ44" s="471"/>
      <c r="BK44" s="471"/>
      <c r="BL44" s="472"/>
      <c r="BM44" s="473"/>
      <c r="BN44" s="472"/>
    </row>
    <row r="45" spans="2:66" ht="38.25" customHeight="1">
      <c r="B45" s="452">
        <v>2</v>
      </c>
      <c r="C45" s="450" t="s">
        <v>261</v>
      </c>
      <c r="D45" s="429">
        <v>1800000</v>
      </c>
      <c r="E45" s="371"/>
      <c r="F45" s="410"/>
      <c r="G45" s="371"/>
      <c r="H45" s="371"/>
      <c r="I45" s="371"/>
      <c r="J45" s="371"/>
      <c r="K45" s="371"/>
      <c r="L45" s="371"/>
      <c r="M45" s="410"/>
      <c r="N45" s="371"/>
      <c r="O45" s="371"/>
      <c r="P45" s="371"/>
      <c r="Q45" s="382"/>
      <c r="R45" s="399">
        <v>1800000</v>
      </c>
      <c r="S45" s="382"/>
      <c r="T45" s="382">
        <f>1800000*C4</f>
        <v>2416860</v>
      </c>
      <c r="U45" s="382"/>
      <c r="V45" s="368"/>
      <c r="W45" s="340"/>
      <c r="X45" s="366">
        <v>1800000</v>
      </c>
      <c r="Y45" s="382">
        <f>SUM(Y46:Y55)</f>
        <v>0</v>
      </c>
      <c r="Z45" s="382">
        <f>SUM(Z46:Z55)</f>
        <v>0</v>
      </c>
      <c r="AA45" s="382">
        <f>SUM(X45:Z45)</f>
        <v>1800000</v>
      </c>
      <c r="AB45" s="383">
        <f>+$C$4</f>
        <v>1.3427</v>
      </c>
      <c r="AC45" s="368">
        <f>X45*AB45</f>
        <v>2416860</v>
      </c>
      <c r="AD45" s="126"/>
      <c r="AE45" s="369"/>
      <c r="AF45" s="371"/>
      <c r="AG45" s="399"/>
      <c r="AH45" s="382">
        <f>SUM(AH46:AH55)</f>
        <v>1794944.4719192993</v>
      </c>
      <c r="AI45" s="382"/>
      <c r="AJ45" s="382">
        <f>SUM(AJ46:AJ55)</f>
        <v>2410071.9424460437</v>
      </c>
      <c r="AK45" s="382"/>
      <c r="AL45" s="368">
        <f>SUM(AL46:AL55)</f>
        <v>6700000</v>
      </c>
      <c r="AM45" s="340"/>
      <c r="AN45" s="366">
        <f>SUM(AN46:AN55)</f>
        <v>1794944.4719192993</v>
      </c>
      <c r="AO45" s="382">
        <f>SUM(AO46:AO55)</f>
        <v>0</v>
      </c>
      <c r="AP45" s="382">
        <f>SUM(AP46:AP55)</f>
        <v>0</v>
      </c>
      <c r="AQ45" s="382">
        <f>SUM(AQ46:AQ55)</f>
        <v>1794944.4719192993</v>
      </c>
      <c r="AR45" s="383">
        <f>+$C$4</f>
        <v>1.3427</v>
      </c>
      <c r="AS45" s="368">
        <f>SUM(AS46:AS55)</f>
        <v>2410071.9424460437</v>
      </c>
      <c r="AT45" s="126"/>
      <c r="AU45" s="366">
        <f>SUM(AU46:AU55)</f>
        <v>0</v>
      </c>
      <c r="AV45" s="382">
        <v>0</v>
      </c>
      <c r="AW45" s="382">
        <v>0</v>
      </c>
      <c r="AX45" s="382">
        <f>SUM(AU45:AW45)</f>
        <v>0</v>
      </c>
      <c r="AY45" s="383">
        <f>+$C$4</f>
        <v>1.3427</v>
      </c>
      <c r="AZ45" s="368">
        <f>AU45/AY45</f>
        <v>0</v>
      </c>
      <c r="BA45" s="340"/>
      <c r="BB45" s="366">
        <f>SUM(BB46:BB55)</f>
        <v>179494.44719192991</v>
      </c>
      <c r="BC45" s="382">
        <v>0</v>
      </c>
      <c r="BD45" s="382">
        <v>0</v>
      </c>
      <c r="BE45" s="382">
        <f>SUM(BB45:BD45)</f>
        <v>179494.44719192991</v>
      </c>
      <c r="BF45" s="383">
        <f>+$C$4</f>
        <v>1.3427</v>
      </c>
      <c r="BG45" s="368">
        <f>BB45/BF45</f>
        <v>133681.72130180226</v>
      </c>
      <c r="BH45" s="126"/>
      <c r="BI45" s="362">
        <v>0</v>
      </c>
      <c r="BJ45" s="363">
        <v>0</v>
      </c>
      <c r="BK45" s="363">
        <v>0</v>
      </c>
      <c r="BL45" s="364">
        <f>SUM(BI45:BK45)</f>
        <v>0</v>
      </c>
      <c r="BM45" s="365">
        <f>+$C$4</f>
        <v>1.3427</v>
      </c>
      <c r="BN45" s="364">
        <f>BI45/BM45</f>
        <v>0</v>
      </c>
    </row>
    <row r="46" spans="2:66" ht="20.25" customHeight="1">
      <c r="B46" s="335" t="s">
        <v>129</v>
      </c>
      <c r="C46" s="441" t="s">
        <v>58</v>
      </c>
      <c r="D46" s="137"/>
      <c r="E46" s="136"/>
      <c r="F46" s="144"/>
      <c r="G46" s="136"/>
      <c r="H46" s="136"/>
      <c r="I46" s="136"/>
      <c r="J46" s="136"/>
      <c r="K46" s="139">
        <v>41791</v>
      </c>
      <c r="L46" s="139">
        <v>41943</v>
      </c>
      <c r="M46" s="136" t="s">
        <v>39</v>
      </c>
      <c r="N46" s="136"/>
      <c r="O46" s="136" t="s">
        <v>120</v>
      </c>
      <c r="P46" s="136"/>
      <c r="Q46" s="336"/>
      <c r="R46" s="397"/>
      <c r="S46" s="336"/>
      <c r="T46" s="336"/>
      <c r="U46" s="336"/>
      <c r="V46" s="141"/>
      <c r="W46" s="340"/>
      <c r="X46" s="140"/>
      <c r="Y46" s="136"/>
      <c r="Z46" s="136"/>
      <c r="AA46" s="336">
        <f>SUM(X46:Z46)</f>
        <v>0</v>
      </c>
      <c r="AB46" s="136"/>
      <c r="AC46" s="141"/>
      <c r="AD46" s="126"/>
      <c r="AE46" s="142" t="s">
        <v>120</v>
      </c>
      <c r="AF46" s="136">
        <v>1</v>
      </c>
      <c r="AG46" s="397">
        <f>+AI46/$C$4</f>
        <v>179494.44719192994</v>
      </c>
      <c r="AH46" s="336">
        <f>AF46*AG46</f>
        <v>179494.44719192994</v>
      </c>
      <c r="AI46" s="336">
        <f t="shared" si="6"/>
        <v>241007.19424460432</v>
      </c>
      <c r="AJ46" s="336">
        <f t="shared" ref="AJ46:AJ54" si="61">+AF46*AI46</f>
        <v>241007.19424460432</v>
      </c>
      <c r="AK46" s="336">
        <v>670000</v>
      </c>
      <c r="AL46" s="141">
        <f t="shared" si="51"/>
        <v>670000</v>
      </c>
      <c r="AM46" s="340"/>
      <c r="AN46" s="140">
        <f t="shared" si="9"/>
        <v>179494.44719192994</v>
      </c>
      <c r="AO46" s="136">
        <v>0</v>
      </c>
      <c r="AP46" s="136">
        <v>0</v>
      </c>
      <c r="AQ46" s="336">
        <f>SUM(AN46:AP46)</f>
        <v>179494.44719192994</v>
      </c>
      <c r="AR46" s="136">
        <f>+$C$4</f>
        <v>1.3427</v>
      </c>
      <c r="AS46" s="141">
        <f t="shared" si="21"/>
        <v>241007.19424460432</v>
      </c>
      <c r="AT46" s="126"/>
      <c r="AU46" s="140">
        <v>0</v>
      </c>
      <c r="AV46" s="136">
        <v>0</v>
      </c>
      <c r="AW46" s="136">
        <v>0</v>
      </c>
      <c r="AX46" s="336">
        <f>SUM(AU46:AW46)</f>
        <v>0</v>
      </c>
      <c r="AY46" s="136">
        <f>+$C$4</f>
        <v>1.3427</v>
      </c>
      <c r="AZ46" s="141">
        <f t="shared" ref="AZ46:AZ55" si="62">+AU46*$C$4</f>
        <v>0</v>
      </c>
      <c r="BA46" s="340"/>
      <c r="BB46" s="140">
        <f>0.1*AG46</f>
        <v>17949.444719192994</v>
      </c>
      <c r="BC46" s="136">
        <v>0</v>
      </c>
      <c r="BD46" s="136">
        <v>0</v>
      </c>
      <c r="BE46" s="336">
        <f>SUM(BB46:BD46)</f>
        <v>17949.444719192994</v>
      </c>
      <c r="BF46" s="136">
        <f>+$C$4</f>
        <v>1.3427</v>
      </c>
      <c r="BG46" s="141">
        <f t="shared" ref="BG46:BG55" si="63">+BB46*$C$4</f>
        <v>24100.719424460432</v>
      </c>
      <c r="BH46" s="126"/>
      <c r="BI46" s="140"/>
      <c r="BJ46" s="136"/>
      <c r="BK46" s="136"/>
      <c r="BL46" s="141">
        <f>SUM(BI46:BK46)</f>
        <v>0</v>
      </c>
      <c r="BM46" s="142"/>
      <c r="BN46" s="141"/>
    </row>
    <row r="47" spans="2:66" ht="20.25" customHeight="1">
      <c r="B47" s="335" t="s">
        <v>150</v>
      </c>
      <c r="C47" s="441" t="s">
        <v>59</v>
      </c>
      <c r="D47" s="137"/>
      <c r="E47" s="136"/>
      <c r="F47" s="144"/>
      <c r="G47" s="136"/>
      <c r="H47" s="136"/>
      <c r="I47" s="136"/>
      <c r="J47" s="136"/>
      <c r="K47" s="139">
        <v>41791</v>
      </c>
      <c r="L47" s="139">
        <v>41943</v>
      </c>
      <c r="M47" s="136" t="s">
        <v>39</v>
      </c>
      <c r="N47" s="136"/>
      <c r="O47" s="136" t="s">
        <v>120</v>
      </c>
      <c r="P47" s="136"/>
      <c r="Q47" s="336"/>
      <c r="R47" s="397"/>
      <c r="S47" s="336"/>
      <c r="T47" s="336"/>
      <c r="U47" s="336"/>
      <c r="V47" s="141"/>
      <c r="W47" s="340"/>
      <c r="X47" s="140"/>
      <c r="Y47" s="136"/>
      <c r="Z47" s="136"/>
      <c r="AA47" s="336">
        <f>SUM(X47:Z47)</f>
        <v>0</v>
      </c>
      <c r="AB47" s="136"/>
      <c r="AC47" s="141"/>
      <c r="AD47" s="126"/>
      <c r="AE47" s="142" t="s">
        <v>120</v>
      </c>
      <c r="AF47" s="136">
        <v>1</v>
      </c>
      <c r="AG47" s="397">
        <f t="shared" si="50"/>
        <v>179494.44719192994</v>
      </c>
      <c r="AH47" s="336">
        <f t="shared" si="58"/>
        <v>179494.44719192994</v>
      </c>
      <c r="AI47" s="336">
        <f t="shared" si="6"/>
        <v>241007.19424460432</v>
      </c>
      <c r="AJ47" s="336">
        <f t="shared" si="61"/>
        <v>241007.19424460432</v>
      </c>
      <c r="AK47" s="336">
        <v>670000</v>
      </c>
      <c r="AL47" s="141">
        <f t="shared" si="51"/>
        <v>670000</v>
      </c>
      <c r="AM47" s="340"/>
      <c r="AN47" s="140">
        <f t="shared" si="9"/>
        <v>179494.44719192994</v>
      </c>
      <c r="AO47" s="136">
        <v>0</v>
      </c>
      <c r="AP47" s="136">
        <v>0</v>
      </c>
      <c r="AQ47" s="336">
        <f>SUM(AN47:AP47)</f>
        <v>179494.44719192994</v>
      </c>
      <c r="AR47" s="136">
        <f t="shared" ref="AR47:AR55" si="64">+$C$4</f>
        <v>1.3427</v>
      </c>
      <c r="AS47" s="141">
        <f t="shared" si="21"/>
        <v>241007.19424460432</v>
      </c>
      <c r="AT47" s="126"/>
      <c r="AU47" s="140">
        <v>0</v>
      </c>
      <c r="AV47" s="136">
        <v>0</v>
      </c>
      <c r="AW47" s="136">
        <v>0</v>
      </c>
      <c r="AX47" s="336">
        <f>SUM(AU47:AW47)</f>
        <v>0</v>
      </c>
      <c r="AY47" s="136">
        <f t="shared" ref="AY47:AY55" si="65">+$C$4</f>
        <v>1.3427</v>
      </c>
      <c r="AZ47" s="141">
        <f t="shared" si="62"/>
        <v>0</v>
      </c>
      <c r="BA47" s="340"/>
      <c r="BB47" s="140">
        <f t="shared" ref="BB47:BB55" si="66">0.1*AG47</f>
        <v>17949.444719192994</v>
      </c>
      <c r="BC47" s="136">
        <v>0</v>
      </c>
      <c r="BD47" s="136">
        <v>0</v>
      </c>
      <c r="BE47" s="336">
        <f>SUM(BB47:BD47)</f>
        <v>17949.444719192994</v>
      </c>
      <c r="BF47" s="136">
        <f t="shared" ref="BF47:BF55" si="67">+$C$4</f>
        <v>1.3427</v>
      </c>
      <c r="BG47" s="141">
        <f t="shared" si="63"/>
        <v>24100.719424460432</v>
      </c>
      <c r="BH47" s="126"/>
      <c r="BI47" s="140"/>
      <c r="BJ47" s="136"/>
      <c r="BK47" s="136"/>
      <c r="BL47" s="141">
        <f>SUM(BI47:BK47)</f>
        <v>0</v>
      </c>
      <c r="BM47" s="142"/>
      <c r="BN47" s="141"/>
    </row>
    <row r="48" spans="2:66" ht="20.25" customHeight="1">
      <c r="B48" s="335" t="s">
        <v>151</v>
      </c>
      <c r="C48" s="441" t="s">
        <v>60</v>
      </c>
      <c r="D48" s="137"/>
      <c r="E48" s="136"/>
      <c r="F48" s="144"/>
      <c r="G48" s="136"/>
      <c r="H48" s="136"/>
      <c r="I48" s="136"/>
      <c r="J48" s="136"/>
      <c r="K48" s="139">
        <v>41791</v>
      </c>
      <c r="L48" s="139">
        <v>41943</v>
      </c>
      <c r="M48" s="136" t="s">
        <v>39</v>
      </c>
      <c r="N48" s="136"/>
      <c r="O48" s="136" t="s">
        <v>120</v>
      </c>
      <c r="P48" s="136"/>
      <c r="Q48" s="336"/>
      <c r="R48" s="397"/>
      <c r="S48" s="336"/>
      <c r="T48" s="336"/>
      <c r="U48" s="336"/>
      <c r="V48" s="141"/>
      <c r="W48" s="340"/>
      <c r="X48" s="140"/>
      <c r="Y48" s="136"/>
      <c r="Z48" s="136"/>
      <c r="AA48" s="336">
        <f t="shared" ref="AA48" si="68">SUM(X48:Z48)</f>
        <v>0</v>
      </c>
      <c r="AB48" s="136"/>
      <c r="AC48" s="141"/>
      <c r="AD48" s="126"/>
      <c r="AE48" s="142" t="s">
        <v>120</v>
      </c>
      <c r="AF48" s="136">
        <v>1</v>
      </c>
      <c r="AG48" s="397">
        <f t="shared" si="50"/>
        <v>179494.44719192994</v>
      </c>
      <c r="AH48" s="336">
        <f t="shared" si="58"/>
        <v>179494.44719192994</v>
      </c>
      <c r="AI48" s="336">
        <f t="shared" si="6"/>
        <v>241007.19424460432</v>
      </c>
      <c r="AJ48" s="336">
        <f t="shared" si="61"/>
        <v>241007.19424460432</v>
      </c>
      <c r="AK48" s="336">
        <v>670000</v>
      </c>
      <c r="AL48" s="141">
        <f t="shared" si="51"/>
        <v>670000</v>
      </c>
      <c r="AM48" s="340"/>
      <c r="AN48" s="140">
        <f t="shared" si="9"/>
        <v>179494.44719192994</v>
      </c>
      <c r="AO48" s="136">
        <v>0</v>
      </c>
      <c r="AP48" s="136">
        <v>0</v>
      </c>
      <c r="AQ48" s="336">
        <f t="shared" ref="AQ48:AQ55" si="69">SUM(AN48:AP48)</f>
        <v>179494.44719192994</v>
      </c>
      <c r="AR48" s="136">
        <f t="shared" si="64"/>
        <v>1.3427</v>
      </c>
      <c r="AS48" s="141">
        <f t="shared" si="21"/>
        <v>241007.19424460432</v>
      </c>
      <c r="AT48" s="126"/>
      <c r="AU48" s="140">
        <v>0</v>
      </c>
      <c r="AV48" s="136">
        <v>0</v>
      </c>
      <c r="AW48" s="136">
        <v>0</v>
      </c>
      <c r="AX48" s="336">
        <f t="shared" ref="AX48:AX61" si="70">SUM(AU48:AW48)</f>
        <v>0</v>
      </c>
      <c r="AY48" s="136">
        <f t="shared" si="65"/>
        <v>1.3427</v>
      </c>
      <c r="AZ48" s="141">
        <f t="shared" si="62"/>
        <v>0</v>
      </c>
      <c r="BA48" s="340"/>
      <c r="BB48" s="140">
        <f t="shared" si="66"/>
        <v>17949.444719192994</v>
      </c>
      <c r="BC48" s="136">
        <v>0</v>
      </c>
      <c r="BD48" s="136">
        <v>0</v>
      </c>
      <c r="BE48" s="336">
        <f t="shared" ref="BE48:BE55" si="71">SUM(BB48:BD48)</f>
        <v>17949.444719192994</v>
      </c>
      <c r="BF48" s="136">
        <f t="shared" si="67"/>
        <v>1.3427</v>
      </c>
      <c r="BG48" s="141">
        <f t="shared" si="63"/>
        <v>24100.719424460432</v>
      </c>
      <c r="BH48" s="126"/>
      <c r="BI48" s="140"/>
      <c r="BJ48" s="136"/>
      <c r="BK48" s="136"/>
      <c r="BL48" s="141">
        <f t="shared" ref="BL48:BL55" si="72">SUM(BI48:BK48)</f>
        <v>0</v>
      </c>
      <c r="BM48" s="142"/>
      <c r="BN48" s="141"/>
    </row>
    <row r="49" spans="2:66" ht="20.25" customHeight="1">
      <c r="B49" s="335" t="s">
        <v>329</v>
      </c>
      <c r="C49" s="441" t="s">
        <v>78</v>
      </c>
      <c r="D49" s="137"/>
      <c r="E49" s="136"/>
      <c r="F49" s="144"/>
      <c r="G49" s="136"/>
      <c r="H49" s="136"/>
      <c r="I49" s="136"/>
      <c r="J49" s="136"/>
      <c r="K49" s="139">
        <v>41791</v>
      </c>
      <c r="L49" s="139">
        <v>41943</v>
      </c>
      <c r="M49" s="136" t="s">
        <v>39</v>
      </c>
      <c r="N49" s="136"/>
      <c r="O49" s="136" t="s">
        <v>120</v>
      </c>
      <c r="P49" s="136"/>
      <c r="Q49" s="336"/>
      <c r="R49" s="397"/>
      <c r="S49" s="336"/>
      <c r="T49" s="336"/>
      <c r="U49" s="336"/>
      <c r="V49" s="141"/>
      <c r="W49" s="340"/>
      <c r="X49" s="140"/>
      <c r="Y49" s="136"/>
      <c r="Z49" s="136"/>
      <c r="AA49" s="336">
        <f t="shared" ref="AA49:AA55" si="73">SUM(X49:Z49)</f>
        <v>0</v>
      </c>
      <c r="AB49" s="136"/>
      <c r="AC49" s="141"/>
      <c r="AD49" s="126"/>
      <c r="AE49" s="142" t="s">
        <v>120</v>
      </c>
      <c r="AF49" s="136">
        <v>1</v>
      </c>
      <c r="AG49" s="397">
        <f t="shared" si="50"/>
        <v>179494.44719192994</v>
      </c>
      <c r="AH49" s="336">
        <f t="shared" si="58"/>
        <v>179494.44719192994</v>
      </c>
      <c r="AI49" s="336">
        <f t="shared" si="6"/>
        <v>241007.19424460432</v>
      </c>
      <c r="AJ49" s="336">
        <f t="shared" si="61"/>
        <v>241007.19424460432</v>
      </c>
      <c r="AK49" s="336">
        <v>670000</v>
      </c>
      <c r="AL49" s="141">
        <f t="shared" si="51"/>
        <v>670000</v>
      </c>
      <c r="AM49" s="340"/>
      <c r="AN49" s="140">
        <f t="shared" si="9"/>
        <v>179494.44719192994</v>
      </c>
      <c r="AO49" s="136">
        <v>0</v>
      </c>
      <c r="AP49" s="136">
        <v>0</v>
      </c>
      <c r="AQ49" s="336">
        <f t="shared" si="69"/>
        <v>179494.44719192994</v>
      </c>
      <c r="AR49" s="136">
        <f t="shared" si="64"/>
        <v>1.3427</v>
      </c>
      <c r="AS49" s="141">
        <f t="shared" si="21"/>
        <v>241007.19424460432</v>
      </c>
      <c r="AT49" s="126"/>
      <c r="AU49" s="140">
        <v>0</v>
      </c>
      <c r="AV49" s="136">
        <v>0</v>
      </c>
      <c r="AW49" s="136">
        <v>0</v>
      </c>
      <c r="AX49" s="336">
        <f t="shared" si="70"/>
        <v>0</v>
      </c>
      <c r="AY49" s="136">
        <f t="shared" si="65"/>
        <v>1.3427</v>
      </c>
      <c r="AZ49" s="141">
        <f t="shared" si="62"/>
        <v>0</v>
      </c>
      <c r="BA49" s="340"/>
      <c r="BB49" s="140">
        <f t="shared" si="66"/>
        <v>17949.444719192994</v>
      </c>
      <c r="BC49" s="136">
        <v>0</v>
      </c>
      <c r="BD49" s="136">
        <v>0</v>
      </c>
      <c r="BE49" s="336">
        <f t="shared" si="71"/>
        <v>17949.444719192994</v>
      </c>
      <c r="BF49" s="136">
        <f t="shared" si="67"/>
        <v>1.3427</v>
      </c>
      <c r="BG49" s="141">
        <f t="shared" si="63"/>
        <v>24100.719424460432</v>
      </c>
      <c r="BH49" s="126"/>
      <c r="BI49" s="140"/>
      <c r="BJ49" s="136"/>
      <c r="BK49" s="136"/>
      <c r="BL49" s="141">
        <f t="shared" si="72"/>
        <v>0</v>
      </c>
      <c r="BM49" s="142"/>
      <c r="BN49" s="141"/>
    </row>
    <row r="50" spans="2:66" ht="20.25" customHeight="1">
      <c r="B50" s="335" t="s">
        <v>330</v>
      </c>
      <c r="C50" s="441" t="s">
        <v>79</v>
      </c>
      <c r="D50" s="137"/>
      <c r="E50" s="136"/>
      <c r="F50" s="144"/>
      <c r="G50" s="136"/>
      <c r="H50" s="136"/>
      <c r="I50" s="136"/>
      <c r="J50" s="136"/>
      <c r="K50" s="139">
        <v>41791</v>
      </c>
      <c r="L50" s="139">
        <v>41943</v>
      </c>
      <c r="M50" s="136" t="s">
        <v>39</v>
      </c>
      <c r="N50" s="136"/>
      <c r="O50" s="136" t="s">
        <v>120</v>
      </c>
      <c r="P50" s="136"/>
      <c r="Q50" s="336"/>
      <c r="R50" s="397"/>
      <c r="S50" s="336"/>
      <c r="T50" s="336"/>
      <c r="U50" s="336"/>
      <c r="V50" s="141"/>
      <c r="W50" s="340"/>
      <c r="X50" s="140"/>
      <c r="Y50" s="136"/>
      <c r="Z50" s="136"/>
      <c r="AA50" s="336">
        <f t="shared" si="73"/>
        <v>0</v>
      </c>
      <c r="AB50" s="136"/>
      <c r="AC50" s="141"/>
      <c r="AD50" s="126"/>
      <c r="AE50" s="142" t="s">
        <v>120</v>
      </c>
      <c r="AF50" s="136">
        <v>1</v>
      </c>
      <c r="AG50" s="397">
        <f t="shared" si="50"/>
        <v>179494.44719192994</v>
      </c>
      <c r="AH50" s="336">
        <f t="shared" si="58"/>
        <v>179494.44719192994</v>
      </c>
      <c r="AI50" s="336">
        <f t="shared" si="6"/>
        <v>241007.19424460432</v>
      </c>
      <c r="AJ50" s="336">
        <f t="shared" si="61"/>
        <v>241007.19424460432</v>
      </c>
      <c r="AK50" s="336">
        <v>670000</v>
      </c>
      <c r="AL50" s="141">
        <f t="shared" si="51"/>
        <v>670000</v>
      </c>
      <c r="AM50" s="340"/>
      <c r="AN50" s="140">
        <f t="shared" si="9"/>
        <v>179494.44719192994</v>
      </c>
      <c r="AO50" s="136">
        <v>0</v>
      </c>
      <c r="AP50" s="136">
        <v>0</v>
      </c>
      <c r="AQ50" s="336">
        <f t="shared" si="69"/>
        <v>179494.44719192994</v>
      </c>
      <c r="AR50" s="136">
        <f t="shared" si="64"/>
        <v>1.3427</v>
      </c>
      <c r="AS50" s="141">
        <f t="shared" si="21"/>
        <v>241007.19424460432</v>
      </c>
      <c r="AT50" s="126"/>
      <c r="AU50" s="140">
        <v>0</v>
      </c>
      <c r="AV50" s="136">
        <v>0</v>
      </c>
      <c r="AW50" s="136">
        <v>0</v>
      </c>
      <c r="AX50" s="336">
        <f t="shared" si="70"/>
        <v>0</v>
      </c>
      <c r="AY50" s="136">
        <f t="shared" si="65"/>
        <v>1.3427</v>
      </c>
      <c r="AZ50" s="141">
        <f t="shared" si="62"/>
        <v>0</v>
      </c>
      <c r="BA50" s="340"/>
      <c r="BB50" s="140">
        <f t="shared" si="66"/>
        <v>17949.444719192994</v>
      </c>
      <c r="BC50" s="136">
        <v>0</v>
      </c>
      <c r="BD50" s="136">
        <v>0</v>
      </c>
      <c r="BE50" s="336">
        <f t="shared" si="71"/>
        <v>17949.444719192994</v>
      </c>
      <c r="BF50" s="136">
        <f t="shared" si="67"/>
        <v>1.3427</v>
      </c>
      <c r="BG50" s="141">
        <f t="shared" si="63"/>
        <v>24100.719424460432</v>
      </c>
      <c r="BH50" s="126"/>
      <c r="BI50" s="140"/>
      <c r="BJ50" s="136"/>
      <c r="BK50" s="136"/>
      <c r="BL50" s="141">
        <f t="shared" si="72"/>
        <v>0</v>
      </c>
      <c r="BM50" s="142"/>
      <c r="BN50" s="141"/>
    </row>
    <row r="51" spans="2:66" ht="20.25" customHeight="1">
      <c r="B51" s="335" t="s">
        <v>331</v>
      </c>
      <c r="C51" s="441" t="s">
        <v>80</v>
      </c>
      <c r="D51" s="137"/>
      <c r="E51" s="136"/>
      <c r="F51" s="144"/>
      <c r="G51" s="136"/>
      <c r="H51" s="136"/>
      <c r="I51" s="136"/>
      <c r="J51" s="136"/>
      <c r="K51" s="139">
        <v>41791</v>
      </c>
      <c r="L51" s="139">
        <v>41943</v>
      </c>
      <c r="M51" s="136" t="s">
        <v>39</v>
      </c>
      <c r="N51" s="136"/>
      <c r="O51" s="136" t="s">
        <v>120</v>
      </c>
      <c r="P51" s="136"/>
      <c r="Q51" s="336"/>
      <c r="R51" s="397"/>
      <c r="S51" s="336"/>
      <c r="T51" s="336"/>
      <c r="U51" s="336"/>
      <c r="V51" s="141"/>
      <c r="W51" s="340"/>
      <c r="X51" s="140"/>
      <c r="Y51" s="136"/>
      <c r="Z51" s="136"/>
      <c r="AA51" s="336">
        <f t="shared" si="73"/>
        <v>0</v>
      </c>
      <c r="AB51" s="136"/>
      <c r="AC51" s="141"/>
      <c r="AD51" s="126"/>
      <c r="AE51" s="142" t="s">
        <v>120</v>
      </c>
      <c r="AF51" s="136">
        <v>1</v>
      </c>
      <c r="AG51" s="397">
        <f t="shared" si="50"/>
        <v>179494.44719192994</v>
      </c>
      <c r="AH51" s="336">
        <f t="shared" si="58"/>
        <v>179494.44719192994</v>
      </c>
      <c r="AI51" s="336">
        <f t="shared" si="6"/>
        <v>241007.19424460432</v>
      </c>
      <c r="AJ51" s="336">
        <f t="shared" si="61"/>
        <v>241007.19424460432</v>
      </c>
      <c r="AK51" s="336">
        <v>670000</v>
      </c>
      <c r="AL51" s="141">
        <f t="shared" si="51"/>
        <v>670000</v>
      </c>
      <c r="AM51" s="340"/>
      <c r="AN51" s="140">
        <f t="shared" si="9"/>
        <v>179494.44719192994</v>
      </c>
      <c r="AO51" s="136">
        <v>0</v>
      </c>
      <c r="AP51" s="136">
        <v>0</v>
      </c>
      <c r="AQ51" s="336">
        <f t="shared" si="69"/>
        <v>179494.44719192994</v>
      </c>
      <c r="AR51" s="136">
        <f t="shared" si="64"/>
        <v>1.3427</v>
      </c>
      <c r="AS51" s="141">
        <f t="shared" si="21"/>
        <v>241007.19424460432</v>
      </c>
      <c r="AT51" s="126"/>
      <c r="AU51" s="140">
        <v>0</v>
      </c>
      <c r="AV51" s="136">
        <v>0</v>
      </c>
      <c r="AW51" s="136">
        <v>0</v>
      </c>
      <c r="AX51" s="336">
        <f t="shared" si="70"/>
        <v>0</v>
      </c>
      <c r="AY51" s="136">
        <f t="shared" si="65"/>
        <v>1.3427</v>
      </c>
      <c r="AZ51" s="141">
        <f t="shared" si="62"/>
        <v>0</v>
      </c>
      <c r="BA51" s="340"/>
      <c r="BB51" s="140">
        <f t="shared" si="66"/>
        <v>17949.444719192994</v>
      </c>
      <c r="BC51" s="136">
        <v>0</v>
      </c>
      <c r="BD51" s="136">
        <v>0</v>
      </c>
      <c r="BE51" s="336">
        <f t="shared" si="71"/>
        <v>17949.444719192994</v>
      </c>
      <c r="BF51" s="136">
        <f t="shared" si="67"/>
        <v>1.3427</v>
      </c>
      <c r="BG51" s="141">
        <f t="shared" si="63"/>
        <v>24100.719424460432</v>
      </c>
      <c r="BH51" s="126"/>
      <c r="BI51" s="140"/>
      <c r="BJ51" s="136"/>
      <c r="BK51" s="136"/>
      <c r="BL51" s="141">
        <f t="shared" si="72"/>
        <v>0</v>
      </c>
      <c r="BM51" s="142"/>
      <c r="BN51" s="141"/>
    </row>
    <row r="52" spans="2:66" ht="20.25" customHeight="1">
      <c r="B52" s="335" t="s">
        <v>332</v>
      </c>
      <c r="C52" s="441" t="s">
        <v>81</v>
      </c>
      <c r="D52" s="137"/>
      <c r="E52" s="136"/>
      <c r="F52" s="144"/>
      <c r="G52" s="136"/>
      <c r="H52" s="136"/>
      <c r="I52" s="136"/>
      <c r="J52" s="136"/>
      <c r="K52" s="139">
        <v>41791</v>
      </c>
      <c r="L52" s="139">
        <v>41943</v>
      </c>
      <c r="M52" s="136" t="s">
        <v>39</v>
      </c>
      <c r="N52" s="136"/>
      <c r="O52" s="136" t="s">
        <v>120</v>
      </c>
      <c r="P52" s="136"/>
      <c r="Q52" s="336"/>
      <c r="R52" s="397"/>
      <c r="S52" s="336"/>
      <c r="T52" s="336"/>
      <c r="U52" s="336"/>
      <c r="V52" s="141"/>
      <c r="W52" s="340"/>
      <c r="X52" s="140"/>
      <c r="Y52" s="136"/>
      <c r="Z52" s="136"/>
      <c r="AA52" s="336">
        <f t="shared" si="73"/>
        <v>0</v>
      </c>
      <c r="AB52" s="136"/>
      <c r="AC52" s="141"/>
      <c r="AD52" s="126"/>
      <c r="AE52" s="142" t="s">
        <v>120</v>
      </c>
      <c r="AF52" s="136">
        <v>1</v>
      </c>
      <c r="AG52" s="397">
        <f t="shared" si="50"/>
        <v>179494.44719192994</v>
      </c>
      <c r="AH52" s="336">
        <f t="shared" si="58"/>
        <v>179494.44719192994</v>
      </c>
      <c r="AI52" s="336">
        <f t="shared" si="6"/>
        <v>241007.19424460432</v>
      </c>
      <c r="AJ52" s="336">
        <f t="shared" si="61"/>
        <v>241007.19424460432</v>
      </c>
      <c r="AK52" s="336">
        <v>670000</v>
      </c>
      <c r="AL52" s="141">
        <f t="shared" si="51"/>
        <v>670000</v>
      </c>
      <c r="AM52" s="340"/>
      <c r="AN52" s="140">
        <f t="shared" si="9"/>
        <v>179494.44719192994</v>
      </c>
      <c r="AO52" s="136">
        <v>0</v>
      </c>
      <c r="AP52" s="136">
        <v>0</v>
      </c>
      <c r="AQ52" s="336">
        <f t="shared" si="69"/>
        <v>179494.44719192994</v>
      </c>
      <c r="AR52" s="136">
        <f t="shared" si="64"/>
        <v>1.3427</v>
      </c>
      <c r="AS52" s="141">
        <f t="shared" si="21"/>
        <v>241007.19424460432</v>
      </c>
      <c r="AT52" s="126"/>
      <c r="AU52" s="140">
        <v>0</v>
      </c>
      <c r="AV52" s="136">
        <v>0</v>
      </c>
      <c r="AW52" s="136">
        <v>0</v>
      </c>
      <c r="AX52" s="336">
        <f t="shared" si="70"/>
        <v>0</v>
      </c>
      <c r="AY52" s="136">
        <f t="shared" si="65"/>
        <v>1.3427</v>
      </c>
      <c r="AZ52" s="141">
        <f t="shared" si="62"/>
        <v>0</v>
      </c>
      <c r="BA52" s="340"/>
      <c r="BB52" s="140">
        <f t="shared" si="66"/>
        <v>17949.444719192994</v>
      </c>
      <c r="BC52" s="136">
        <v>0</v>
      </c>
      <c r="BD52" s="136">
        <v>0</v>
      </c>
      <c r="BE52" s="336">
        <f t="shared" si="71"/>
        <v>17949.444719192994</v>
      </c>
      <c r="BF52" s="136">
        <f t="shared" si="67"/>
        <v>1.3427</v>
      </c>
      <c r="BG52" s="141">
        <f t="shared" si="63"/>
        <v>24100.719424460432</v>
      </c>
      <c r="BH52" s="126"/>
      <c r="BI52" s="140"/>
      <c r="BJ52" s="136"/>
      <c r="BK52" s="136"/>
      <c r="BL52" s="141">
        <f t="shared" si="72"/>
        <v>0</v>
      </c>
      <c r="BM52" s="142"/>
      <c r="BN52" s="141"/>
    </row>
    <row r="53" spans="2:66" ht="20.25" customHeight="1">
      <c r="B53" s="335" t="s">
        <v>333</v>
      </c>
      <c r="C53" s="441" t="s">
        <v>82</v>
      </c>
      <c r="D53" s="137"/>
      <c r="E53" s="136"/>
      <c r="F53" s="144"/>
      <c r="G53" s="136"/>
      <c r="H53" s="136"/>
      <c r="I53" s="136"/>
      <c r="J53" s="136"/>
      <c r="K53" s="139">
        <v>41791</v>
      </c>
      <c r="L53" s="139">
        <v>41943</v>
      </c>
      <c r="M53" s="136" t="s">
        <v>39</v>
      </c>
      <c r="N53" s="136"/>
      <c r="O53" s="136" t="s">
        <v>120</v>
      </c>
      <c r="P53" s="136"/>
      <c r="Q53" s="336"/>
      <c r="R53" s="397"/>
      <c r="S53" s="336"/>
      <c r="T53" s="336"/>
      <c r="U53" s="336"/>
      <c r="V53" s="141"/>
      <c r="W53" s="340"/>
      <c r="X53" s="140"/>
      <c r="Y53" s="136"/>
      <c r="Z53" s="136"/>
      <c r="AA53" s="336">
        <f t="shared" si="73"/>
        <v>0</v>
      </c>
      <c r="AB53" s="136"/>
      <c r="AC53" s="141"/>
      <c r="AD53" s="126"/>
      <c r="AE53" s="142" t="s">
        <v>120</v>
      </c>
      <c r="AF53" s="136">
        <v>1</v>
      </c>
      <c r="AG53" s="397">
        <f t="shared" si="50"/>
        <v>179494.44719192994</v>
      </c>
      <c r="AH53" s="336">
        <f t="shared" si="58"/>
        <v>179494.44719192994</v>
      </c>
      <c r="AI53" s="336">
        <f t="shared" si="6"/>
        <v>241007.19424460432</v>
      </c>
      <c r="AJ53" s="336">
        <f t="shared" si="61"/>
        <v>241007.19424460432</v>
      </c>
      <c r="AK53" s="336">
        <v>670000</v>
      </c>
      <c r="AL53" s="141">
        <f t="shared" si="51"/>
        <v>670000</v>
      </c>
      <c r="AM53" s="340"/>
      <c r="AN53" s="140">
        <f t="shared" si="9"/>
        <v>179494.44719192994</v>
      </c>
      <c r="AO53" s="136">
        <v>0</v>
      </c>
      <c r="AP53" s="136">
        <v>0</v>
      </c>
      <c r="AQ53" s="336">
        <f t="shared" si="69"/>
        <v>179494.44719192994</v>
      </c>
      <c r="AR53" s="136">
        <f t="shared" si="64"/>
        <v>1.3427</v>
      </c>
      <c r="AS53" s="141">
        <f t="shared" si="21"/>
        <v>241007.19424460432</v>
      </c>
      <c r="AT53" s="126"/>
      <c r="AU53" s="140">
        <v>0</v>
      </c>
      <c r="AV53" s="136">
        <v>0</v>
      </c>
      <c r="AW53" s="136">
        <v>0</v>
      </c>
      <c r="AX53" s="336">
        <f t="shared" si="70"/>
        <v>0</v>
      </c>
      <c r="AY53" s="136">
        <f t="shared" si="65"/>
        <v>1.3427</v>
      </c>
      <c r="AZ53" s="141">
        <f t="shared" si="62"/>
        <v>0</v>
      </c>
      <c r="BA53" s="340"/>
      <c r="BB53" s="140">
        <f t="shared" si="66"/>
        <v>17949.444719192994</v>
      </c>
      <c r="BC53" s="136">
        <v>0</v>
      </c>
      <c r="BD53" s="136">
        <v>0</v>
      </c>
      <c r="BE53" s="336">
        <f t="shared" si="71"/>
        <v>17949.444719192994</v>
      </c>
      <c r="BF53" s="136">
        <f t="shared" si="67"/>
        <v>1.3427</v>
      </c>
      <c r="BG53" s="141">
        <f t="shared" si="63"/>
        <v>24100.719424460432</v>
      </c>
      <c r="BH53" s="126"/>
      <c r="BI53" s="140"/>
      <c r="BJ53" s="136"/>
      <c r="BK53" s="136"/>
      <c r="BL53" s="141">
        <f t="shared" si="72"/>
        <v>0</v>
      </c>
      <c r="BM53" s="142"/>
      <c r="BN53" s="141"/>
    </row>
    <row r="54" spans="2:66" ht="20.25" customHeight="1">
      <c r="B54" s="335" t="s">
        <v>334</v>
      </c>
      <c r="C54" s="441" t="s">
        <v>83</v>
      </c>
      <c r="D54" s="137"/>
      <c r="E54" s="136"/>
      <c r="F54" s="144"/>
      <c r="G54" s="136"/>
      <c r="H54" s="136"/>
      <c r="I54" s="136"/>
      <c r="J54" s="136"/>
      <c r="K54" s="139">
        <v>41791</v>
      </c>
      <c r="L54" s="139">
        <v>41943</v>
      </c>
      <c r="M54" s="136" t="s">
        <v>39</v>
      </c>
      <c r="N54" s="136"/>
      <c r="O54" s="136" t="s">
        <v>120</v>
      </c>
      <c r="P54" s="136"/>
      <c r="Q54" s="336"/>
      <c r="R54" s="397"/>
      <c r="S54" s="336"/>
      <c r="T54" s="336"/>
      <c r="U54" s="336"/>
      <c r="V54" s="141"/>
      <c r="W54" s="340"/>
      <c r="X54" s="140"/>
      <c r="Y54" s="136"/>
      <c r="Z54" s="136"/>
      <c r="AA54" s="336">
        <f t="shared" si="73"/>
        <v>0</v>
      </c>
      <c r="AB54" s="136"/>
      <c r="AC54" s="141"/>
      <c r="AD54" s="126"/>
      <c r="AE54" s="142" t="s">
        <v>120</v>
      </c>
      <c r="AF54" s="136">
        <v>1</v>
      </c>
      <c r="AG54" s="397">
        <f t="shared" si="50"/>
        <v>179494.44719192994</v>
      </c>
      <c r="AH54" s="336">
        <f t="shared" si="58"/>
        <v>179494.44719192994</v>
      </c>
      <c r="AI54" s="336">
        <f t="shared" si="6"/>
        <v>241007.19424460432</v>
      </c>
      <c r="AJ54" s="336">
        <f t="shared" si="61"/>
        <v>241007.19424460432</v>
      </c>
      <c r="AK54" s="336">
        <v>670000</v>
      </c>
      <c r="AL54" s="141">
        <f t="shared" si="51"/>
        <v>670000</v>
      </c>
      <c r="AM54" s="340"/>
      <c r="AN54" s="140">
        <f t="shared" si="9"/>
        <v>179494.44719192994</v>
      </c>
      <c r="AO54" s="136">
        <v>0</v>
      </c>
      <c r="AP54" s="136">
        <v>0</v>
      </c>
      <c r="AQ54" s="336">
        <f t="shared" si="69"/>
        <v>179494.44719192994</v>
      </c>
      <c r="AR54" s="136">
        <f t="shared" si="64"/>
        <v>1.3427</v>
      </c>
      <c r="AS54" s="141">
        <f t="shared" si="21"/>
        <v>241007.19424460432</v>
      </c>
      <c r="AT54" s="126"/>
      <c r="AU54" s="140">
        <v>0</v>
      </c>
      <c r="AV54" s="136">
        <v>0</v>
      </c>
      <c r="AW54" s="136">
        <v>0</v>
      </c>
      <c r="AX54" s="336">
        <f t="shared" si="70"/>
        <v>0</v>
      </c>
      <c r="AY54" s="136">
        <f t="shared" si="65"/>
        <v>1.3427</v>
      </c>
      <c r="AZ54" s="141">
        <f t="shared" si="62"/>
        <v>0</v>
      </c>
      <c r="BA54" s="340"/>
      <c r="BB54" s="140">
        <f t="shared" si="66"/>
        <v>17949.444719192994</v>
      </c>
      <c r="BC54" s="136">
        <v>0</v>
      </c>
      <c r="BD54" s="136">
        <v>0</v>
      </c>
      <c r="BE54" s="336">
        <f t="shared" si="71"/>
        <v>17949.444719192994</v>
      </c>
      <c r="BF54" s="136">
        <f t="shared" si="67"/>
        <v>1.3427</v>
      </c>
      <c r="BG54" s="141">
        <f t="shared" si="63"/>
        <v>24100.719424460432</v>
      </c>
      <c r="BH54" s="126"/>
      <c r="BI54" s="140"/>
      <c r="BJ54" s="136"/>
      <c r="BK54" s="136"/>
      <c r="BL54" s="141">
        <f t="shared" si="72"/>
        <v>0</v>
      </c>
      <c r="BM54" s="142"/>
      <c r="BN54" s="141"/>
    </row>
    <row r="55" spans="2:66" ht="20.25" customHeight="1">
      <c r="B55" s="335" t="s">
        <v>335</v>
      </c>
      <c r="C55" s="441" t="s">
        <v>84</v>
      </c>
      <c r="D55" s="137"/>
      <c r="E55" s="136"/>
      <c r="F55" s="144"/>
      <c r="G55" s="136"/>
      <c r="H55" s="136"/>
      <c r="I55" s="136"/>
      <c r="J55" s="136"/>
      <c r="K55" s="139">
        <v>41791</v>
      </c>
      <c r="L55" s="139">
        <v>41943</v>
      </c>
      <c r="M55" s="136" t="s">
        <v>39</v>
      </c>
      <c r="N55" s="136"/>
      <c r="O55" s="136" t="s">
        <v>120</v>
      </c>
      <c r="P55" s="136"/>
      <c r="Q55" s="336"/>
      <c r="R55" s="397"/>
      <c r="S55" s="336"/>
      <c r="T55" s="336"/>
      <c r="U55" s="336"/>
      <c r="V55" s="141"/>
      <c r="W55" s="340"/>
      <c r="X55" s="140"/>
      <c r="Y55" s="136"/>
      <c r="Z55" s="136"/>
      <c r="AA55" s="336">
        <f t="shared" si="73"/>
        <v>0</v>
      </c>
      <c r="AB55" s="136"/>
      <c r="AC55" s="141"/>
      <c r="AD55" s="126"/>
      <c r="AE55" s="142" t="s">
        <v>120</v>
      </c>
      <c r="AF55" s="136">
        <v>1</v>
      </c>
      <c r="AG55" s="397">
        <f t="shared" si="50"/>
        <v>179494.44719192994</v>
      </c>
      <c r="AH55" s="336">
        <f t="shared" si="58"/>
        <v>179494.44719192994</v>
      </c>
      <c r="AI55" s="336">
        <f t="shared" si="6"/>
        <v>241007.19424460432</v>
      </c>
      <c r="AJ55" s="336">
        <f>+AF55*AI55</f>
        <v>241007.19424460432</v>
      </c>
      <c r="AK55" s="336">
        <v>670000</v>
      </c>
      <c r="AL55" s="141">
        <f t="shared" si="51"/>
        <v>670000</v>
      </c>
      <c r="AM55" s="340"/>
      <c r="AN55" s="140">
        <f t="shared" si="9"/>
        <v>179494.44719192994</v>
      </c>
      <c r="AO55" s="136">
        <v>0</v>
      </c>
      <c r="AP55" s="136">
        <v>0</v>
      </c>
      <c r="AQ55" s="336">
        <f t="shared" si="69"/>
        <v>179494.44719192994</v>
      </c>
      <c r="AR55" s="136">
        <f t="shared" si="64"/>
        <v>1.3427</v>
      </c>
      <c r="AS55" s="141">
        <f t="shared" si="21"/>
        <v>241007.19424460432</v>
      </c>
      <c r="AT55" s="126"/>
      <c r="AU55" s="140">
        <v>0</v>
      </c>
      <c r="AV55" s="136">
        <v>0</v>
      </c>
      <c r="AW55" s="136">
        <v>0</v>
      </c>
      <c r="AX55" s="336">
        <f t="shared" si="70"/>
        <v>0</v>
      </c>
      <c r="AY55" s="136">
        <f t="shared" si="65"/>
        <v>1.3427</v>
      </c>
      <c r="AZ55" s="141">
        <f t="shared" si="62"/>
        <v>0</v>
      </c>
      <c r="BA55" s="340"/>
      <c r="BB55" s="140">
        <f t="shared" si="66"/>
        <v>17949.444719192994</v>
      </c>
      <c r="BC55" s="136">
        <v>0</v>
      </c>
      <c r="BD55" s="136">
        <v>0</v>
      </c>
      <c r="BE55" s="336">
        <f t="shared" si="71"/>
        <v>17949.444719192994</v>
      </c>
      <c r="BF55" s="136">
        <f t="shared" si="67"/>
        <v>1.3427</v>
      </c>
      <c r="BG55" s="141">
        <f t="shared" si="63"/>
        <v>24100.719424460432</v>
      </c>
      <c r="BH55" s="126"/>
      <c r="BI55" s="140"/>
      <c r="BJ55" s="136"/>
      <c r="BK55" s="136"/>
      <c r="BL55" s="141">
        <f t="shared" si="72"/>
        <v>0</v>
      </c>
      <c r="BM55" s="142"/>
      <c r="BN55" s="141"/>
    </row>
    <row r="56" spans="2:66" ht="38.25" customHeight="1">
      <c r="B56" s="452">
        <v>3</v>
      </c>
      <c r="C56" s="450" t="s">
        <v>262</v>
      </c>
      <c r="D56" s="429">
        <v>225000</v>
      </c>
      <c r="E56" s="371"/>
      <c r="F56" s="410"/>
      <c r="G56" s="371"/>
      <c r="H56" s="371"/>
      <c r="I56" s="371"/>
      <c r="J56" s="371"/>
      <c r="K56" s="371"/>
      <c r="L56" s="371"/>
      <c r="M56" s="410"/>
      <c r="N56" s="371"/>
      <c r="O56" s="371"/>
      <c r="P56" s="371"/>
      <c r="Q56" s="382"/>
      <c r="R56" s="399">
        <v>225000</v>
      </c>
      <c r="S56" s="382"/>
      <c r="T56" s="382">
        <f>225000*C4</f>
        <v>302107.5</v>
      </c>
      <c r="U56" s="382"/>
      <c r="V56" s="368"/>
      <c r="W56" s="370"/>
      <c r="X56" s="366">
        <v>225000</v>
      </c>
      <c r="Y56" s="371">
        <v>0</v>
      </c>
      <c r="Z56" s="371">
        <v>0</v>
      </c>
      <c r="AA56" s="382">
        <f>SUM(X56:Z56)</f>
        <v>225000</v>
      </c>
      <c r="AB56" s="371">
        <f>+$C$4</f>
        <v>1.3427</v>
      </c>
      <c r="AC56" s="368">
        <f>+X56*AB56</f>
        <v>302107.5</v>
      </c>
      <c r="AD56" s="126"/>
      <c r="AE56" s="369"/>
      <c r="AF56" s="371"/>
      <c r="AG56" s="399"/>
      <c r="AH56" s="382">
        <f>+AH57+AH59+AH61</f>
        <v>15859.807871286945</v>
      </c>
      <c r="AI56" s="382"/>
      <c r="AJ56" s="382">
        <f>+AJ57+AJ59+AJ61</f>
        <v>21294.96402877698</v>
      </c>
      <c r="AK56" s="382"/>
      <c r="AL56" s="368">
        <f>+AL57+AL59+AL61</f>
        <v>59200</v>
      </c>
      <c r="AM56" s="340"/>
      <c r="AN56" s="366">
        <f>+AN57+AN59+AN61</f>
        <v>15859.807871286945</v>
      </c>
      <c r="AO56" s="371">
        <f>+AO57+AO59+AO61</f>
        <v>0</v>
      </c>
      <c r="AP56" s="371">
        <f>+AP57+AP59+AP61</f>
        <v>0</v>
      </c>
      <c r="AQ56" s="382">
        <f>+AQ57+AQ59+AQ61</f>
        <v>15859.807871286945</v>
      </c>
      <c r="AR56" s="371"/>
      <c r="AS56" s="368">
        <f>+AS57+AS59+AS61</f>
        <v>21294.96402877698</v>
      </c>
      <c r="AT56" s="126"/>
      <c r="AU56" s="366">
        <f>+AU57+AU59+AU61</f>
        <v>0</v>
      </c>
      <c r="AV56" s="371">
        <f>+AV57+AV59+AV61</f>
        <v>0</v>
      </c>
      <c r="AW56" s="371">
        <f>+AW57+AW59+AW61</f>
        <v>0</v>
      </c>
      <c r="AX56" s="382">
        <f>+AX57+AX59+AX61</f>
        <v>0</v>
      </c>
      <c r="AY56" s="371">
        <f>+$C$4</f>
        <v>1.3427</v>
      </c>
      <c r="AZ56" s="368">
        <f>+AZ57+AZ59+AZ61</f>
        <v>0</v>
      </c>
      <c r="BA56" s="340"/>
      <c r="BB56" s="366">
        <f>+BB57+BB59+BB61</f>
        <v>0</v>
      </c>
      <c r="BC56" s="371">
        <f>+BC57+BC59+BC61</f>
        <v>0</v>
      </c>
      <c r="BD56" s="371">
        <f>+BD57+BD59+BD61</f>
        <v>0</v>
      </c>
      <c r="BE56" s="382">
        <f>+BE57+BE59+BE61</f>
        <v>0</v>
      </c>
      <c r="BF56" s="371">
        <f>+$C$4</f>
        <v>1.3427</v>
      </c>
      <c r="BG56" s="368">
        <f>+BG57+BG59+BG61</f>
        <v>0</v>
      </c>
      <c r="BH56" s="126"/>
      <c r="BI56" s="366">
        <v>0</v>
      </c>
      <c r="BJ56" s="367">
        <v>0</v>
      </c>
      <c r="BK56" s="367">
        <v>0</v>
      </c>
      <c r="BL56" s="368">
        <f>SUM(BI56:BK56)</f>
        <v>0</v>
      </c>
      <c r="BM56" s="369">
        <f>+$C$4</f>
        <v>1.3427</v>
      </c>
      <c r="BN56" s="368">
        <f>+BI56/BM56</f>
        <v>0</v>
      </c>
    </row>
    <row r="57" spans="2:66" ht="30" customHeight="1">
      <c r="B57" s="424" t="s">
        <v>130</v>
      </c>
      <c r="C57" s="442" t="s">
        <v>157</v>
      </c>
      <c r="D57" s="427"/>
      <c r="E57" s="379"/>
      <c r="F57" s="406"/>
      <c r="G57" s="379"/>
      <c r="H57" s="379"/>
      <c r="I57" s="379"/>
      <c r="J57" s="379"/>
      <c r="K57" s="379"/>
      <c r="L57" s="379"/>
      <c r="M57" s="406"/>
      <c r="N57" s="379"/>
      <c r="O57" s="379"/>
      <c r="P57" s="379"/>
      <c r="Q57" s="378"/>
      <c r="R57" s="396"/>
      <c r="S57" s="378"/>
      <c r="T57" s="378"/>
      <c r="U57" s="378"/>
      <c r="V57" s="376"/>
      <c r="W57" s="373"/>
      <c r="X57" s="374"/>
      <c r="Y57" s="379"/>
      <c r="Z57" s="379"/>
      <c r="AA57" s="378"/>
      <c r="AB57" s="379"/>
      <c r="AC57" s="376"/>
      <c r="AD57" s="126"/>
      <c r="AE57" s="377"/>
      <c r="AF57" s="379"/>
      <c r="AG57" s="396"/>
      <c r="AH57" s="378">
        <f>+AH58</f>
        <v>6697.5539996988782</v>
      </c>
      <c r="AI57" s="378"/>
      <c r="AJ57" s="378">
        <f>+AJ58</f>
        <v>8992.8057553956842</v>
      </c>
      <c r="AK57" s="378"/>
      <c r="AL57" s="376">
        <f>+AL58</f>
        <v>25000</v>
      </c>
      <c r="AM57" s="340"/>
      <c r="AN57" s="374">
        <f>+AN58</f>
        <v>6697.5539996988782</v>
      </c>
      <c r="AO57" s="379">
        <f>+AO58</f>
        <v>0</v>
      </c>
      <c r="AP57" s="379">
        <f>+AP58</f>
        <v>0</v>
      </c>
      <c r="AQ57" s="378">
        <f>+AQ58</f>
        <v>6697.5539996988782</v>
      </c>
      <c r="AR57" s="379"/>
      <c r="AS57" s="376">
        <f>+AS58</f>
        <v>8992.8057553956842</v>
      </c>
      <c r="AT57" s="126"/>
      <c r="AU57" s="374">
        <f>+AU58</f>
        <v>0</v>
      </c>
      <c r="AV57" s="379">
        <f>+AV58</f>
        <v>0</v>
      </c>
      <c r="AW57" s="379">
        <f>+AW58</f>
        <v>0</v>
      </c>
      <c r="AX57" s="378">
        <f t="shared" si="70"/>
        <v>0</v>
      </c>
      <c r="AY57" s="379"/>
      <c r="AZ57" s="376">
        <f>+AZ58</f>
        <v>0</v>
      </c>
      <c r="BA57" s="340"/>
      <c r="BB57" s="374">
        <f>+BB58</f>
        <v>0</v>
      </c>
      <c r="BC57" s="379">
        <f>+BC58</f>
        <v>0</v>
      </c>
      <c r="BD57" s="379">
        <f>+BD58</f>
        <v>0</v>
      </c>
      <c r="BE57" s="378">
        <f t="shared" ref="BE57:BE61" si="74">SUM(BB57:BD57)</f>
        <v>0</v>
      </c>
      <c r="BF57" s="379"/>
      <c r="BG57" s="376">
        <f>+BG58</f>
        <v>0</v>
      </c>
      <c r="BH57" s="126"/>
      <c r="BI57" s="374"/>
      <c r="BJ57" s="379"/>
      <c r="BK57" s="379"/>
      <c r="BL57" s="376"/>
      <c r="BM57" s="377"/>
      <c r="BN57" s="376"/>
    </row>
    <row r="58" spans="2:66" ht="20.25" customHeight="1">
      <c r="B58" s="335" t="s">
        <v>386</v>
      </c>
      <c r="C58" s="441" t="s">
        <v>416</v>
      </c>
      <c r="D58" s="137"/>
      <c r="E58" s="136" t="s">
        <v>126</v>
      </c>
      <c r="F58" s="136" t="s">
        <v>124</v>
      </c>
      <c r="G58" s="138">
        <v>1</v>
      </c>
      <c r="H58" s="136">
        <v>0</v>
      </c>
      <c r="I58" s="136">
        <v>0</v>
      </c>
      <c r="J58" s="136">
        <v>0</v>
      </c>
      <c r="K58" s="139">
        <v>42005</v>
      </c>
      <c r="L58" s="139">
        <v>42094</v>
      </c>
      <c r="M58" s="136" t="s">
        <v>39</v>
      </c>
      <c r="N58" s="136"/>
      <c r="O58" s="136" t="s">
        <v>120</v>
      </c>
      <c r="P58" s="136"/>
      <c r="Q58" s="336"/>
      <c r="R58" s="397"/>
      <c r="S58" s="336"/>
      <c r="T58" s="336"/>
      <c r="U58" s="336"/>
      <c r="V58" s="141"/>
      <c r="W58" s="340"/>
      <c r="X58" s="140"/>
      <c r="Y58" s="136"/>
      <c r="Z58" s="136"/>
      <c r="AA58" s="336"/>
      <c r="AB58" s="136"/>
      <c r="AC58" s="141"/>
      <c r="AD58" s="126"/>
      <c r="AE58" s="142" t="s">
        <v>120</v>
      </c>
      <c r="AF58" s="136">
        <v>1</v>
      </c>
      <c r="AG58" s="397">
        <f t="shared" ref="AG58" si="75">+AI58/$C$4</f>
        <v>6697.5539996988782</v>
      </c>
      <c r="AH58" s="336">
        <f t="shared" ref="AH58" si="76">AF58*AG58</f>
        <v>6697.5539996988782</v>
      </c>
      <c r="AI58" s="336">
        <f t="shared" ref="AI58" si="77">+AK58/$C$2</f>
        <v>8992.8057553956842</v>
      </c>
      <c r="AJ58" s="336">
        <f>+AF58*AI58</f>
        <v>8992.8057553956842</v>
      </c>
      <c r="AK58" s="336">
        <v>25000</v>
      </c>
      <c r="AL58" s="141">
        <f t="shared" ref="AL58" si="78">+AF58*AK58</f>
        <v>25000</v>
      </c>
      <c r="AM58" s="340"/>
      <c r="AN58" s="140">
        <f t="shared" ref="AN58" si="79">+AH58</f>
        <v>6697.5539996988782</v>
      </c>
      <c r="AO58" s="136">
        <v>0</v>
      </c>
      <c r="AP58" s="136">
        <v>0</v>
      </c>
      <c r="AQ58" s="336">
        <f t="shared" ref="AQ58:AQ71" si="80">SUM(AN58:AP58)</f>
        <v>6697.5539996988782</v>
      </c>
      <c r="AR58" s="136">
        <f t="shared" ref="AR58:AR62" si="81">+$C$4</f>
        <v>1.3427</v>
      </c>
      <c r="AS58" s="141">
        <f t="shared" ref="AS58" si="82">+AN58*$C$4</f>
        <v>8992.8057553956842</v>
      </c>
      <c r="AT58" s="126"/>
      <c r="AU58" s="140">
        <v>0</v>
      </c>
      <c r="AV58" s="136">
        <v>0</v>
      </c>
      <c r="AW58" s="136">
        <v>0</v>
      </c>
      <c r="AX58" s="336">
        <f t="shared" si="70"/>
        <v>0</v>
      </c>
      <c r="AY58" s="136">
        <f t="shared" ref="AY58" si="83">+$C$4</f>
        <v>1.3427</v>
      </c>
      <c r="AZ58" s="141">
        <f t="shared" ref="AZ58" si="84">+AU58*$C$4</f>
        <v>0</v>
      </c>
      <c r="BA58" s="340"/>
      <c r="BB58" s="140">
        <v>0</v>
      </c>
      <c r="BC58" s="136">
        <v>0</v>
      </c>
      <c r="BD58" s="136">
        <v>0</v>
      </c>
      <c r="BE58" s="336">
        <f t="shared" si="74"/>
        <v>0</v>
      </c>
      <c r="BF58" s="136">
        <f t="shared" ref="BF58" si="85">+$C$4</f>
        <v>1.3427</v>
      </c>
      <c r="BG58" s="141">
        <f t="shared" ref="BG58" si="86">+BB58*$C$4</f>
        <v>0</v>
      </c>
      <c r="BH58" s="126"/>
      <c r="BI58" s="140"/>
      <c r="BJ58" s="136"/>
      <c r="BK58" s="136"/>
      <c r="BL58" s="141"/>
      <c r="BM58" s="142"/>
      <c r="BN58" s="141"/>
    </row>
    <row r="59" spans="2:66" ht="30.75" customHeight="1">
      <c r="B59" s="424" t="s">
        <v>152</v>
      </c>
      <c r="C59" s="442" t="s">
        <v>159</v>
      </c>
      <c r="D59" s="427"/>
      <c r="E59" s="379"/>
      <c r="F59" s="406"/>
      <c r="G59" s="379"/>
      <c r="H59" s="379"/>
      <c r="I59" s="379"/>
      <c r="J59" s="379"/>
      <c r="K59" s="379"/>
      <c r="L59" s="379"/>
      <c r="M59" s="406"/>
      <c r="N59" s="379"/>
      <c r="O59" s="379"/>
      <c r="P59" s="379"/>
      <c r="Q59" s="378"/>
      <c r="R59" s="396"/>
      <c r="S59" s="378"/>
      <c r="T59" s="378"/>
      <c r="U59" s="378"/>
      <c r="V59" s="376"/>
      <c r="W59" s="373"/>
      <c r="X59" s="374"/>
      <c r="Y59" s="379"/>
      <c r="Z59" s="379"/>
      <c r="AA59" s="378"/>
      <c r="AB59" s="379"/>
      <c r="AC59" s="376"/>
      <c r="AD59" s="126"/>
      <c r="AE59" s="377"/>
      <c r="AF59" s="379"/>
      <c r="AG59" s="396"/>
      <c r="AH59" s="378">
        <f>+AH60</f>
        <v>5358.0431997591031</v>
      </c>
      <c r="AI59" s="378"/>
      <c r="AJ59" s="378">
        <f>+AJ60</f>
        <v>7194.2446043165473</v>
      </c>
      <c r="AK59" s="378"/>
      <c r="AL59" s="376">
        <f>+AL60</f>
        <v>20000</v>
      </c>
      <c r="AM59" s="340"/>
      <c r="AN59" s="374">
        <f>+AN60</f>
        <v>5358.0431997591031</v>
      </c>
      <c r="AO59" s="379">
        <f>+AO60</f>
        <v>0</v>
      </c>
      <c r="AP59" s="379">
        <f>+AP60</f>
        <v>0</v>
      </c>
      <c r="AQ59" s="378">
        <f>+AQ60</f>
        <v>5358.0431997591031</v>
      </c>
      <c r="AR59" s="379"/>
      <c r="AS59" s="376">
        <f>+AS60</f>
        <v>7194.2446043165473</v>
      </c>
      <c r="AT59" s="126"/>
      <c r="AU59" s="374">
        <f>+AU60</f>
        <v>0</v>
      </c>
      <c r="AV59" s="379">
        <f>+AV60</f>
        <v>0</v>
      </c>
      <c r="AW59" s="379">
        <f>+AW60</f>
        <v>0</v>
      </c>
      <c r="AX59" s="378">
        <f t="shared" si="70"/>
        <v>0</v>
      </c>
      <c r="AY59" s="379"/>
      <c r="AZ59" s="376">
        <f>+AZ60</f>
        <v>0</v>
      </c>
      <c r="BA59" s="340"/>
      <c r="BB59" s="374">
        <f>+BB60</f>
        <v>0</v>
      </c>
      <c r="BC59" s="379">
        <f>+BC60</f>
        <v>0</v>
      </c>
      <c r="BD59" s="379">
        <f>+BD60</f>
        <v>0</v>
      </c>
      <c r="BE59" s="378">
        <f t="shared" si="74"/>
        <v>0</v>
      </c>
      <c r="BF59" s="379"/>
      <c r="BG59" s="376">
        <f>+BG60</f>
        <v>0</v>
      </c>
      <c r="BH59" s="126"/>
      <c r="BI59" s="374"/>
      <c r="BJ59" s="379"/>
      <c r="BK59" s="379"/>
      <c r="BL59" s="376"/>
      <c r="BM59" s="377"/>
      <c r="BN59" s="376"/>
    </row>
    <row r="60" spans="2:66" ht="20.25" customHeight="1">
      <c r="B60" s="335" t="s">
        <v>387</v>
      </c>
      <c r="C60" s="441" t="s">
        <v>417</v>
      </c>
      <c r="D60" s="137"/>
      <c r="E60" s="136" t="s">
        <v>126</v>
      </c>
      <c r="F60" s="136" t="s">
        <v>124</v>
      </c>
      <c r="G60" s="138">
        <v>1</v>
      </c>
      <c r="H60" s="136">
        <v>0</v>
      </c>
      <c r="I60" s="136">
        <v>0</v>
      </c>
      <c r="J60" s="136">
        <v>0</v>
      </c>
      <c r="K60" s="139">
        <v>42095</v>
      </c>
      <c r="L60" s="139">
        <v>42156</v>
      </c>
      <c r="M60" s="136" t="s">
        <v>39</v>
      </c>
      <c r="N60" s="136"/>
      <c r="O60" s="136" t="s">
        <v>120</v>
      </c>
      <c r="P60" s="136"/>
      <c r="Q60" s="336"/>
      <c r="R60" s="397"/>
      <c r="S60" s="336"/>
      <c r="T60" s="336"/>
      <c r="U60" s="336"/>
      <c r="V60" s="141"/>
      <c r="W60" s="340"/>
      <c r="X60" s="140"/>
      <c r="Y60" s="136"/>
      <c r="Z60" s="136"/>
      <c r="AA60" s="336"/>
      <c r="AB60" s="136"/>
      <c r="AC60" s="141"/>
      <c r="AD60" s="126"/>
      <c r="AE60" s="142" t="s">
        <v>120</v>
      </c>
      <c r="AF60" s="136">
        <v>1</v>
      </c>
      <c r="AG60" s="397">
        <f t="shared" ref="AG60" si="87">+AI60/$C$4</f>
        <v>5358.0431997591031</v>
      </c>
      <c r="AH60" s="336">
        <f t="shared" ref="AH60" si="88">AF60*AG60</f>
        <v>5358.0431997591031</v>
      </c>
      <c r="AI60" s="336">
        <f t="shared" ref="AI60" si="89">+AK60/$C$2</f>
        <v>7194.2446043165473</v>
      </c>
      <c r="AJ60" s="336">
        <f>+AF60*AI60</f>
        <v>7194.2446043165473</v>
      </c>
      <c r="AK60" s="336">
        <v>20000</v>
      </c>
      <c r="AL60" s="141">
        <f t="shared" ref="AL60" si="90">+AF60*AK60</f>
        <v>20000</v>
      </c>
      <c r="AM60" s="340"/>
      <c r="AN60" s="140">
        <f t="shared" ref="AN60" si="91">+AH60</f>
        <v>5358.0431997591031</v>
      </c>
      <c r="AO60" s="136">
        <v>0</v>
      </c>
      <c r="AP60" s="136">
        <v>0</v>
      </c>
      <c r="AQ60" s="336">
        <f t="shared" si="80"/>
        <v>5358.0431997591031</v>
      </c>
      <c r="AR60" s="136">
        <f t="shared" si="81"/>
        <v>1.3427</v>
      </c>
      <c r="AS60" s="141">
        <f t="shared" ref="AS60" si="92">+AN60*$C$4</f>
        <v>7194.2446043165473</v>
      </c>
      <c r="AT60" s="126"/>
      <c r="AU60" s="140"/>
      <c r="AV60" s="136"/>
      <c r="AW60" s="136"/>
      <c r="AX60" s="336">
        <f t="shared" si="70"/>
        <v>0</v>
      </c>
      <c r="AY60" s="136">
        <f t="shared" ref="AY60" si="93">+$C$4</f>
        <v>1.3427</v>
      </c>
      <c r="AZ60" s="141">
        <f t="shared" ref="AZ60" si="94">+AU60*$C$4</f>
        <v>0</v>
      </c>
      <c r="BA60" s="340"/>
      <c r="BB60" s="140">
        <v>0</v>
      </c>
      <c r="BC60" s="136">
        <v>0</v>
      </c>
      <c r="BD60" s="136">
        <v>0</v>
      </c>
      <c r="BE60" s="336">
        <f t="shared" si="74"/>
        <v>0</v>
      </c>
      <c r="BF60" s="136">
        <f t="shared" ref="BF60" si="95">+$C$4</f>
        <v>1.3427</v>
      </c>
      <c r="BG60" s="141">
        <f t="shared" ref="BG60" si="96">+BB60*$C$4</f>
        <v>0</v>
      </c>
      <c r="BH60" s="126"/>
      <c r="BI60" s="140"/>
      <c r="BJ60" s="136"/>
      <c r="BK60" s="136"/>
      <c r="BL60" s="141"/>
      <c r="BM60" s="142"/>
      <c r="BN60" s="141"/>
    </row>
    <row r="61" spans="2:66" ht="30.75" customHeight="1">
      <c r="B61" s="424" t="s">
        <v>153</v>
      </c>
      <c r="C61" s="442" t="s">
        <v>165</v>
      </c>
      <c r="D61" s="427"/>
      <c r="E61" s="379"/>
      <c r="F61" s="406"/>
      <c r="G61" s="379"/>
      <c r="H61" s="379"/>
      <c r="I61" s="379"/>
      <c r="J61" s="379"/>
      <c r="K61" s="379"/>
      <c r="L61" s="379"/>
      <c r="M61" s="406"/>
      <c r="N61" s="379"/>
      <c r="O61" s="379"/>
      <c r="P61" s="379"/>
      <c r="Q61" s="378"/>
      <c r="R61" s="396"/>
      <c r="S61" s="378"/>
      <c r="T61" s="378"/>
      <c r="U61" s="378"/>
      <c r="V61" s="376"/>
      <c r="W61" s="373"/>
      <c r="X61" s="374"/>
      <c r="Y61" s="379"/>
      <c r="Z61" s="379"/>
      <c r="AA61" s="378"/>
      <c r="AB61" s="379"/>
      <c r="AC61" s="376"/>
      <c r="AD61" s="126"/>
      <c r="AE61" s="377"/>
      <c r="AF61" s="379"/>
      <c r="AG61" s="396"/>
      <c r="AH61" s="378">
        <f>+AH62</f>
        <v>3804.2106718289629</v>
      </c>
      <c r="AI61" s="378"/>
      <c r="AJ61" s="378">
        <f>+AJ62</f>
        <v>5107.9136690647483</v>
      </c>
      <c r="AK61" s="378"/>
      <c r="AL61" s="376">
        <f>+AL62</f>
        <v>14200</v>
      </c>
      <c r="AM61" s="340"/>
      <c r="AN61" s="374">
        <f>+AN62</f>
        <v>3804.2106718289629</v>
      </c>
      <c r="AO61" s="379">
        <f>+AO62</f>
        <v>0</v>
      </c>
      <c r="AP61" s="379">
        <f>+AP62</f>
        <v>0</v>
      </c>
      <c r="AQ61" s="378">
        <f>+AQ62</f>
        <v>3804.2106718289629</v>
      </c>
      <c r="AR61" s="379"/>
      <c r="AS61" s="376">
        <f>+AS62</f>
        <v>5107.9136690647483</v>
      </c>
      <c r="AT61" s="126"/>
      <c r="AU61" s="374">
        <f>+AU62</f>
        <v>0</v>
      </c>
      <c r="AV61" s="379">
        <f>+AV62</f>
        <v>0</v>
      </c>
      <c r="AW61" s="379">
        <f>+AW62</f>
        <v>0</v>
      </c>
      <c r="AX61" s="378">
        <f t="shared" si="70"/>
        <v>0</v>
      </c>
      <c r="AY61" s="379"/>
      <c r="AZ61" s="376">
        <f>+AZ62</f>
        <v>0</v>
      </c>
      <c r="BA61" s="340"/>
      <c r="BB61" s="374">
        <f>+BB62</f>
        <v>0</v>
      </c>
      <c r="BC61" s="379">
        <f>+BC62</f>
        <v>0</v>
      </c>
      <c r="BD61" s="379">
        <f>+BD62</f>
        <v>0</v>
      </c>
      <c r="BE61" s="378">
        <f t="shared" si="74"/>
        <v>0</v>
      </c>
      <c r="BF61" s="379"/>
      <c r="BG61" s="376">
        <f>+BG62</f>
        <v>0</v>
      </c>
      <c r="BH61" s="126"/>
      <c r="BI61" s="374"/>
      <c r="BJ61" s="379"/>
      <c r="BK61" s="379"/>
      <c r="BL61" s="376"/>
      <c r="BM61" s="377"/>
      <c r="BN61" s="376"/>
    </row>
    <row r="62" spans="2:66" s="160" customFormat="1" ht="20.25" customHeight="1">
      <c r="B62" s="335" t="s">
        <v>388</v>
      </c>
      <c r="C62" s="441" t="s">
        <v>383</v>
      </c>
      <c r="D62" s="137"/>
      <c r="E62" s="136" t="s">
        <v>125</v>
      </c>
      <c r="F62" s="136" t="s">
        <v>124</v>
      </c>
      <c r="G62" s="138">
        <v>1</v>
      </c>
      <c r="H62" s="136">
        <v>0</v>
      </c>
      <c r="I62" s="136">
        <v>0</v>
      </c>
      <c r="J62" s="136">
        <v>0</v>
      </c>
      <c r="K62" s="139">
        <v>42095</v>
      </c>
      <c r="L62" s="139">
        <v>42156</v>
      </c>
      <c r="M62" s="136" t="s">
        <v>39</v>
      </c>
      <c r="N62" s="136"/>
      <c r="O62" s="136" t="s">
        <v>120</v>
      </c>
      <c r="P62" s="136"/>
      <c r="Q62" s="336"/>
      <c r="R62" s="397"/>
      <c r="S62" s="336"/>
      <c r="T62" s="336"/>
      <c r="U62" s="336"/>
      <c r="V62" s="141"/>
      <c r="W62" s="340"/>
      <c r="X62" s="140"/>
      <c r="Y62" s="136"/>
      <c r="Z62" s="136"/>
      <c r="AA62" s="336"/>
      <c r="AB62" s="136"/>
      <c r="AC62" s="141"/>
      <c r="AD62" s="126"/>
      <c r="AE62" s="142" t="s">
        <v>120</v>
      </c>
      <c r="AF62" s="136">
        <v>1</v>
      </c>
      <c r="AG62" s="397">
        <f t="shared" ref="AG62" si="97">+AI62/$C$4</f>
        <v>3804.2106718289629</v>
      </c>
      <c r="AH62" s="336">
        <f t="shared" ref="AH62" si="98">AF62*AG62</f>
        <v>3804.2106718289629</v>
      </c>
      <c r="AI62" s="336">
        <f t="shared" ref="AI62" si="99">+AK62/$C$2</f>
        <v>5107.9136690647483</v>
      </c>
      <c r="AJ62" s="336">
        <f>+AF62*AI62</f>
        <v>5107.9136690647483</v>
      </c>
      <c r="AK62" s="336">
        <v>14200</v>
      </c>
      <c r="AL62" s="141">
        <f>+AF62*AK62</f>
        <v>14200</v>
      </c>
      <c r="AM62" s="340"/>
      <c r="AN62" s="140">
        <f t="shared" ref="AN62" si="100">+AH62</f>
        <v>3804.2106718289629</v>
      </c>
      <c r="AO62" s="136">
        <v>0</v>
      </c>
      <c r="AP62" s="136">
        <v>0</v>
      </c>
      <c r="AQ62" s="336">
        <f t="shared" si="80"/>
        <v>3804.2106718289629</v>
      </c>
      <c r="AR62" s="136">
        <f t="shared" si="81"/>
        <v>1.3427</v>
      </c>
      <c r="AS62" s="141">
        <f t="shared" ref="AS62" si="101">+AN62*$C$4</f>
        <v>5107.9136690647483</v>
      </c>
      <c r="AT62" s="126"/>
      <c r="AU62" s="140">
        <v>0</v>
      </c>
      <c r="AV62" s="136">
        <v>0</v>
      </c>
      <c r="AW62" s="136">
        <v>0</v>
      </c>
      <c r="AX62" s="336">
        <f>SUM(AU62:AW62)</f>
        <v>0</v>
      </c>
      <c r="AY62" s="136">
        <f t="shared" ref="AY62" si="102">+$C$4</f>
        <v>1.3427</v>
      </c>
      <c r="AZ62" s="141">
        <f t="shared" ref="AZ62" si="103">+AU62*$C$4</f>
        <v>0</v>
      </c>
      <c r="BA62" s="340"/>
      <c r="BB62" s="140">
        <v>0</v>
      </c>
      <c r="BC62" s="136">
        <v>0</v>
      </c>
      <c r="BD62" s="136">
        <v>0</v>
      </c>
      <c r="BE62" s="336">
        <f>SUM(BB62:BD62)</f>
        <v>0</v>
      </c>
      <c r="BF62" s="136">
        <f t="shared" ref="BF62" si="104">+$C$4</f>
        <v>1.3427</v>
      </c>
      <c r="BG62" s="141">
        <f t="shared" ref="BG62" si="105">+BB62*$C$4</f>
        <v>0</v>
      </c>
      <c r="BH62" s="126"/>
      <c r="BI62" s="140"/>
      <c r="BJ62" s="143"/>
      <c r="BK62" s="143"/>
      <c r="BL62" s="141"/>
      <c r="BM62" s="142"/>
      <c r="BN62" s="141"/>
    </row>
    <row r="63" spans="2:66" ht="38.25" customHeight="1">
      <c r="B63" s="452">
        <v>4</v>
      </c>
      <c r="C63" s="450" t="s">
        <v>357</v>
      </c>
      <c r="D63" s="429">
        <v>225000</v>
      </c>
      <c r="E63" s="371"/>
      <c r="F63" s="410"/>
      <c r="G63" s="371"/>
      <c r="H63" s="371"/>
      <c r="I63" s="371"/>
      <c r="J63" s="371"/>
      <c r="K63" s="371"/>
      <c r="L63" s="371"/>
      <c r="M63" s="410"/>
      <c r="N63" s="371"/>
      <c r="O63" s="371"/>
      <c r="P63" s="371"/>
      <c r="Q63" s="382"/>
      <c r="R63" s="399">
        <v>225000</v>
      </c>
      <c r="S63" s="382"/>
      <c r="T63" s="382">
        <f>225000*C4</f>
        <v>302107.5</v>
      </c>
      <c r="U63" s="382"/>
      <c r="V63" s="368"/>
      <c r="W63" s="340"/>
      <c r="X63" s="366">
        <v>225000</v>
      </c>
      <c r="Y63" s="371">
        <v>0</v>
      </c>
      <c r="Z63" s="371">
        <v>0</v>
      </c>
      <c r="AA63" s="382">
        <f>SUM(X63:Z63)</f>
        <v>225000</v>
      </c>
      <c r="AB63" s="371">
        <f>+$C$4</f>
        <v>1.3427</v>
      </c>
      <c r="AC63" s="368">
        <f>+X63*AB63</f>
        <v>302107.5</v>
      </c>
      <c r="AD63" s="126"/>
      <c r="AE63" s="369"/>
      <c r="AF63" s="371"/>
      <c r="AG63" s="399"/>
      <c r="AH63" s="382">
        <f>+AH64+AH67+AH70+AH72+AH79+AH82</f>
        <v>32309.000494547388</v>
      </c>
      <c r="AI63" s="382"/>
      <c r="AJ63" s="382">
        <f>+AJ64+AJ67+AJ70+AJ72+AJ79+AJ82</f>
        <v>43381.294964028784</v>
      </c>
      <c r="AK63" s="382"/>
      <c r="AL63" s="368">
        <f>+AL64+AL67+AL70+AL72+AL79+AL82</f>
        <v>120600</v>
      </c>
      <c r="AM63" s="340"/>
      <c r="AN63" s="366">
        <f>+AN64+AN67+AN70+AN72+AN79+AN82</f>
        <v>32309.000494547388</v>
      </c>
      <c r="AO63" s="382">
        <f>+AO64+AO67+AO70+AO72+AO79+AO82</f>
        <v>0</v>
      </c>
      <c r="AP63" s="382">
        <f>+AP64+AP67+AP70+AP72+AP79+AP82</f>
        <v>0</v>
      </c>
      <c r="AQ63" s="382">
        <f>+AQ64+AQ67+AQ70+AQ72+AQ79+AQ82</f>
        <v>32309.000494547388</v>
      </c>
      <c r="AR63" s="371"/>
      <c r="AS63" s="368">
        <f>+AS64+AS67+AS70+AS72+AS79+AS82</f>
        <v>43381.294964028784</v>
      </c>
      <c r="AT63" s="126"/>
      <c r="AU63" s="366">
        <f>+AU64+AU67+AU70+AU72+AU79+AU82</f>
        <v>12973</v>
      </c>
      <c r="AV63" s="382">
        <f>+AV67+AV64+AV70+AV72+AV79+AV82</f>
        <v>0</v>
      </c>
      <c r="AW63" s="382">
        <f>+AW67+AW64+AW70+AW72+AW79+AW82</f>
        <v>0</v>
      </c>
      <c r="AX63" s="382">
        <f>+AX64+AX67+AX70+AX72+AX79+AX82</f>
        <v>12973</v>
      </c>
      <c r="AY63" s="371">
        <f>+$C$4</f>
        <v>1.3427</v>
      </c>
      <c r="AZ63" s="368">
        <f>+AZ64+AZ67+AZ70+AZ72+AZ79+AZ82</f>
        <v>17418.847099999999</v>
      </c>
      <c r="BA63" s="340"/>
      <c r="BB63" s="366">
        <f>+BB64+BB67+BB70+BB72+BB79+BB82</f>
        <v>3500</v>
      </c>
      <c r="BC63" s="382">
        <f>+BC67+BC64+BC70+BC72+BC79+BC82</f>
        <v>0</v>
      </c>
      <c r="BD63" s="382">
        <f>+BD67+BD64+BD70+BD72+BD79+BD82</f>
        <v>0</v>
      </c>
      <c r="BE63" s="382">
        <f>+BE64+BE67+BE70+BE72+BE79+BE82</f>
        <v>3500</v>
      </c>
      <c r="BF63" s="371">
        <f>+$C$4</f>
        <v>1.3427</v>
      </c>
      <c r="BG63" s="368">
        <f>+BG64+BG67+BG70+BG72+BG79+BG82</f>
        <v>4699.45</v>
      </c>
      <c r="BH63" s="126"/>
      <c r="BI63" s="366">
        <v>0</v>
      </c>
      <c r="BJ63" s="367">
        <v>0</v>
      </c>
      <c r="BK63" s="367">
        <v>0</v>
      </c>
      <c r="BL63" s="368">
        <f>SUM(BI63:BK63)</f>
        <v>0</v>
      </c>
      <c r="BM63" s="369">
        <f>+$C$4</f>
        <v>1.3427</v>
      </c>
      <c r="BN63" s="368">
        <f>+BI63/BM63</f>
        <v>0</v>
      </c>
    </row>
    <row r="64" spans="2:66" ht="23.25" customHeight="1">
      <c r="B64" s="424" t="s">
        <v>131</v>
      </c>
      <c r="C64" s="443" t="s">
        <v>263</v>
      </c>
      <c r="D64" s="427"/>
      <c r="E64" s="379"/>
      <c r="F64" s="406"/>
      <c r="G64" s="379"/>
      <c r="H64" s="379"/>
      <c r="I64" s="379"/>
      <c r="J64" s="379"/>
      <c r="K64" s="379"/>
      <c r="L64" s="379"/>
      <c r="M64" s="406"/>
      <c r="N64" s="379"/>
      <c r="O64" s="379"/>
      <c r="P64" s="379"/>
      <c r="Q64" s="378"/>
      <c r="R64" s="396"/>
      <c r="S64" s="378"/>
      <c r="T64" s="378"/>
      <c r="U64" s="378"/>
      <c r="V64" s="376"/>
      <c r="W64" s="373"/>
      <c r="X64" s="374"/>
      <c r="Y64" s="379"/>
      <c r="Z64" s="379"/>
      <c r="AA64" s="378"/>
      <c r="AB64" s="379"/>
      <c r="AC64" s="376"/>
      <c r="AD64" s="126"/>
      <c r="AE64" s="377"/>
      <c r="AF64" s="379"/>
      <c r="AG64" s="396"/>
      <c r="AH64" s="378">
        <f>SUM(AH65:AH66)</f>
        <v>2973.713975866302</v>
      </c>
      <c r="AI64" s="378"/>
      <c r="AJ64" s="378">
        <f>SUM(AJ65:AJ66)</f>
        <v>3992.8057553956837</v>
      </c>
      <c r="AK64" s="378"/>
      <c r="AL64" s="376">
        <f>SUM(AL65:AL66)</f>
        <v>11100</v>
      </c>
      <c r="AM64" s="340"/>
      <c r="AN64" s="374">
        <f>SUM(AN65:AN66)</f>
        <v>2973.713975866302</v>
      </c>
      <c r="AO64" s="378">
        <f>SUM(AO65:AO66)</f>
        <v>0</v>
      </c>
      <c r="AP64" s="378">
        <f>SUM(AP65:AP66)</f>
        <v>0</v>
      </c>
      <c r="AQ64" s="378">
        <f>SUM(AQ65:AQ66)</f>
        <v>2973.713975866302</v>
      </c>
      <c r="AR64" s="379"/>
      <c r="AS64" s="376">
        <f>SUM(AS65:AS66)</f>
        <v>3992.8057553956837</v>
      </c>
      <c r="AT64" s="126"/>
      <c r="AU64" s="374">
        <f>SUM(AU65:AU66)</f>
        <v>2973</v>
      </c>
      <c r="AV64" s="378">
        <f>SUM(AV65:AV66)</f>
        <v>0</v>
      </c>
      <c r="AW64" s="378">
        <f>SUM(AW65:AW66)</f>
        <v>0</v>
      </c>
      <c r="AX64" s="378">
        <f>SUM(AX65:AX66)</f>
        <v>2973</v>
      </c>
      <c r="AY64" s="379">
        <f t="shared" ref="AY64:AY69" si="106">+$C$4</f>
        <v>1.3427</v>
      </c>
      <c r="AZ64" s="376">
        <f>+AZ65+AZ66</f>
        <v>3991.8471</v>
      </c>
      <c r="BA64" s="340"/>
      <c r="BB64" s="374">
        <f>SUM(BB65:BB66)</f>
        <v>0</v>
      </c>
      <c r="BC64" s="378">
        <f>SUM(BC65:BC66)</f>
        <v>0</v>
      </c>
      <c r="BD64" s="378">
        <f>SUM(BD65:BD66)</f>
        <v>0</v>
      </c>
      <c r="BE64" s="378">
        <f>SUM(BE65:BE66)</f>
        <v>0</v>
      </c>
      <c r="BF64" s="379">
        <f t="shared" ref="BF64:BF69" si="107">+$C$4</f>
        <v>1.3427</v>
      </c>
      <c r="BG64" s="376">
        <f>+BG65+BG66</f>
        <v>0</v>
      </c>
      <c r="BH64" s="126"/>
      <c r="BI64" s="374"/>
      <c r="BJ64" s="379"/>
      <c r="BK64" s="379"/>
      <c r="BL64" s="376"/>
      <c r="BM64" s="377"/>
      <c r="BN64" s="376"/>
    </row>
    <row r="65" spans="2:66" ht="21" customHeight="1">
      <c r="B65" s="335" t="s">
        <v>133</v>
      </c>
      <c r="C65" s="444" t="s">
        <v>418</v>
      </c>
      <c r="D65" s="137"/>
      <c r="E65" s="136" t="s">
        <v>126</v>
      </c>
      <c r="F65" s="136" t="s">
        <v>124</v>
      </c>
      <c r="G65" s="138">
        <v>1</v>
      </c>
      <c r="H65" s="136">
        <v>0</v>
      </c>
      <c r="I65" s="136">
        <v>0</v>
      </c>
      <c r="J65" s="136">
        <v>0</v>
      </c>
      <c r="K65" s="139">
        <v>41744</v>
      </c>
      <c r="L65" s="139">
        <v>41774</v>
      </c>
      <c r="M65" s="136" t="s">
        <v>76</v>
      </c>
      <c r="N65" s="136"/>
      <c r="O65" s="136" t="s">
        <v>120</v>
      </c>
      <c r="P65" s="136"/>
      <c r="Q65" s="336"/>
      <c r="R65" s="397"/>
      <c r="S65" s="336"/>
      <c r="T65" s="336"/>
      <c r="U65" s="336"/>
      <c r="V65" s="141"/>
      <c r="W65" s="340"/>
      <c r="X65" s="140"/>
      <c r="Y65" s="136"/>
      <c r="Z65" s="136"/>
      <c r="AA65" s="336"/>
      <c r="AB65" s="136"/>
      <c r="AC65" s="141"/>
      <c r="AD65" s="126"/>
      <c r="AE65" s="142" t="s">
        <v>120</v>
      </c>
      <c r="AF65" s="136">
        <v>1</v>
      </c>
      <c r="AG65" s="397">
        <f t="shared" ref="AG65:AG71" si="108">+AI65/$C$4</f>
        <v>1473.4618799337532</v>
      </c>
      <c r="AH65" s="336">
        <f t="shared" ref="AH65:AH71" si="109">AF65*AG65</f>
        <v>1473.4618799337532</v>
      </c>
      <c r="AI65" s="336">
        <f t="shared" ref="AI65:AI71" si="110">+AK65/$C$2</f>
        <v>1978.4172661870505</v>
      </c>
      <c r="AJ65" s="336">
        <f t="shared" ref="AJ65:AJ71" si="111">+AF65*AI65</f>
        <v>1978.4172661870505</v>
      </c>
      <c r="AK65" s="336">
        <v>5500</v>
      </c>
      <c r="AL65" s="141">
        <f t="shared" ref="AL65:AL71" si="112">+AF65*AK65</f>
        <v>5500</v>
      </c>
      <c r="AM65" s="340"/>
      <c r="AN65" s="140">
        <f t="shared" ref="AN65:AN66" si="113">+AH65</f>
        <v>1473.4618799337532</v>
      </c>
      <c r="AO65" s="136">
        <v>0</v>
      </c>
      <c r="AP65" s="136">
        <v>0</v>
      </c>
      <c r="AQ65" s="336">
        <f t="shared" si="80"/>
        <v>1473.4618799337532</v>
      </c>
      <c r="AR65" s="136">
        <f t="shared" ref="AR65:AR68" si="114">+$C$4</f>
        <v>1.3427</v>
      </c>
      <c r="AS65" s="141">
        <f>+AN65*$C$4</f>
        <v>1978.4172661870505</v>
      </c>
      <c r="AT65" s="126"/>
      <c r="AU65" s="140">
        <v>1473</v>
      </c>
      <c r="AV65" s="136">
        <v>0</v>
      </c>
      <c r="AW65" s="136">
        <v>0</v>
      </c>
      <c r="AX65" s="336">
        <f>SUM(AU65:AW65)</f>
        <v>1473</v>
      </c>
      <c r="AY65" s="136">
        <f t="shared" si="106"/>
        <v>1.3427</v>
      </c>
      <c r="AZ65" s="141">
        <f>+AU65*$C$4</f>
        <v>1977.7971</v>
      </c>
      <c r="BA65" s="340"/>
      <c r="BB65" s="140">
        <v>0</v>
      </c>
      <c r="BC65" s="136">
        <v>0</v>
      </c>
      <c r="BD65" s="136">
        <v>0</v>
      </c>
      <c r="BE65" s="336">
        <f>SUM(BB65:BD65)</f>
        <v>0</v>
      </c>
      <c r="BF65" s="136">
        <f t="shared" si="107"/>
        <v>1.3427</v>
      </c>
      <c r="BG65" s="141">
        <f>+BB65*$C$4</f>
        <v>0</v>
      </c>
      <c r="BH65" s="126"/>
      <c r="BI65" s="140"/>
      <c r="BJ65" s="136"/>
      <c r="BK65" s="136"/>
      <c r="BL65" s="141"/>
      <c r="BM65" s="142"/>
      <c r="BN65" s="141"/>
    </row>
    <row r="66" spans="2:66" ht="21" customHeight="1">
      <c r="B66" s="335" t="s">
        <v>134</v>
      </c>
      <c r="C66" s="445" t="s">
        <v>154</v>
      </c>
      <c r="D66" s="137"/>
      <c r="E66" s="136" t="s">
        <v>126</v>
      </c>
      <c r="F66" s="136" t="s">
        <v>124</v>
      </c>
      <c r="G66" s="138">
        <v>1</v>
      </c>
      <c r="H66" s="136">
        <v>0</v>
      </c>
      <c r="I66" s="136">
        <v>0</v>
      </c>
      <c r="J66" s="136">
        <v>0</v>
      </c>
      <c r="K66" s="139">
        <v>41760</v>
      </c>
      <c r="L66" s="139">
        <v>41790</v>
      </c>
      <c r="M66" s="136" t="s">
        <v>76</v>
      </c>
      <c r="N66" s="136"/>
      <c r="O66" s="136" t="s">
        <v>120</v>
      </c>
      <c r="P66" s="136"/>
      <c r="Q66" s="336"/>
      <c r="R66" s="397"/>
      <c r="S66" s="336"/>
      <c r="T66" s="336"/>
      <c r="U66" s="336"/>
      <c r="V66" s="141"/>
      <c r="W66" s="340"/>
      <c r="X66" s="140"/>
      <c r="Y66" s="136"/>
      <c r="Z66" s="136"/>
      <c r="AA66" s="336"/>
      <c r="AB66" s="136"/>
      <c r="AC66" s="141"/>
      <c r="AD66" s="126"/>
      <c r="AE66" s="142" t="s">
        <v>120</v>
      </c>
      <c r="AF66" s="136">
        <v>1</v>
      </c>
      <c r="AG66" s="397">
        <f t="shared" si="108"/>
        <v>1500.2520959325489</v>
      </c>
      <c r="AH66" s="336">
        <f t="shared" si="109"/>
        <v>1500.2520959325489</v>
      </c>
      <c r="AI66" s="336">
        <f t="shared" si="110"/>
        <v>2014.3884892086332</v>
      </c>
      <c r="AJ66" s="336">
        <f t="shared" si="111"/>
        <v>2014.3884892086332</v>
      </c>
      <c r="AK66" s="336">
        <v>5600</v>
      </c>
      <c r="AL66" s="141">
        <f t="shared" si="112"/>
        <v>5600</v>
      </c>
      <c r="AM66" s="340"/>
      <c r="AN66" s="140">
        <f t="shared" si="113"/>
        <v>1500.2520959325489</v>
      </c>
      <c r="AO66" s="136">
        <v>0</v>
      </c>
      <c r="AP66" s="136">
        <v>0</v>
      </c>
      <c r="AQ66" s="336">
        <f t="shared" si="80"/>
        <v>1500.2520959325489</v>
      </c>
      <c r="AR66" s="136">
        <f t="shared" si="114"/>
        <v>1.3427</v>
      </c>
      <c r="AS66" s="141">
        <f>+AN66*$C$4</f>
        <v>2014.3884892086332</v>
      </c>
      <c r="AT66" s="126"/>
      <c r="AU66" s="140">
        <v>1500</v>
      </c>
      <c r="AV66" s="136">
        <v>0</v>
      </c>
      <c r="AW66" s="136">
        <v>0</v>
      </c>
      <c r="AX66" s="336">
        <f t="shared" ref="AX66:AX71" si="115">SUM(AU66:AW66)</f>
        <v>1500</v>
      </c>
      <c r="AY66" s="136">
        <f t="shared" si="106"/>
        <v>1.3427</v>
      </c>
      <c r="AZ66" s="141">
        <f>+AU66*$C$4</f>
        <v>2014.05</v>
      </c>
      <c r="BA66" s="340"/>
      <c r="BB66" s="140">
        <v>0</v>
      </c>
      <c r="BC66" s="136">
        <v>0</v>
      </c>
      <c r="BD66" s="136">
        <v>0</v>
      </c>
      <c r="BE66" s="336">
        <f t="shared" ref="BE66" si="116">SUM(BB66:BD66)</f>
        <v>0</v>
      </c>
      <c r="BF66" s="136">
        <f t="shared" si="107"/>
        <v>1.3427</v>
      </c>
      <c r="BG66" s="141">
        <f>+BB66*$C$4</f>
        <v>0</v>
      </c>
      <c r="BH66" s="126"/>
      <c r="BI66" s="140"/>
      <c r="BJ66" s="136"/>
      <c r="BK66" s="136"/>
      <c r="BL66" s="141"/>
      <c r="BM66" s="142"/>
      <c r="BN66" s="141"/>
    </row>
    <row r="67" spans="2:66" ht="30.75" customHeight="1">
      <c r="B67" s="424" t="s">
        <v>132</v>
      </c>
      <c r="C67" s="443" t="s">
        <v>155</v>
      </c>
      <c r="D67" s="427"/>
      <c r="E67" s="379"/>
      <c r="F67" s="406"/>
      <c r="G67" s="379"/>
      <c r="H67" s="379"/>
      <c r="I67" s="379"/>
      <c r="J67" s="379"/>
      <c r="K67" s="379"/>
      <c r="L67" s="379"/>
      <c r="M67" s="406"/>
      <c r="N67" s="379"/>
      <c r="O67" s="379"/>
      <c r="P67" s="379"/>
      <c r="Q67" s="378"/>
      <c r="R67" s="396"/>
      <c r="S67" s="378"/>
      <c r="T67" s="378"/>
      <c r="U67" s="378"/>
      <c r="V67" s="376"/>
      <c r="W67" s="373"/>
      <c r="X67" s="374"/>
      <c r="Y67" s="379"/>
      <c r="Z67" s="379"/>
      <c r="AA67" s="378"/>
      <c r="AB67" s="379"/>
      <c r="AC67" s="376"/>
      <c r="AD67" s="126"/>
      <c r="AE67" s="377"/>
      <c r="AF67" s="379"/>
      <c r="AG67" s="396"/>
      <c r="AH67" s="378">
        <f>SUM(AH68:AH69)</f>
        <v>9108.673439590475</v>
      </c>
      <c r="AI67" s="378"/>
      <c r="AJ67" s="378">
        <f>SUM(AJ68:AJ69)</f>
        <v>12230.21582733813</v>
      </c>
      <c r="AK67" s="378"/>
      <c r="AL67" s="376">
        <f>SUM(AL68:AL69)</f>
        <v>34000</v>
      </c>
      <c r="AM67" s="340"/>
      <c r="AN67" s="374">
        <f>SUM(AN68:AN69)</f>
        <v>9108.673439590475</v>
      </c>
      <c r="AO67" s="378">
        <f t="shared" ref="AO67:AP67" si="117">SUM(AO68:AO69)</f>
        <v>0</v>
      </c>
      <c r="AP67" s="378">
        <f t="shared" si="117"/>
        <v>0</v>
      </c>
      <c r="AQ67" s="378">
        <f>SUM(AQ68:AQ69)</f>
        <v>9108.673439590475</v>
      </c>
      <c r="AR67" s="379"/>
      <c r="AS67" s="376">
        <f>SUM(AS68:AS69)</f>
        <v>12230.21582733813</v>
      </c>
      <c r="AT67" s="126"/>
      <c r="AU67" s="374">
        <f>SUM(AU68:AU69)</f>
        <v>0</v>
      </c>
      <c r="AV67" s="378">
        <f t="shared" ref="AV67:AW67" si="118">SUM(AV68:AV69)</f>
        <v>0</v>
      </c>
      <c r="AW67" s="378">
        <f t="shared" si="118"/>
        <v>0</v>
      </c>
      <c r="AX67" s="378">
        <f>SUM(AX68:AX69)</f>
        <v>0</v>
      </c>
      <c r="AY67" s="379">
        <f t="shared" si="106"/>
        <v>1.3427</v>
      </c>
      <c r="AZ67" s="376"/>
      <c r="BA67" s="340"/>
      <c r="BB67" s="374">
        <f>SUM(BB68:BB69)</f>
        <v>0</v>
      </c>
      <c r="BC67" s="378">
        <f t="shared" ref="BC67:BD67" si="119">SUM(BC68:BC69)</f>
        <v>0</v>
      </c>
      <c r="BD67" s="378">
        <f t="shared" si="119"/>
        <v>0</v>
      </c>
      <c r="BE67" s="378">
        <f>SUM(BE68:BE69)</f>
        <v>0</v>
      </c>
      <c r="BF67" s="379">
        <f t="shared" si="107"/>
        <v>1.3427</v>
      </c>
      <c r="BG67" s="376"/>
      <c r="BH67" s="126"/>
      <c r="BI67" s="374"/>
      <c r="BJ67" s="379"/>
      <c r="BK67" s="379"/>
      <c r="BL67" s="376"/>
      <c r="BM67" s="377"/>
      <c r="BN67" s="376"/>
    </row>
    <row r="68" spans="2:66" ht="21" customHeight="1">
      <c r="B68" s="335" t="s">
        <v>389</v>
      </c>
      <c r="C68" s="446" t="s">
        <v>156</v>
      </c>
      <c r="D68" s="137"/>
      <c r="E68" s="136" t="s">
        <v>125</v>
      </c>
      <c r="F68" s="136" t="s">
        <v>124</v>
      </c>
      <c r="G68" s="138">
        <v>1</v>
      </c>
      <c r="H68" s="136">
        <v>0</v>
      </c>
      <c r="I68" s="136">
        <v>0</v>
      </c>
      <c r="J68" s="136">
        <v>0</v>
      </c>
      <c r="K68" s="139">
        <v>42036</v>
      </c>
      <c r="L68" s="139" t="s">
        <v>419</v>
      </c>
      <c r="M68" s="136" t="s">
        <v>39</v>
      </c>
      <c r="N68" s="136"/>
      <c r="O68" s="136" t="s">
        <v>120</v>
      </c>
      <c r="P68" s="136"/>
      <c r="Q68" s="336"/>
      <c r="R68" s="397"/>
      <c r="S68" s="336"/>
      <c r="T68" s="336"/>
      <c r="U68" s="336"/>
      <c r="V68" s="141"/>
      <c r="W68" s="340"/>
      <c r="X68" s="140"/>
      <c r="Y68" s="136"/>
      <c r="Z68" s="136"/>
      <c r="AA68" s="336"/>
      <c r="AB68" s="136"/>
      <c r="AC68" s="141"/>
      <c r="AD68" s="126"/>
      <c r="AE68" s="142" t="s">
        <v>120</v>
      </c>
      <c r="AF68" s="136">
        <v>1</v>
      </c>
      <c r="AG68" s="397">
        <f t="shared" si="108"/>
        <v>3750.6302398313715</v>
      </c>
      <c r="AH68" s="336">
        <f t="shared" si="109"/>
        <v>3750.6302398313715</v>
      </c>
      <c r="AI68" s="336">
        <f t="shared" si="110"/>
        <v>5035.9712230215828</v>
      </c>
      <c r="AJ68" s="336">
        <f t="shared" si="111"/>
        <v>5035.9712230215828</v>
      </c>
      <c r="AK68" s="336">
        <v>14000</v>
      </c>
      <c r="AL68" s="141">
        <f t="shared" si="112"/>
        <v>14000</v>
      </c>
      <c r="AM68" s="340"/>
      <c r="AN68" s="140">
        <f t="shared" ref="AN68:AN69" si="120">+AH68</f>
        <v>3750.6302398313715</v>
      </c>
      <c r="AO68" s="136">
        <v>0</v>
      </c>
      <c r="AP68" s="136">
        <v>0</v>
      </c>
      <c r="AQ68" s="336">
        <f t="shared" si="80"/>
        <v>3750.6302398313715</v>
      </c>
      <c r="AR68" s="136">
        <f t="shared" si="114"/>
        <v>1.3427</v>
      </c>
      <c r="AS68" s="141">
        <f t="shared" ref="AS68:AS69" si="121">+AN68*$C$4</f>
        <v>5035.9712230215828</v>
      </c>
      <c r="AT68" s="126"/>
      <c r="AU68" s="140">
        <v>0</v>
      </c>
      <c r="AV68" s="136">
        <v>0</v>
      </c>
      <c r="AW68" s="136">
        <v>0</v>
      </c>
      <c r="AX68" s="336">
        <f t="shared" si="115"/>
        <v>0</v>
      </c>
      <c r="AY68" s="136">
        <f t="shared" si="106"/>
        <v>1.3427</v>
      </c>
      <c r="AZ68" s="141">
        <f>+AU68*$C$4</f>
        <v>0</v>
      </c>
      <c r="BA68" s="340"/>
      <c r="BB68" s="140">
        <v>0</v>
      </c>
      <c r="BC68" s="136">
        <v>0</v>
      </c>
      <c r="BD68" s="136">
        <v>0</v>
      </c>
      <c r="BE68" s="336">
        <f t="shared" ref="BE68:BE69" si="122">SUM(BB68:BD68)</f>
        <v>0</v>
      </c>
      <c r="BF68" s="136">
        <f t="shared" si="107"/>
        <v>1.3427</v>
      </c>
      <c r="BG68" s="141">
        <f>+BB68*$C$4</f>
        <v>0</v>
      </c>
      <c r="BH68" s="126"/>
      <c r="BI68" s="140"/>
      <c r="BJ68" s="136"/>
      <c r="BK68" s="136"/>
      <c r="BL68" s="141"/>
      <c r="BM68" s="142"/>
      <c r="BN68" s="141"/>
    </row>
    <row r="69" spans="2:66" ht="21" customHeight="1">
      <c r="B69" s="335" t="s">
        <v>390</v>
      </c>
      <c r="C69" s="446" t="s">
        <v>158</v>
      </c>
      <c r="D69" s="137"/>
      <c r="E69" s="136" t="s">
        <v>126</v>
      </c>
      <c r="F69" s="136" t="s">
        <v>124</v>
      </c>
      <c r="G69" s="138">
        <v>1</v>
      </c>
      <c r="H69" s="136">
        <v>0</v>
      </c>
      <c r="I69" s="136">
        <v>0</v>
      </c>
      <c r="J69" s="136">
        <v>0</v>
      </c>
      <c r="K69" s="139">
        <v>42125</v>
      </c>
      <c r="L69" s="139">
        <v>42216</v>
      </c>
      <c r="M69" s="136" t="s">
        <v>39</v>
      </c>
      <c r="N69" s="136"/>
      <c r="O69" s="136" t="s">
        <v>120</v>
      </c>
      <c r="P69" s="136"/>
      <c r="Q69" s="336"/>
      <c r="R69" s="397"/>
      <c r="S69" s="336"/>
      <c r="T69" s="336"/>
      <c r="U69" s="336"/>
      <c r="V69" s="141"/>
      <c r="W69" s="340"/>
      <c r="X69" s="140"/>
      <c r="Y69" s="136"/>
      <c r="Z69" s="136"/>
      <c r="AA69" s="336"/>
      <c r="AB69" s="136"/>
      <c r="AC69" s="141"/>
      <c r="AD69" s="126"/>
      <c r="AE69" s="142" t="s">
        <v>120</v>
      </c>
      <c r="AF69" s="136">
        <v>1</v>
      </c>
      <c r="AG69" s="397">
        <f t="shared" si="108"/>
        <v>5358.0431997591031</v>
      </c>
      <c r="AH69" s="336">
        <f t="shared" si="109"/>
        <v>5358.0431997591031</v>
      </c>
      <c r="AI69" s="336">
        <f t="shared" si="110"/>
        <v>7194.2446043165473</v>
      </c>
      <c r="AJ69" s="336">
        <f t="shared" si="111"/>
        <v>7194.2446043165473</v>
      </c>
      <c r="AK69" s="336">
        <v>20000</v>
      </c>
      <c r="AL69" s="141">
        <f t="shared" si="112"/>
        <v>20000</v>
      </c>
      <c r="AM69" s="340"/>
      <c r="AN69" s="140">
        <f t="shared" si="120"/>
        <v>5358.0431997591031</v>
      </c>
      <c r="AO69" s="136">
        <v>0</v>
      </c>
      <c r="AP69" s="136">
        <v>0</v>
      </c>
      <c r="AQ69" s="336">
        <f t="shared" si="80"/>
        <v>5358.0431997591031</v>
      </c>
      <c r="AR69" s="136"/>
      <c r="AS69" s="141">
        <f t="shared" si="121"/>
        <v>7194.2446043165473</v>
      </c>
      <c r="AT69" s="126"/>
      <c r="AU69" s="140">
        <v>0</v>
      </c>
      <c r="AV69" s="136">
        <v>0</v>
      </c>
      <c r="AW69" s="136">
        <v>0</v>
      </c>
      <c r="AX69" s="336">
        <f t="shared" si="115"/>
        <v>0</v>
      </c>
      <c r="AY69" s="136">
        <f t="shared" si="106"/>
        <v>1.3427</v>
      </c>
      <c r="AZ69" s="141">
        <f>+AU69*$C$4</f>
        <v>0</v>
      </c>
      <c r="BA69" s="340"/>
      <c r="BB69" s="140">
        <v>0</v>
      </c>
      <c r="BC69" s="136">
        <v>0</v>
      </c>
      <c r="BD69" s="136">
        <v>0</v>
      </c>
      <c r="BE69" s="336">
        <f t="shared" si="122"/>
        <v>0</v>
      </c>
      <c r="BF69" s="136">
        <f t="shared" si="107"/>
        <v>1.3427</v>
      </c>
      <c r="BG69" s="141">
        <f>+BB69*$C$4</f>
        <v>0</v>
      </c>
      <c r="BH69" s="126"/>
      <c r="BI69" s="140"/>
      <c r="BJ69" s="136"/>
      <c r="BK69" s="136"/>
      <c r="BL69" s="141"/>
      <c r="BM69" s="142"/>
      <c r="BN69" s="141"/>
    </row>
    <row r="70" spans="2:66" ht="30.75" customHeight="1">
      <c r="B70" s="424" t="s">
        <v>231</v>
      </c>
      <c r="C70" s="443" t="s">
        <v>161</v>
      </c>
      <c r="D70" s="427"/>
      <c r="E70" s="379"/>
      <c r="F70" s="406"/>
      <c r="G70" s="379"/>
      <c r="H70" s="379"/>
      <c r="I70" s="379"/>
      <c r="J70" s="379"/>
      <c r="K70" s="379"/>
      <c r="L70" s="379"/>
      <c r="M70" s="406"/>
      <c r="N70" s="379"/>
      <c r="O70" s="379"/>
      <c r="P70" s="379"/>
      <c r="Q70" s="378"/>
      <c r="R70" s="396"/>
      <c r="S70" s="378"/>
      <c r="T70" s="378"/>
      <c r="U70" s="378"/>
      <c r="V70" s="376"/>
      <c r="W70" s="373"/>
      <c r="X70" s="374"/>
      <c r="Y70" s="379"/>
      <c r="Z70" s="379"/>
      <c r="AA70" s="378"/>
      <c r="AB70" s="379"/>
      <c r="AC70" s="376"/>
      <c r="AD70" s="126"/>
      <c r="AE70" s="377"/>
      <c r="AF70" s="379"/>
      <c r="AG70" s="396"/>
      <c r="AH70" s="378">
        <f>+AH71</f>
        <v>4018.5323998193271</v>
      </c>
      <c r="AI70" s="378"/>
      <c r="AJ70" s="378">
        <f>+AJ71</f>
        <v>5395.6834532374105</v>
      </c>
      <c r="AK70" s="378"/>
      <c r="AL70" s="376">
        <f>+AL71</f>
        <v>15000</v>
      </c>
      <c r="AM70" s="340"/>
      <c r="AN70" s="374">
        <f>SUM(AN71:AN71)</f>
        <v>4018.5323998193271</v>
      </c>
      <c r="AO70" s="378">
        <f>SUM(AO71:AO71)</f>
        <v>0</v>
      </c>
      <c r="AP70" s="378">
        <f>SUM(AP71:AP71)</f>
        <v>0</v>
      </c>
      <c r="AQ70" s="378">
        <f>+AQ71</f>
        <v>4018.5323998193271</v>
      </c>
      <c r="AR70" s="379"/>
      <c r="AS70" s="376">
        <f>+AS71</f>
        <v>5395.6834532374105</v>
      </c>
      <c r="AT70" s="126"/>
      <c r="AU70" s="374">
        <f>SUM(AU71:AU71)</f>
        <v>0</v>
      </c>
      <c r="AV70" s="378">
        <f>SUM(AV71:AV71)</f>
        <v>0</v>
      </c>
      <c r="AW70" s="378">
        <f>SUM(AW71:AW71)</f>
        <v>0</v>
      </c>
      <c r="AX70" s="378">
        <f>+AX71</f>
        <v>0</v>
      </c>
      <c r="AY70" s="379"/>
      <c r="AZ70" s="376"/>
      <c r="BA70" s="340"/>
      <c r="BB70" s="374">
        <f>SUM(BB71:BB71)</f>
        <v>0</v>
      </c>
      <c r="BC70" s="378">
        <f>SUM(BC71:BC71)</f>
        <v>0</v>
      </c>
      <c r="BD70" s="378">
        <f>SUM(BD71:BD71)</f>
        <v>0</v>
      </c>
      <c r="BE70" s="378">
        <f>+BE71</f>
        <v>0</v>
      </c>
      <c r="BF70" s="379"/>
      <c r="BG70" s="376"/>
      <c r="BH70" s="126"/>
      <c r="BI70" s="374"/>
      <c r="BJ70" s="379"/>
      <c r="BK70" s="379"/>
      <c r="BL70" s="376"/>
      <c r="BM70" s="377"/>
      <c r="BN70" s="376"/>
    </row>
    <row r="71" spans="2:66" s="160" customFormat="1" ht="21" customHeight="1">
      <c r="B71" s="335" t="s">
        <v>391</v>
      </c>
      <c r="C71" s="446" t="s">
        <v>433</v>
      </c>
      <c r="D71" s="137"/>
      <c r="E71" s="136" t="s">
        <v>126</v>
      </c>
      <c r="F71" s="136" t="s">
        <v>124</v>
      </c>
      <c r="G71" s="138">
        <v>1</v>
      </c>
      <c r="H71" s="136">
        <v>0</v>
      </c>
      <c r="I71" s="136">
        <v>0</v>
      </c>
      <c r="J71" s="136">
        <v>0</v>
      </c>
      <c r="K71" s="139">
        <v>41760</v>
      </c>
      <c r="L71" s="139">
        <v>42369</v>
      </c>
      <c r="M71" s="136" t="s">
        <v>39</v>
      </c>
      <c r="N71" s="136"/>
      <c r="O71" s="136" t="s">
        <v>120</v>
      </c>
      <c r="P71" s="136"/>
      <c r="Q71" s="336"/>
      <c r="R71" s="397"/>
      <c r="S71" s="336"/>
      <c r="T71" s="336"/>
      <c r="U71" s="336"/>
      <c r="V71" s="141"/>
      <c r="W71" s="340"/>
      <c r="X71" s="140"/>
      <c r="Y71" s="136"/>
      <c r="Z71" s="136"/>
      <c r="AA71" s="336"/>
      <c r="AB71" s="136"/>
      <c r="AC71" s="141"/>
      <c r="AD71" s="126"/>
      <c r="AE71" s="142" t="s">
        <v>120</v>
      </c>
      <c r="AF71" s="136">
        <v>1</v>
      </c>
      <c r="AG71" s="397">
        <f t="shared" si="108"/>
        <v>4018.5323998193271</v>
      </c>
      <c r="AH71" s="336">
        <f t="shared" si="109"/>
        <v>4018.5323998193271</v>
      </c>
      <c r="AI71" s="336">
        <f t="shared" si="110"/>
        <v>5395.6834532374105</v>
      </c>
      <c r="AJ71" s="336">
        <f t="shared" si="111"/>
        <v>5395.6834532374105</v>
      </c>
      <c r="AK71" s="336">
        <v>15000</v>
      </c>
      <c r="AL71" s="141">
        <f t="shared" si="112"/>
        <v>15000</v>
      </c>
      <c r="AM71" s="340"/>
      <c r="AN71" s="140">
        <f t="shared" ref="AN71" si="123">+AH71</f>
        <v>4018.5323998193271</v>
      </c>
      <c r="AO71" s="136">
        <v>0</v>
      </c>
      <c r="AP71" s="136">
        <v>0</v>
      </c>
      <c r="AQ71" s="336">
        <f t="shared" si="80"/>
        <v>4018.5323998193271</v>
      </c>
      <c r="AR71" s="136">
        <f t="shared" ref="AR71" si="124">+$C$4</f>
        <v>1.3427</v>
      </c>
      <c r="AS71" s="141">
        <f t="shared" ref="AS71" si="125">+AN71*$C$4</f>
        <v>5395.6834532374105</v>
      </c>
      <c r="AT71" s="126"/>
      <c r="AU71" s="140">
        <v>0</v>
      </c>
      <c r="AV71" s="136">
        <v>0</v>
      </c>
      <c r="AW71" s="136">
        <v>0</v>
      </c>
      <c r="AX71" s="336">
        <f t="shared" si="115"/>
        <v>0</v>
      </c>
      <c r="AY71" s="136">
        <f t="shared" ref="AY71" si="126">+$C$4</f>
        <v>1.3427</v>
      </c>
      <c r="AZ71" s="141">
        <f>+AU71*$C$4</f>
        <v>0</v>
      </c>
      <c r="BA71" s="340"/>
      <c r="BB71" s="140">
        <v>0</v>
      </c>
      <c r="BC71" s="136">
        <v>0</v>
      </c>
      <c r="BD71" s="136">
        <v>0</v>
      </c>
      <c r="BE71" s="336">
        <f t="shared" ref="BE71" si="127">SUM(BB71:BD71)</f>
        <v>0</v>
      </c>
      <c r="BF71" s="136">
        <f t="shared" ref="BF71" si="128">+$C$4</f>
        <v>1.3427</v>
      </c>
      <c r="BG71" s="141">
        <f>+BB71*$C$4</f>
        <v>0</v>
      </c>
      <c r="BH71" s="126"/>
      <c r="BI71" s="140"/>
      <c r="BJ71" s="136"/>
      <c r="BK71" s="136"/>
      <c r="BL71" s="141"/>
      <c r="BM71" s="142"/>
      <c r="BN71" s="141"/>
    </row>
    <row r="72" spans="2:66" ht="30" customHeight="1">
      <c r="B72" s="424" t="s">
        <v>232</v>
      </c>
      <c r="C72" s="443" t="s">
        <v>420</v>
      </c>
      <c r="D72" s="427"/>
      <c r="E72" s="379"/>
      <c r="F72" s="406"/>
      <c r="G72" s="379"/>
      <c r="H72" s="379"/>
      <c r="I72" s="379"/>
      <c r="J72" s="379"/>
      <c r="K72" s="379"/>
      <c r="L72" s="379"/>
      <c r="M72" s="406"/>
      <c r="N72" s="379"/>
      <c r="O72" s="379"/>
      <c r="P72" s="379"/>
      <c r="Q72" s="378"/>
      <c r="R72" s="396"/>
      <c r="S72" s="378"/>
      <c r="T72" s="378"/>
      <c r="U72" s="378"/>
      <c r="V72" s="376"/>
      <c r="W72" s="373"/>
      <c r="X72" s="374"/>
      <c r="Y72" s="379"/>
      <c r="Z72" s="379"/>
      <c r="AA72" s="378"/>
      <c r="AB72" s="379"/>
      <c r="AC72" s="376"/>
      <c r="AD72" s="126"/>
      <c r="AE72" s="377"/>
      <c r="AF72" s="379"/>
      <c r="AG72" s="396"/>
      <c r="AH72" s="378">
        <f>+AH73+AH76</f>
        <v>5893.8475197350126</v>
      </c>
      <c r="AI72" s="378"/>
      <c r="AJ72" s="378">
        <f>+AJ73+AJ76</f>
        <v>7913.6690647482028</v>
      </c>
      <c r="AK72" s="378"/>
      <c r="AL72" s="376">
        <f>+AL73+AL76</f>
        <v>22000</v>
      </c>
      <c r="AM72" s="340"/>
      <c r="AN72" s="374">
        <f>+AN73+AN76</f>
        <v>5893.8475197350126</v>
      </c>
      <c r="AO72" s="378">
        <f>+AO73+AO76</f>
        <v>0</v>
      </c>
      <c r="AP72" s="378">
        <f>+AP73+AP76</f>
        <v>0</v>
      </c>
      <c r="AQ72" s="378">
        <f>+AQ73+AQ76</f>
        <v>5893.8475197350126</v>
      </c>
      <c r="AR72" s="379"/>
      <c r="AS72" s="376">
        <f>+AS73+AS76</f>
        <v>7913.6690647482028</v>
      </c>
      <c r="AT72" s="126"/>
      <c r="AU72" s="374">
        <f>+AU73+AU76</f>
        <v>0</v>
      </c>
      <c r="AV72" s="378">
        <f t="shared" ref="AV72:AW72" si="129">SUM(AV74:AV75)</f>
        <v>0</v>
      </c>
      <c r="AW72" s="378">
        <f t="shared" si="129"/>
        <v>0</v>
      </c>
      <c r="AX72" s="378">
        <f>+AX73+AX76</f>
        <v>0</v>
      </c>
      <c r="AY72" s="379"/>
      <c r="AZ72" s="376">
        <f>+AZ73+AZ76</f>
        <v>0</v>
      </c>
      <c r="BA72" s="340"/>
      <c r="BB72" s="374">
        <f>+BB73+BB76</f>
        <v>3500</v>
      </c>
      <c r="BC72" s="378">
        <f t="shared" ref="BC72:BD72" si="130">SUM(BC74:BC75)</f>
        <v>0</v>
      </c>
      <c r="BD72" s="378">
        <f t="shared" si="130"/>
        <v>0</v>
      </c>
      <c r="BE72" s="378">
        <f>+BE73+BE76</f>
        <v>3500</v>
      </c>
      <c r="BF72" s="379"/>
      <c r="BG72" s="376">
        <f>+BG73+BG76</f>
        <v>4699.45</v>
      </c>
      <c r="BH72" s="126"/>
      <c r="BI72" s="374"/>
      <c r="BJ72" s="379"/>
      <c r="BK72" s="379"/>
      <c r="BL72" s="376"/>
      <c r="BM72" s="377"/>
      <c r="BN72" s="376"/>
    </row>
    <row r="73" spans="2:66" ht="15" customHeight="1">
      <c r="B73" s="425" t="s">
        <v>392</v>
      </c>
      <c r="C73" s="447" t="s">
        <v>426</v>
      </c>
      <c r="D73" s="428"/>
      <c r="E73" s="361"/>
      <c r="F73" s="411"/>
      <c r="G73" s="361"/>
      <c r="H73" s="361"/>
      <c r="I73" s="361"/>
      <c r="J73" s="361"/>
      <c r="K73" s="361"/>
      <c r="L73" s="361"/>
      <c r="M73" s="411"/>
      <c r="N73" s="361"/>
      <c r="O73" s="361"/>
      <c r="P73" s="361"/>
      <c r="Q73" s="360"/>
      <c r="R73" s="398"/>
      <c r="S73" s="360"/>
      <c r="T73" s="360"/>
      <c r="U73" s="360"/>
      <c r="V73" s="329"/>
      <c r="W73" s="340"/>
      <c r="X73" s="328"/>
      <c r="Y73" s="361"/>
      <c r="Z73" s="361"/>
      <c r="AA73" s="360"/>
      <c r="AB73" s="361"/>
      <c r="AC73" s="329"/>
      <c r="AD73" s="126"/>
      <c r="AE73" s="330"/>
      <c r="AF73" s="361"/>
      <c r="AG73" s="398"/>
      <c r="AH73" s="360">
        <f>SUM(AH74:AH75)</f>
        <v>2411.1194398915964</v>
      </c>
      <c r="AI73" s="360"/>
      <c r="AJ73" s="360">
        <f>SUM(AJ74:AJ75)</f>
        <v>3237.4100719424464</v>
      </c>
      <c r="AK73" s="360"/>
      <c r="AL73" s="329">
        <f>SUM(AL74:AL75)</f>
        <v>9000</v>
      </c>
      <c r="AM73" s="340"/>
      <c r="AN73" s="328">
        <f>SUM(AN74:AN75)</f>
        <v>2411.1194398915964</v>
      </c>
      <c r="AO73" s="360">
        <f>SUM(AO74:AO75)</f>
        <v>0</v>
      </c>
      <c r="AP73" s="360">
        <f>SUM(AP74:AP75)</f>
        <v>0</v>
      </c>
      <c r="AQ73" s="360">
        <f>SUM(AQ74:AQ75)</f>
        <v>2411.1194398915964</v>
      </c>
      <c r="AR73" s="361"/>
      <c r="AS73" s="329">
        <f>SUM(AS74:AS75)</f>
        <v>3237.4100719424464</v>
      </c>
      <c r="AT73" s="126"/>
      <c r="AU73" s="328">
        <f>SUM(AU74:AU75)</f>
        <v>0</v>
      </c>
      <c r="AV73" s="360">
        <f>SUM(AV74:AV75)</f>
        <v>0</v>
      </c>
      <c r="AW73" s="360">
        <f>SUM(AW74:AW75)</f>
        <v>0</v>
      </c>
      <c r="AX73" s="360">
        <f>SUM(AX74:AX75)</f>
        <v>0</v>
      </c>
      <c r="AY73" s="361"/>
      <c r="AZ73" s="329">
        <f>SUM(AZ74:AZ75)</f>
        <v>0</v>
      </c>
      <c r="BA73" s="340"/>
      <c r="BB73" s="328">
        <f>SUM(BB74:BB75)</f>
        <v>3500</v>
      </c>
      <c r="BC73" s="360">
        <f>SUM(BC74:BC75)</f>
        <v>0</v>
      </c>
      <c r="BD73" s="360">
        <f>SUM(BD74:BD75)</f>
        <v>0</v>
      </c>
      <c r="BE73" s="360">
        <f>SUM(BE74:BE75)</f>
        <v>3500</v>
      </c>
      <c r="BF73" s="361"/>
      <c r="BG73" s="329">
        <f>SUM(BG74:BG75)</f>
        <v>4699.45</v>
      </c>
      <c r="BH73" s="126"/>
      <c r="BI73" s="133"/>
      <c r="BJ73" s="132"/>
      <c r="BK73" s="132"/>
      <c r="BL73" s="134"/>
      <c r="BM73" s="135"/>
      <c r="BN73" s="134"/>
    </row>
    <row r="74" spans="2:66" ht="21" customHeight="1">
      <c r="B74" s="335" t="s">
        <v>430</v>
      </c>
      <c r="C74" s="446" t="s">
        <v>421</v>
      </c>
      <c r="D74" s="137"/>
      <c r="E74" s="136" t="s">
        <v>126</v>
      </c>
      <c r="F74" s="136" t="s">
        <v>124</v>
      </c>
      <c r="G74" s="138">
        <v>1</v>
      </c>
      <c r="H74" s="136">
        <v>0</v>
      </c>
      <c r="I74" s="136">
        <v>0</v>
      </c>
      <c r="J74" s="136">
        <v>0</v>
      </c>
      <c r="K74" s="139">
        <v>41699</v>
      </c>
      <c r="L74" s="139">
        <v>41790</v>
      </c>
      <c r="M74" s="136" t="s">
        <v>39</v>
      </c>
      <c r="N74" s="306" t="s">
        <v>422</v>
      </c>
      <c r="O74" s="136" t="s">
        <v>120</v>
      </c>
      <c r="P74" s="136"/>
      <c r="Q74" s="336"/>
      <c r="R74" s="397"/>
      <c r="S74" s="336"/>
      <c r="T74" s="336"/>
      <c r="U74" s="336"/>
      <c r="V74" s="141"/>
      <c r="W74" s="340"/>
      <c r="X74" s="140"/>
      <c r="Y74" s="136"/>
      <c r="Z74" s="136"/>
      <c r="AA74" s="336"/>
      <c r="AB74" s="136"/>
      <c r="AC74" s="141"/>
      <c r="AD74" s="126"/>
      <c r="AE74" s="142" t="s">
        <v>120</v>
      </c>
      <c r="AF74" s="136">
        <v>1</v>
      </c>
      <c r="AG74" s="397">
        <f t="shared" ref="AG74:AG83" si="131">+AI74/$C$4</f>
        <v>1339.5107999397758</v>
      </c>
      <c r="AH74" s="336">
        <f t="shared" ref="AH74:AH81" si="132">AF74*AG74</f>
        <v>1339.5107999397758</v>
      </c>
      <c r="AI74" s="336">
        <f t="shared" ref="AI74:AI81" si="133">+AK74/$C$2</f>
        <v>1798.5611510791368</v>
      </c>
      <c r="AJ74" s="336">
        <f t="shared" ref="AJ74:AJ81" si="134">+AF74*AI74</f>
        <v>1798.5611510791368</v>
      </c>
      <c r="AK74" s="336">
        <v>5000</v>
      </c>
      <c r="AL74" s="141">
        <f t="shared" ref="AL74:AL83" si="135">+AF74*AK74</f>
        <v>5000</v>
      </c>
      <c r="AM74" s="340"/>
      <c r="AN74" s="140">
        <f t="shared" ref="AN74:AN75" si="136">+AH74</f>
        <v>1339.5107999397758</v>
      </c>
      <c r="AO74" s="136">
        <v>0</v>
      </c>
      <c r="AP74" s="136">
        <v>0</v>
      </c>
      <c r="AQ74" s="336">
        <f t="shared" ref="AQ74:AQ75" si="137">SUM(AN74:AP74)</f>
        <v>1339.5107999397758</v>
      </c>
      <c r="AR74" s="136">
        <f t="shared" ref="AR74:AR81" si="138">+$C$4</f>
        <v>1.3427</v>
      </c>
      <c r="AS74" s="141">
        <f t="shared" ref="AS74:AS75" si="139">+AN74*$C$4</f>
        <v>1798.5611510791368</v>
      </c>
      <c r="AT74" s="126"/>
      <c r="AU74" s="140">
        <v>0</v>
      </c>
      <c r="AV74" s="136">
        <v>0</v>
      </c>
      <c r="AW74" s="136">
        <v>0</v>
      </c>
      <c r="AX74" s="336">
        <f t="shared" ref="AX74:AX75" si="140">SUM(AU74:AW74)</f>
        <v>0</v>
      </c>
      <c r="AY74" s="136">
        <f t="shared" ref="AY74:AY75" si="141">+$C$4</f>
        <v>1.3427</v>
      </c>
      <c r="AZ74" s="141">
        <f t="shared" ref="AZ74:AZ75" si="142">+AU74*$C$4</f>
        <v>0</v>
      </c>
      <c r="BA74" s="340"/>
      <c r="BB74" s="140">
        <v>1500</v>
      </c>
      <c r="BC74" s="136">
        <v>0</v>
      </c>
      <c r="BD74" s="136">
        <v>0</v>
      </c>
      <c r="BE74" s="336">
        <f t="shared" ref="BE74:BE75" si="143">SUM(BB74:BD74)</f>
        <v>1500</v>
      </c>
      <c r="BF74" s="136">
        <f t="shared" ref="BF74:BF75" si="144">+$C$4</f>
        <v>1.3427</v>
      </c>
      <c r="BG74" s="141">
        <f t="shared" ref="BG74:BG75" si="145">+BB74*$C$4</f>
        <v>2014.05</v>
      </c>
      <c r="BH74" s="126"/>
      <c r="BI74" s="140"/>
      <c r="BJ74" s="136"/>
      <c r="BK74" s="136"/>
      <c r="BL74" s="141"/>
      <c r="BM74" s="142"/>
      <c r="BN74" s="141"/>
    </row>
    <row r="75" spans="2:66" ht="29.25" customHeight="1">
      <c r="B75" s="335" t="s">
        <v>431</v>
      </c>
      <c r="C75" s="446" t="s">
        <v>423</v>
      </c>
      <c r="D75" s="137"/>
      <c r="E75" s="136" t="s">
        <v>126</v>
      </c>
      <c r="F75" s="136" t="s">
        <v>124</v>
      </c>
      <c r="G75" s="138">
        <v>1</v>
      </c>
      <c r="H75" s="136">
        <v>0</v>
      </c>
      <c r="I75" s="136">
        <v>0</v>
      </c>
      <c r="J75" s="136">
        <v>0</v>
      </c>
      <c r="K75" s="139">
        <v>41791</v>
      </c>
      <c r="L75" s="139" t="s">
        <v>410</v>
      </c>
      <c r="M75" s="136" t="s">
        <v>39</v>
      </c>
      <c r="N75" s="306" t="s">
        <v>424</v>
      </c>
      <c r="O75" s="136" t="s">
        <v>120</v>
      </c>
      <c r="P75" s="136"/>
      <c r="Q75" s="336"/>
      <c r="R75" s="397"/>
      <c r="S75" s="336"/>
      <c r="T75" s="336"/>
      <c r="U75" s="336"/>
      <c r="V75" s="141"/>
      <c r="W75" s="340"/>
      <c r="X75" s="140"/>
      <c r="Y75" s="136"/>
      <c r="Z75" s="136"/>
      <c r="AA75" s="336"/>
      <c r="AB75" s="136"/>
      <c r="AC75" s="141"/>
      <c r="AD75" s="126"/>
      <c r="AE75" s="142" t="s">
        <v>120</v>
      </c>
      <c r="AF75" s="136">
        <v>1</v>
      </c>
      <c r="AG75" s="397">
        <f t="shared" si="131"/>
        <v>1071.6086399518206</v>
      </c>
      <c r="AH75" s="336">
        <f t="shared" si="132"/>
        <v>1071.6086399518206</v>
      </c>
      <c r="AI75" s="336">
        <f t="shared" si="133"/>
        <v>1438.8489208633096</v>
      </c>
      <c r="AJ75" s="336">
        <f t="shared" si="134"/>
        <v>1438.8489208633096</v>
      </c>
      <c r="AK75" s="336">
        <v>4000</v>
      </c>
      <c r="AL75" s="141">
        <f t="shared" si="135"/>
        <v>4000</v>
      </c>
      <c r="AM75" s="340"/>
      <c r="AN75" s="140">
        <f t="shared" si="136"/>
        <v>1071.6086399518206</v>
      </c>
      <c r="AO75" s="136">
        <v>0</v>
      </c>
      <c r="AP75" s="136">
        <v>0</v>
      </c>
      <c r="AQ75" s="336">
        <f t="shared" si="137"/>
        <v>1071.6086399518206</v>
      </c>
      <c r="AR75" s="136">
        <f t="shared" si="138"/>
        <v>1.3427</v>
      </c>
      <c r="AS75" s="141">
        <f t="shared" si="139"/>
        <v>1438.8489208633096</v>
      </c>
      <c r="AT75" s="126"/>
      <c r="AU75" s="140">
        <v>0</v>
      </c>
      <c r="AV75" s="136">
        <v>0</v>
      </c>
      <c r="AW75" s="136">
        <v>0</v>
      </c>
      <c r="AX75" s="336">
        <f t="shared" si="140"/>
        <v>0</v>
      </c>
      <c r="AY75" s="136">
        <f t="shared" si="141"/>
        <v>1.3427</v>
      </c>
      <c r="AZ75" s="141">
        <f t="shared" si="142"/>
        <v>0</v>
      </c>
      <c r="BA75" s="340"/>
      <c r="BB75" s="140">
        <v>2000</v>
      </c>
      <c r="BC75" s="136">
        <v>0</v>
      </c>
      <c r="BD75" s="136">
        <v>0</v>
      </c>
      <c r="BE75" s="336">
        <f t="shared" si="143"/>
        <v>2000</v>
      </c>
      <c r="BF75" s="136">
        <f t="shared" si="144"/>
        <v>1.3427</v>
      </c>
      <c r="BG75" s="141">
        <f t="shared" si="145"/>
        <v>2685.4</v>
      </c>
      <c r="BH75" s="126"/>
      <c r="BI75" s="140"/>
      <c r="BJ75" s="136"/>
      <c r="BK75" s="136"/>
      <c r="BL75" s="141"/>
      <c r="BM75" s="142"/>
      <c r="BN75" s="141"/>
    </row>
    <row r="76" spans="2:66" ht="15" customHeight="1">
      <c r="B76" s="425" t="s">
        <v>425</v>
      </c>
      <c r="C76" s="447" t="s">
        <v>427</v>
      </c>
      <c r="D76" s="428"/>
      <c r="E76" s="361"/>
      <c r="F76" s="361"/>
      <c r="G76" s="407"/>
      <c r="H76" s="361"/>
      <c r="I76" s="361"/>
      <c r="J76" s="361"/>
      <c r="K76" s="361"/>
      <c r="L76" s="361"/>
      <c r="M76" s="411"/>
      <c r="N76" s="412"/>
      <c r="O76" s="361"/>
      <c r="P76" s="361"/>
      <c r="Q76" s="360"/>
      <c r="R76" s="398"/>
      <c r="S76" s="360"/>
      <c r="T76" s="360"/>
      <c r="U76" s="360"/>
      <c r="V76" s="329"/>
      <c r="W76" s="340"/>
      <c r="X76" s="328"/>
      <c r="Y76" s="361"/>
      <c r="Z76" s="361"/>
      <c r="AA76" s="360"/>
      <c r="AB76" s="361"/>
      <c r="AC76" s="329"/>
      <c r="AD76" s="126"/>
      <c r="AE76" s="330"/>
      <c r="AF76" s="361"/>
      <c r="AG76" s="398"/>
      <c r="AH76" s="360">
        <f>SUM(AH77:AH78)</f>
        <v>3482.7280798434167</v>
      </c>
      <c r="AI76" s="360"/>
      <c r="AJ76" s="360">
        <f>SUM(AJ77:AJ78)</f>
        <v>4676.258992805756</v>
      </c>
      <c r="AK76" s="360"/>
      <c r="AL76" s="329">
        <f>SUM(AL77:AL78)</f>
        <v>13000</v>
      </c>
      <c r="AM76" s="340"/>
      <c r="AN76" s="328">
        <f>SUM(AN77:AN78)</f>
        <v>3482.7280798434167</v>
      </c>
      <c r="AO76" s="361">
        <f>SUM(AO77:AO78)</f>
        <v>0</v>
      </c>
      <c r="AP76" s="361">
        <f>SUM(AP77:AP78)</f>
        <v>0</v>
      </c>
      <c r="AQ76" s="360">
        <f>SUM(AQ77:AQ78)</f>
        <v>3482.7280798434167</v>
      </c>
      <c r="AR76" s="361"/>
      <c r="AS76" s="329">
        <f>SUM(AS77:AS78)</f>
        <v>4676.258992805756</v>
      </c>
      <c r="AT76" s="126"/>
      <c r="AU76" s="328">
        <f>SUM(AU77:AU78)</f>
        <v>0</v>
      </c>
      <c r="AV76" s="361">
        <f>SUM(AV77:AV78)</f>
        <v>0</v>
      </c>
      <c r="AW76" s="361">
        <f>SUM(AW77:AW78)</f>
        <v>0</v>
      </c>
      <c r="AX76" s="360">
        <f>SUM(AX77:AX78)</f>
        <v>0</v>
      </c>
      <c r="AY76" s="361"/>
      <c r="AZ76" s="329">
        <f>SUM(AZ77:AZ78)</f>
        <v>0</v>
      </c>
      <c r="BA76" s="340"/>
      <c r="BB76" s="328">
        <f>SUM(BB77:BB78)</f>
        <v>0</v>
      </c>
      <c r="BC76" s="361">
        <f>SUM(BC77:BC78)</f>
        <v>0</v>
      </c>
      <c r="BD76" s="361">
        <f>SUM(BD77:BD78)</f>
        <v>0</v>
      </c>
      <c r="BE76" s="360">
        <f>SUM(BE77:BE78)</f>
        <v>0</v>
      </c>
      <c r="BF76" s="361"/>
      <c r="BG76" s="329">
        <f>SUM(BG77:BG78)</f>
        <v>0</v>
      </c>
      <c r="BH76" s="126"/>
      <c r="BI76" s="140"/>
      <c r="BJ76" s="136"/>
      <c r="BK76" s="136"/>
      <c r="BL76" s="141"/>
      <c r="BM76" s="142"/>
      <c r="BN76" s="141"/>
    </row>
    <row r="77" spans="2:66" s="160" customFormat="1" ht="22.5" customHeight="1">
      <c r="B77" s="335" t="s">
        <v>432</v>
      </c>
      <c r="C77" s="446" t="s">
        <v>428</v>
      </c>
      <c r="D77" s="137"/>
      <c r="E77" s="136" t="s">
        <v>126</v>
      </c>
      <c r="F77" s="136" t="s">
        <v>124</v>
      </c>
      <c r="G77" s="138">
        <v>1</v>
      </c>
      <c r="H77" s="136">
        <v>0</v>
      </c>
      <c r="I77" s="136">
        <v>0</v>
      </c>
      <c r="J77" s="136">
        <v>0</v>
      </c>
      <c r="K77" s="139">
        <v>42278</v>
      </c>
      <c r="L77" s="139">
        <v>42308</v>
      </c>
      <c r="M77" s="136" t="s">
        <v>39</v>
      </c>
      <c r="N77" s="306"/>
      <c r="O77" s="136" t="s">
        <v>120</v>
      </c>
      <c r="P77" s="136"/>
      <c r="Q77" s="336"/>
      <c r="R77" s="397"/>
      <c r="S77" s="336"/>
      <c r="T77" s="336"/>
      <c r="U77" s="336"/>
      <c r="V77" s="141"/>
      <c r="W77" s="340"/>
      <c r="X77" s="140"/>
      <c r="Y77" s="136"/>
      <c r="Z77" s="136"/>
      <c r="AA77" s="336"/>
      <c r="AB77" s="136"/>
      <c r="AC77" s="141"/>
      <c r="AD77" s="344"/>
      <c r="AE77" s="142" t="s">
        <v>120</v>
      </c>
      <c r="AF77" s="136">
        <v>1</v>
      </c>
      <c r="AG77" s="397">
        <f t="shared" si="131"/>
        <v>2143.2172799036412</v>
      </c>
      <c r="AH77" s="336">
        <f t="shared" si="132"/>
        <v>2143.2172799036412</v>
      </c>
      <c r="AI77" s="336">
        <f t="shared" si="133"/>
        <v>2877.6978417266191</v>
      </c>
      <c r="AJ77" s="336">
        <f t="shared" si="134"/>
        <v>2877.6978417266191</v>
      </c>
      <c r="AK77" s="336">
        <v>8000</v>
      </c>
      <c r="AL77" s="141">
        <f t="shared" si="135"/>
        <v>8000</v>
      </c>
      <c r="AM77" s="340"/>
      <c r="AN77" s="140">
        <f t="shared" ref="AN77:AN78" si="146">+AH77</f>
        <v>2143.2172799036412</v>
      </c>
      <c r="AO77" s="136">
        <v>0</v>
      </c>
      <c r="AP77" s="136">
        <v>0</v>
      </c>
      <c r="AQ77" s="336">
        <f t="shared" ref="AQ77:AQ78" si="147">SUM(AN77:AP77)</f>
        <v>2143.2172799036412</v>
      </c>
      <c r="AR77" s="136">
        <f t="shared" si="138"/>
        <v>1.3427</v>
      </c>
      <c r="AS77" s="141">
        <f t="shared" ref="AS77:AS78" si="148">+AN77*$C$4</f>
        <v>2877.6978417266191</v>
      </c>
      <c r="AT77" s="126"/>
      <c r="AU77" s="140">
        <v>0</v>
      </c>
      <c r="AV77" s="136">
        <v>0</v>
      </c>
      <c r="AW77" s="136">
        <v>0</v>
      </c>
      <c r="AX77" s="336">
        <f t="shared" ref="AX77:AX78" si="149">SUM(AU77:AW77)</f>
        <v>0</v>
      </c>
      <c r="AY77" s="136">
        <f t="shared" ref="AY77:AY78" si="150">+$C$4</f>
        <v>1.3427</v>
      </c>
      <c r="AZ77" s="141">
        <f t="shared" ref="AZ77:AZ78" si="151">+AU77*$C$4</f>
        <v>0</v>
      </c>
      <c r="BA77" s="340"/>
      <c r="BB77" s="140">
        <v>0</v>
      </c>
      <c r="BC77" s="136">
        <v>0</v>
      </c>
      <c r="BD77" s="136">
        <v>0</v>
      </c>
      <c r="BE77" s="336">
        <f t="shared" ref="BE77:BE78" si="152">SUM(BB77:BD77)</f>
        <v>0</v>
      </c>
      <c r="BF77" s="136">
        <f t="shared" ref="BF77:BF78" si="153">+$C$4</f>
        <v>1.3427</v>
      </c>
      <c r="BG77" s="141">
        <f t="shared" ref="BG77:BG78" si="154">+BB77*$C$4</f>
        <v>0</v>
      </c>
      <c r="BH77" s="337"/>
      <c r="BI77" s="140"/>
      <c r="BJ77" s="136"/>
      <c r="BK77" s="136"/>
      <c r="BL77" s="141"/>
      <c r="BM77" s="142"/>
      <c r="BN77" s="141"/>
    </row>
    <row r="78" spans="2:66" s="160" customFormat="1" ht="22.5" customHeight="1">
      <c r="B78" s="335" t="s">
        <v>432</v>
      </c>
      <c r="C78" s="446" t="s">
        <v>429</v>
      </c>
      <c r="D78" s="137"/>
      <c r="E78" s="136" t="s">
        <v>126</v>
      </c>
      <c r="F78" s="136" t="s">
        <v>124</v>
      </c>
      <c r="G78" s="138">
        <v>1</v>
      </c>
      <c r="H78" s="136">
        <v>0</v>
      </c>
      <c r="I78" s="136">
        <v>0</v>
      </c>
      <c r="J78" s="136">
        <v>0</v>
      </c>
      <c r="K78" s="139">
        <v>42309</v>
      </c>
      <c r="L78" s="139">
        <v>42328</v>
      </c>
      <c r="M78" s="136" t="s">
        <v>39</v>
      </c>
      <c r="N78" s="306"/>
      <c r="O78" s="136" t="s">
        <v>120</v>
      </c>
      <c r="P78" s="136"/>
      <c r="Q78" s="336"/>
      <c r="R78" s="397"/>
      <c r="S78" s="336"/>
      <c r="T78" s="336"/>
      <c r="U78" s="336"/>
      <c r="V78" s="141"/>
      <c r="W78" s="340"/>
      <c r="X78" s="140"/>
      <c r="Y78" s="136"/>
      <c r="Z78" s="136"/>
      <c r="AA78" s="336"/>
      <c r="AB78" s="136"/>
      <c r="AC78" s="141"/>
      <c r="AD78" s="344"/>
      <c r="AE78" s="142" t="s">
        <v>120</v>
      </c>
      <c r="AF78" s="136">
        <v>1</v>
      </c>
      <c r="AG78" s="397">
        <f t="shared" si="131"/>
        <v>1339.5107999397758</v>
      </c>
      <c r="AH78" s="336">
        <f t="shared" si="132"/>
        <v>1339.5107999397758</v>
      </c>
      <c r="AI78" s="336">
        <f t="shared" si="133"/>
        <v>1798.5611510791368</v>
      </c>
      <c r="AJ78" s="336">
        <f t="shared" si="134"/>
        <v>1798.5611510791368</v>
      </c>
      <c r="AK78" s="336">
        <v>5000</v>
      </c>
      <c r="AL78" s="141">
        <f t="shared" si="135"/>
        <v>5000</v>
      </c>
      <c r="AM78" s="340"/>
      <c r="AN78" s="140">
        <f t="shared" si="146"/>
        <v>1339.5107999397758</v>
      </c>
      <c r="AO78" s="136">
        <v>0</v>
      </c>
      <c r="AP78" s="136">
        <v>0</v>
      </c>
      <c r="AQ78" s="336">
        <f t="shared" si="147"/>
        <v>1339.5107999397758</v>
      </c>
      <c r="AR78" s="136">
        <f t="shared" si="138"/>
        <v>1.3427</v>
      </c>
      <c r="AS78" s="141">
        <f t="shared" si="148"/>
        <v>1798.5611510791368</v>
      </c>
      <c r="AT78" s="126"/>
      <c r="AU78" s="140">
        <v>0</v>
      </c>
      <c r="AV78" s="136">
        <v>0</v>
      </c>
      <c r="AW78" s="136">
        <v>0</v>
      </c>
      <c r="AX78" s="336">
        <f t="shared" si="149"/>
        <v>0</v>
      </c>
      <c r="AY78" s="136">
        <f t="shared" si="150"/>
        <v>1.3427</v>
      </c>
      <c r="AZ78" s="141">
        <f t="shared" si="151"/>
        <v>0</v>
      </c>
      <c r="BA78" s="340"/>
      <c r="BB78" s="140">
        <v>0</v>
      </c>
      <c r="BC78" s="136">
        <v>0</v>
      </c>
      <c r="BD78" s="136">
        <v>0</v>
      </c>
      <c r="BE78" s="336">
        <f t="shared" si="152"/>
        <v>0</v>
      </c>
      <c r="BF78" s="136">
        <f t="shared" si="153"/>
        <v>1.3427</v>
      </c>
      <c r="BG78" s="141">
        <f t="shared" si="154"/>
        <v>0</v>
      </c>
      <c r="BH78" s="337"/>
      <c r="BI78" s="140"/>
      <c r="BJ78" s="136"/>
      <c r="BK78" s="136"/>
      <c r="BL78" s="141"/>
      <c r="BM78" s="142"/>
      <c r="BN78" s="141"/>
    </row>
    <row r="79" spans="2:66" ht="30" customHeight="1">
      <c r="B79" s="424" t="s">
        <v>233</v>
      </c>
      <c r="C79" s="443" t="s">
        <v>160</v>
      </c>
      <c r="D79" s="427"/>
      <c r="E79" s="379"/>
      <c r="F79" s="406"/>
      <c r="G79" s="379"/>
      <c r="H79" s="379"/>
      <c r="I79" s="379"/>
      <c r="J79" s="379"/>
      <c r="K79" s="379"/>
      <c r="L79" s="379"/>
      <c r="M79" s="406"/>
      <c r="N79" s="379"/>
      <c r="O79" s="379"/>
      <c r="P79" s="379"/>
      <c r="Q79" s="378"/>
      <c r="R79" s="396"/>
      <c r="S79" s="378"/>
      <c r="T79" s="378"/>
      <c r="U79" s="378"/>
      <c r="V79" s="376"/>
      <c r="W79" s="373"/>
      <c r="X79" s="374"/>
      <c r="Y79" s="379"/>
      <c r="Z79" s="379"/>
      <c r="AA79" s="378"/>
      <c r="AB79" s="379"/>
      <c r="AC79" s="376"/>
      <c r="AD79" s="126"/>
      <c r="AE79" s="377"/>
      <c r="AF79" s="379"/>
      <c r="AG79" s="396"/>
      <c r="AH79" s="378">
        <f>SUM(AH80:AH81)</f>
        <v>6831.5050796928554</v>
      </c>
      <c r="AI79" s="378"/>
      <c r="AJ79" s="378">
        <f>SUM(AJ80:AJ81)</f>
        <v>9172.661870503598</v>
      </c>
      <c r="AK79" s="378"/>
      <c r="AL79" s="376">
        <f>SUM(AL80:AL81)</f>
        <v>25500</v>
      </c>
      <c r="AM79" s="340"/>
      <c r="AN79" s="374">
        <f>SUM(AN80:AN81)</f>
        <v>6831.5050796928554</v>
      </c>
      <c r="AO79" s="378">
        <f>SUM(AO80:AO81)</f>
        <v>0</v>
      </c>
      <c r="AP79" s="378">
        <f>SUM(AP80:AP81)</f>
        <v>0</v>
      </c>
      <c r="AQ79" s="378">
        <f>SUM(AQ80:AQ81)</f>
        <v>6831.5050796928554</v>
      </c>
      <c r="AR79" s="379"/>
      <c r="AS79" s="376">
        <f>SUM(AS80:AS81)</f>
        <v>9172.661870503598</v>
      </c>
      <c r="AT79" s="126"/>
      <c r="AU79" s="374">
        <f>SUM(AU80:AU81)</f>
        <v>0</v>
      </c>
      <c r="AV79" s="378">
        <f t="shared" ref="AV79:AW79" si="155">SUM(AV80:AV81)</f>
        <v>0</v>
      </c>
      <c r="AW79" s="378">
        <f t="shared" si="155"/>
        <v>0</v>
      </c>
      <c r="AX79" s="378">
        <f>SUM(AX80:AX81)</f>
        <v>0</v>
      </c>
      <c r="AY79" s="379"/>
      <c r="AZ79" s="376">
        <f>SUM(AZ80:AZ81)</f>
        <v>0</v>
      </c>
      <c r="BA79" s="340"/>
      <c r="BB79" s="374">
        <f>SUM(BB80:BB81)</f>
        <v>0</v>
      </c>
      <c r="BC79" s="378">
        <f t="shared" ref="BC79:BD79" si="156">SUM(BC80:BC81)</f>
        <v>0</v>
      </c>
      <c r="BD79" s="378">
        <f t="shared" si="156"/>
        <v>0</v>
      </c>
      <c r="BE79" s="378">
        <f>SUM(BE80:BE81)</f>
        <v>0</v>
      </c>
      <c r="BF79" s="379"/>
      <c r="BG79" s="376">
        <f>SUM(BG80:BG81)</f>
        <v>0</v>
      </c>
      <c r="BH79" s="126"/>
      <c r="BI79" s="374"/>
      <c r="BJ79" s="379"/>
      <c r="BK79" s="379"/>
      <c r="BL79" s="376"/>
      <c r="BM79" s="377"/>
      <c r="BN79" s="376"/>
    </row>
    <row r="80" spans="2:66" s="160" customFormat="1" ht="21" customHeight="1">
      <c r="B80" s="335" t="s">
        <v>393</v>
      </c>
      <c r="C80" s="446" t="s">
        <v>381</v>
      </c>
      <c r="D80" s="137"/>
      <c r="E80" s="136" t="s">
        <v>126</v>
      </c>
      <c r="F80" s="136" t="s">
        <v>124</v>
      </c>
      <c r="G80" s="138">
        <v>1</v>
      </c>
      <c r="H80" s="136">
        <v>0</v>
      </c>
      <c r="I80" s="136">
        <v>0</v>
      </c>
      <c r="J80" s="136">
        <v>0</v>
      </c>
      <c r="K80" s="139">
        <v>42278</v>
      </c>
      <c r="L80" s="139">
        <v>42308</v>
      </c>
      <c r="M80" s="136" t="s">
        <v>39</v>
      </c>
      <c r="N80" s="136"/>
      <c r="O80" s="136" t="s">
        <v>120</v>
      </c>
      <c r="P80" s="136"/>
      <c r="Q80" s="336"/>
      <c r="R80" s="397"/>
      <c r="S80" s="336"/>
      <c r="T80" s="336"/>
      <c r="U80" s="336"/>
      <c r="V80" s="141"/>
      <c r="W80" s="340"/>
      <c r="X80" s="140"/>
      <c r="Y80" s="136"/>
      <c r="Z80" s="136"/>
      <c r="AA80" s="336"/>
      <c r="AB80" s="136"/>
      <c r="AC80" s="141"/>
      <c r="AD80" s="126"/>
      <c r="AE80" s="142" t="s">
        <v>120</v>
      </c>
      <c r="AF80" s="136">
        <v>1</v>
      </c>
      <c r="AG80" s="397">
        <f t="shared" si="131"/>
        <v>6697.5539996988782</v>
      </c>
      <c r="AH80" s="336">
        <f t="shared" si="132"/>
        <v>6697.5539996988782</v>
      </c>
      <c r="AI80" s="336">
        <f t="shared" si="133"/>
        <v>8992.8057553956842</v>
      </c>
      <c r="AJ80" s="336">
        <f t="shared" si="134"/>
        <v>8992.8057553956842</v>
      </c>
      <c r="AK80" s="336">
        <v>25000</v>
      </c>
      <c r="AL80" s="141">
        <f t="shared" si="135"/>
        <v>25000</v>
      </c>
      <c r="AM80" s="340"/>
      <c r="AN80" s="140">
        <f t="shared" ref="AN80:AN81" si="157">+AH80</f>
        <v>6697.5539996988782</v>
      </c>
      <c r="AO80" s="136">
        <v>0</v>
      </c>
      <c r="AP80" s="136">
        <v>0</v>
      </c>
      <c r="AQ80" s="336">
        <f t="shared" ref="AQ80:AQ81" si="158">SUM(AN80:AP80)</f>
        <v>6697.5539996988782</v>
      </c>
      <c r="AR80" s="136">
        <f t="shared" si="138"/>
        <v>1.3427</v>
      </c>
      <c r="AS80" s="141">
        <f t="shared" ref="AS80:AS87" si="159">+AN80*$C$4</f>
        <v>8992.8057553956842</v>
      </c>
      <c r="AT80" s="126"/>
      <c r="AU80" s="140">
        <v>0</v>
      </c>
      <c r="AV80" s="136">
        <v>0</v>
      </c>
      <c r="AW80" s="136">
        <v>0</v>
      </c>
      <c r="AX80" s="336">
        <f t="shared" ref="AX80:AX81" si="160">SUM(AU80:AW80)</f>
        <v>0</v>
      </c>
      <c r="AY80" s="136">
        <f t="shared" ref="AY80:AY81" si="161">+$C$4</f>
        <v>1.3427</v>
      </c>
      <c r="AZ80" s="141">
        <f t="shared" ref="AZ80:AZ81" si="162">+AU80*$C$4</f>
        <v>0</v>
      </c>
      <c r="BA80" s="340"/>
      <c r="BB80" s="140">
        <v>0</v>
      </c>
      <c r="BC80" s="136">
        <v>0</v>
      </c>
      <c r="BD80" s="136">
        <v>0</v>
      </c>
      <c r="BE80" s="336">
        <f t="shared" ref="BE80:BE81" si="163">SUM(BB80:BD80)</f>
        <v>0</v>
      </c>
      <c r="BF80" s="136">
        <f t="shared" ref="BF80:BF81" si="164">+$C$4</f>
        <v>1.3427</v>
      </c>
      <c r="BG80" s="141">
        <f t="shared" ref="BG80:BG81" si="165">+BB80*$C$4</f>
        <v>0</v>
      </c>
      <c r="BH80" s="126"/>
      <c r="BI80" s="140"/>
      <c r="BJ80" s="136"/>
      <c r="BK80" s="136"/>
      <c r="BL80" s="141"/>
      <c r="BM80" s="142"/>
      <c r="BN80" s="141"/>
    </row>
    <row r="81" spans="2:66" s="160" customFormat="1" ht="21" customHeight="1">
      <c r="B81" s="335" t="s">
        <v>393</v>
      </c>
      <c r="C81" s="446" t="s">
        <v>382</v>
      </c>
      <c r="D81" s="137"/>
      <c r="E81" s="136" t="s">
        <v>126</v>
      </c>
      <c r="F81" s="136" t="s">
        <v>124</v>
      </c>
      <c r="G81" s="138">
        <v>1</v>
      </c>
      <c r="H81" s="136">
        <v>0</v>
      </c>
      <c r="I81" s="136">
        <v>0</v>
      </c>
      <c r="J81" s="136">
        <v>0</v>
      </c>
      <c r="K81" s="139">
        <v>42309</v>
      </c>
      <c r="L81" s="139">
        <v>42328</v>
      </c>
      <c r="M81" s="136" t="s">
        <v>39</v>
      </c>
      <c r="N81" s="136"/>
      <c r="O81" s="136" t="s">
        <v>120</v>
      </c>
      <c r="P81" s="136"/>
      <c r="Q81" s="336"/>
      <c r="R81" s="397"/>
      <c r="S81" s="336"/>
      <c r="T81" s="336"/>
      <c r="U81" s="336"/>
      <c r="V81" s="141"/>
      <c r="W81" s="340"/>
      <c r="X81" s="140"/>
      <c r="Y81" s="136"/>
      <c r="Z81" s="136"/>
      <c r="AA81" s="336"/>
      <c r="AB81" s="136"/>
      <c r="AC81" s="141"/>
      <c r="AD81" s="126"/>
      <c r="AE81" s="142" t="s">
        <v>120</v>
      </c>
      <c r="AF81" s="136">
        <v>1</v>
      </c>
      <c r="AG81" s="397">
        <f t="shared" si="131"/>
        <v>133.95107999397757</v>
      </c>
      <c r="AH81" s="336">
        <f t="shared" si="132"/>
        <v>133.95107999397757</v>
      </c>
      <c r="AI81" s="336">
        <f t="shared" si="133"/>
        <v>179.85611510791369</v>
      </c>
      <c r="AJ81" s="336">
        <f t="shared" si="134"/>
        <v>179.85611510791369</v>
      </c>
      <c r="AK81" s="336">
        <v>500</v>
      </c>
      <c r="AL81" s="141">
        <f t="shared" si="135"/>
        <v>500</v>
      </c>
      <c r="AM81" s="340"/>
      <c r="AN81" s="140">
        <f t="shared" si="157"/>
        <v>133.95107999397757</v>
      </c>
      <c r="AO81" s="136">
        <v>0</v>
      </c>
      <c r="AP81" s="136">
        <v>0</v>
      </c>
      <c r="AQ81" s="336">
        <f t="shared" si="158"/>
        <v>133.95107999397757</v>
      </c>
      <c r="AR81" s="136">
        <f t="shared" si="138"/>
        <v>1.3427</v>
      </c>
      <c r="AS81" s="141">
        <f t="shared" si="159"/>
        <v>179.85611510791369</v>
      </c>
      <c r="AT81" s="126"/>
      <c r="AU81" s="140">
        <v>0</v>
      </c>
      <c r="AV81" s="136">
        <v>0</v>
      </c>
      <c r="AW81" s="136">
        <v>0</v>
      </c>
      <c r="AX81" s="336">
        <f t="shared" si="160"/>
        <v>0</v>
      </c>
      <c r="AY81" s="136">
        <f t="shared" si="161"/>
        <v>1.3427</v>
      </c>
      <c r="AZ81" s="141">
        <f t="shared" si="162"/>
        <v>0</v>
      </c>
      <c r="BA81" s="340"/>
      <c r="BB81" s="140">
        <v>0</v>
      </c>
      <c r="BC81" s="136">
        <v>0</v>
      </c>
      <c r="BD81" s="136">
        <v>0</v>
      </c>
      <c r="BE81" s="336">
        <f t="shared" si="163"/>
        <v>0</v>
      </c>
      <c r="BF81" s="136">
        <f t="shared" si="164"/>
        <v>1.3427</v>
      </c>
      <c r="BG81" s="141">
        <f t="shared" si="165"/>
        <v>0</v>
      </c>
      <c r="BH81" s="126"/>
      <c r="BI81" s="140"/>
      <c r="BJ81" s="136"/>
      <c r="BK81" s="136"/>
      <c r="BL81" s="141"/>
      <c r="BM81" s="142"/>
      <c r="BN81" s="141"/>
    </row>
    <row r="82" spans="2:66" ht="33" customHeight="1">
      <c r="B82" s="424" t="s">
        <v>234</v>
      </c>
      <c r="C82" s="443" t="s">
        <v>164</v>
      </c>
      <c r="D82" s="427"/>
      <c r="E82" s="379"/>
      <c r="F82" s="406"/>
      <c r="G82" s="379"/>
      <c r="H82" s="379"/>
      <c r="I82" s="379"/>
      <c r="J82" s="379"/>
      <c r="K82" s="379"/>
      <c r="L82" s="379"/>
      <c r="M82" s="406"/>
      <c r="N82" s="379"/>
      <c r="O82" s="379"/>
      <c r="P82" s="379"/>
      <c r="Q82" s="378"/>
      <c r="R82" s="396"/>
      <c r="S82" s="378"/>
      <c r="T82" s="378"/>
      <c r="U82" s="378"/>
      <c r="V82" s="376"/>
      <c r="W82" s="373"/>
      <c r="X82" s="374"/>
      <c r="Y82" s="379"/>
      <c r="Z82" s="379"/>
      <c r="AA82" s="378"/>
      <c r="AB82" s="379"/>
      <c r="AC82" s="376"/>
      <c r="AD82" s="126"/>
      <c r="AE82" s="377"/>
      <c r="AF82" s="379"/>
      <c r="AG82" s="396"/>
      <c r="AH82" s="378">
        <f>+AH83</f>
        <v>3482.7280798434172</v>
      </c>
      <c r="AI82" s="378"/>
      <c r="AJ82" s="378">
        <f>+AJ83</f>
        <v>4676.258992805756</v>
      </c>
      <c r="AK82" s="378"/>
      <c r="AL82" s="376">
        <f>+AL83</f>
        <v>13000</v>
      </c>
      <c r="AM82" s="340"/>
      <c r="AN82" s="374">
        <f>+AN83</f>
        <v>3482.7280798434172</v>
      </c>
      <c r="AO82" s="378">
        <f>+AO83</f>
        <v>0</v>
      </c>
      <c r="AP82" s="378">
        <f>+AP83</f>
        <v>0</v>
      </c>
      <c r="AQ82" s="378">
        <f>+AQ83</f>
        <v>3482.7280798434172</v>
      </c>
      <c r="AR82" s="379"/>
      <c r="AS82" s="376">
        <f>+AS83</f>
        <v>4676.258992805756</v>
      </c>
      <c r="AT82" s="126"/>
      <c r="AU82" s="374">
        <f>+AU83</f>
        <v>10000</v>
      </c>
      <c r="AV82" s="378">
        <f t="shared" ref="AV82:AW82" si="166">+AV83</f>
        <v>0</v>
      </c>
      <c r="AW82" s="378">
        <f t="shared" si="166"/>
        <v>0</v>
      </c>
      <c r="AX82" s="378">
        <f>+AX83</f>
        <v>10000</v>
      </c>
      <c r="AY82" s="379"/>
      <c r="AZ82" s="376">
        <f>+AZ83</f>
        <v>13427</v>
      </c>
      <c r="BA82" s="340"/>
      <c r="BB82" s="374">
        <f>+BB83</f>
        <v>0</v>
      </c>
      <c r="BC82" s="378">
        <f t="shared" ref="BC82:BD82" si="167">+BC83</f>
        <v>0</v>
      </c>
      <c r="BD82" s="378">
        <f t="shared" si="167"/>
        <v>0</v>
      </c>
      <c r="BE82" s="378">
        <f>+BE83</f>
        <v>0</v>
      </c>
      <c r="BF82" s="379"/>
      <c r="BG82" s="376">
        <f>+BG83</f>
        <v>0</v>
      </c>
      <c r="BH82" s="126"/>
      <c r="BI82" s="374"/>
      <c r="BJ82" s="379"/>
      <c r="BK82" s="379"/>
      <c r="BL82" s="376"/>
      <c r="BM82" s="377"/>
      <c r="BN82" s="376"/>
    </row>
    <row r="83" spans="2:66" s="160" customFormat="1" ht="21" customHeight="1">
      <c r="B83" s="335" t="s">
        <v>394</v>
      </c>
      <c r="C83" s="446" t="s">
        <v>383</v>
      </c>
      <c r="D83" s="137"/>
      <c r="E83" s="136" t="s">
        <v>125</v>
      </c>
      <c r="F83" s="136" t="s">
        <v>124</v>
      </c>
      <c r="G83" s="138">
        <v>1</v>
      </c>
      <c r="H83" s="136">
        <v>0</v>
      </c>
      <c r="I83" s="136">
        <v>0</v>
      </c>
      <c r="J83" s="136">
        <v>0</v>
      </c>
      <c r="K83" s="139">
        <v>42036</v>
      </c>
      <c r="L83" s="139">
        <v>42124</v>
      </c>
      <c r="M83" s="136" t="s">
        <v>39</v>
      </c>
      <c r="N83" s="136"/>
      <c r="O83" s="136" t="s">
        <v>106</v>
      </c>
      <c r="P83" s="136"/>
      <c r="Q83" s="336"/>
      <c r="R83" s="397"/>
      <c r="S83" s="336"/>
      <c r="T83" s="336"/>
      <c r="U83" s="336"/>
      <c r="V83" s="141"/>
      <c r="W83" s="340"/>
      <c r="X83" s="140"/>
      <c r="Y83" s="136"/>
      <c r="Z83" s="136"/>
      <c r="AA83" s="336"/>
      <c r="AB83" s="136"/>
      <c r="AC83" s="141"/>
      <c r="AD83" s="126"/>
      <c r="AE83" s="142" t="s">
        <v>120</v>
      </c>
      <c r="AF83" s="136">
        <v>1</v>
      </c>
      <c r="AG83" s="397">
        <f t="shared" si="131"/>
        <v>3482.7280798434172</v>
      </c>
      <c r="AH83" s="336">
        <f>AF83*AG83</f>
        <v>3482.7280798434172</v>
      </c>
      <c r="AI83" s="336">
        <f>+AK83/$C$2</f>
        <v>4676.258992805756</v>
      </c>
      <c r="AJ83" s="336">
        <f>+AF83*AI83</f>
        <v>4676.258992805756</v>
      </c>
      <c r="AK83" s="336">
        <v>13000</v>
      </c>
      <c r="AL83" s="141">
        <f t="shared" si="135"/>
        <v>13000</v>
      </c>
      <c r="AM83" s="340"/>
      <c r="AN83" s="140">
        <f t="shared" ref="AN83:AN87" si="168">+AH83</f>
        <v>3482.7280798434172</v>
      </c>
      <c r="AO83" s="136">
        <v>0</v>
      </c>
      <c r="AP83" s="136">
        <v>0</v>
      </c>
      <c r="AQ83" s="336">
        <f t="shared" ref="AQ83" si="169">SUM(AN83:AP83)</f>
        <v>3482.7280798434172</v>
      </c>
      <c r="AR83" s="136">
        <f t="shared" ref="AR83" si="170">+$C$4</f>
        <v>1.3427</v>
      </c>
      <c r="AS83" s="141">
        <f t="shared" si="159"/>
        <v>4676.258992805756</v>
      </c>
      <c r="AT83" s="126"/>
      <c r="AU83" s="140">
        <v>10000</v>
      </c>
      <c r="AV83" s="136"/>
      <c r="AW83" s="136"/>
      <c r="AX83" s="336">
        <f t="shared" ref="AX83" si="171">SUM(AU83:AW83)</f>
        <v>10000</v>
      </c>
      <c r="AY83" s="136">
        <f t="shared" ref="AY83" si="172">+$C$4</f>
        <v>1.3427</v>
      </c>
      <c r="AZ83" s="141">
        <f>+AU83*$C$4</f>
        <v>13427</v>
      </c>
      <c r="BA83" s="340"/>
      <c r="BB83" s="140">
        <v>0</v>
      </c>
      <c r="BC83" s="136"/>
      <c r="BD83" s="136"/>
      <c r="BE83" s="336">
        <f t="shared" ref="BE83" si="173">SUM(BB83:BD83)</f>
        <v>0</v>
      </c>
      <c r="BF83" s="136">
        <f t="shared" ref="BF83" si="174">+$C$4</f>
        <v>1.3427</v>
      </c>
      <c r="BG83" s="141">
        <f>+BB83*$C$4</f>
        <v>0</v>
      </c>
      <c r="BH83" s="126"/>
      <c r="BI83" s="140"/>
      <c r="BJ83" s="136"/>
      <c r="BK83" s="136"/>
      <c r="BL83" s="141"/>
      <c r="BM83" s="142"/>
      <c r="BN83" s="141"/>
    </row>
    <row r="84" spans="2:66" s="160" customFormat="1" ht="21" customHeight="1">
      <c r="B84" s="424" t="s">
        <v>235</v>
      </c>
      <c r="C84" s="443" t="s">
        <v>554</v>
      </c>
      <c r="D84" s="427"/>
      <c r="E84" s="379"/>
      <c r="F84" s="379"/>
      <c r="G84" s="475"/>
      <c r="H84" s="379"/>
      <c r="I84" s="379"/>
      <c r="J84" s="379"/>
      <c r="K84" s="476"/>
      <c r="L84" s="476"/>
      <c r="M84" s="379"/>
      <c r="N84" s="379"/>
      <c r="O84" s="379"/>
      <c r="P84" s="379"/>
      <c r="Q84" s="378"/>
      <c r="R84" s="396"/>
      <c r="S84" s="378"/>
      <c r="T84" s="378"/>
      <c r="U84" s="378"/>
      <c r="V84" s="376"/>
      <c r="W84" s="340"/>
      <c r="X84" s="140"/>
      <c r="Y84" s="136"/>
      <c r="Z84" s="136"/>
      <c r="AA84" s="336"/>
      <c r="AB84" s="136"/>
      <c r="AC84" s="141"/>
      <c r="AD84" s="126"/>
      <c r="AE84" s="142"/>
      <c r="AF84" s="136"/>
      <c r="AG84" s="397"/>
      <c r="AH84" s="336"/>
      <c r="AI84" s="336"/>
      <c r="AJ84" s="336"/>
      <c r="AK84" s="336"/>
      <c r="AL84" s="141"/>
      <c r="AM84" s="340"/>
      <c r="AN84" s="140"/>
      <c r="AO84" s="136"/>
      <c r="AP84" s="136"/>
      <c r="AQ84" s="336"/>
      <c r="AR84" s="136"/>
      <c r="AS84" s="141"/>
      <c r="AT84" s="126"/>
      <c r="AU84" s="140"/>
      <c r="AV84" s="136"/>
      <c r="AW84" s="136"/>
      <c r="AX84" s="336"/>
      <c r="AY84" s="136"/>
      <c r="AZ84" s="141"/>
      <c r="BA84" s="340"/>
      <c r="BB84" s="140"/>
      <c r="BC84" s="136"/>
      <c r="BD84" s="136"/>
      <c r="BE84" s="336"/>
      <c r="BF84" s="136"/>
      <c r="BG84" s="141"/>
      <c r="BH84" s="126"/>
      <c r="BI84" s="515"/>
      <c r="BJ84" s="516"/>
      <c r="BK84" s="516"/>
      <c r="BL84" s="517"/>
      <c r="BM84" s="518"/>
      <c r="BN84" s="517"/>
    </row>
    <row r="85" spans="2:66" s="160" customFormat="1" ht="21" customHeight="1">
      <c r="B85" s="335" t="s">
        <v>555</v>
      </c>
      <c r="C85" s="446" t="s">
        <v>556</v>
      </c>
      <c r="D85" s="137"/>
      <c r="E85" s="136"/>
      <c r="F85" s="136"/>
      <c r="G85" s="138"/>
      <c r="H85" s="136"/>
      <c r="I85" s="136"/>
      <c r="J85" s="136"/>
      <c r="K85" s="139"/>
      <c r="L85" s="139"/>
      <c r="M85" s="136"/>
      <c r="N85" s="136"/>
      <c r="O85" s="136"/>
      <c r="P85" s="136"/>
      <c r="Q85" s="336"/>
      <c r="R85" s="397"/>
      <c r="S85" s="336"/>
      <c r="T85" s="336"/>
      <c r="U85" s="336"/>
      <c r="V85" s="141"/>
      <c r="W85" s="340"/>
      <c r="X85" s="140"/>
      <c r="Y85" s="136"/>
      <c r="Z85" s="136"/>
      <c r="AA85" s="336"/>
      <c r="AB85" s="136"/>
      <c r="AC85" s="141"/>
      <c r="AD85" s="126"/>
      <c r="AE85" s="142"/>
      <c r="AF85" s="136"/>
      <c r="AG85" s="397"/>
      <c r="AH85" s="336"/>
      <c r="AI85" s="336"/>
      <c r="AJ85" s="336"/>
      <c r="AK85" s="336"/>
      <c r="AL85" s="141"/>
      <c r="AM85" s="340"/>
      <c r="AN85" s="140"/>
      <c r="AO85" s="136"/>
      <c r="AP85" s="136"/>
      <c r="AQ85" s="336"/>
      <c r="AR85" s="136"/>
      <c r="AS85" s="141"/>
      <c r="AT85" s="126"/>
      <c r="AU85" s="140"/>
      <c r="AV85" s="136"/>
      <c r="AW85" s="136"/>
      <c r="AX85" s="336"/>
      <c r="AY85" s="136"/>
      <c r="AZ85" s="141"/>
      <c r="BA85" s="340"/>
      <c r="BB85" s="140"/>
      <c r="BC85" s="136"/>
      <c r="BD85" s="136"/>
      <c r="BE85" s="336"/>
      <c r="BF85" s="136"/>
      <c r="BG85" s="141"/>
      <c r="BH85" s="126"/>
      <c r="BI85" s="515"/>
      <c r="BJ85" s="516"/>
      <c r="BK85" s="516"/>
      <c r="BL85" s="517"/>
      <c r="BM85" s="518"/>
      <c r="BN85" s="517"/>
    </row>
    <row r="86" spans="2:66" ht="20.25" customHeight="1">
      <c r="B86" s="325"/>
      <c r="C86" s="448" t="s">
        <v>122</v>
      </c>
      <c r="D86" s="430"/>
      <c r="E86" s="400"/>
      <c r="F86" s="413"/>
      <c r="G86" s="400"/>
      <c r="H86" s="400"/>
      <c r="I86" s="400"/>
      <c r="J86" s="400"/>
      <c r="K86" s="400"/>
      <c r="L86" s="400"/>
      <c r="M86" s="413"/>
      <c r="N86" s="400"/>
      <c r="O86" s="400"/>
      <c r="P86" s="400"/>
      <c r="Q86" s="338"/>
      <c r="R86" s="414" t="e">
        <f>+#REF!+R63+R56+R45+R8</f>
        <v>#REF!</v>
      </c>
      <c r="S86" s="338"/>
      <c r="T86" s="415" t="e">
        <f>+T8+T45+T56+T63+#REF!</f>
        <v>#REF!</v>
      </c>
      <c r="U86" s="415"/>
      <c r="V86" s="418"/>
      <c r="W86" s="342"/>
      <c r="X86" s="349" t="e">
        <f>+#REF!+X63+X56+X45+X8</f>
        <v>#REF!</v>
      </c>
      <c r="Y86" s="384" t="e">
        <f>+#REF!+Y41+Y36+Y24+Y21+Y8+Y63+Y56+Y45</f>
        <v>#REF!</v>
      </c>
      <c r="Z86" s="384" t="e">
        <f>+#REF!+Z41+Z36+Z24+Z21+Z8+Z63+Z56+Z45</f>
        <v>#REF!</v>
      </c>
      <c r="AA86" s="384" t="e">
        <f>SUM(X86:Z86)</f>
        <v>#REF!</v>
      </c>
      <c r="AB86" s="385"/>
      <c r="AC86" s="389" t="e">
        <f>+#REF!+AC41+AC36+AC24+AC21+AC8+AC63+AC56+AC45</f>
        <v>#REF!</v>
      </c>
      <c r="AD86" s="126"/>
      <c r="AE86" s="348"/>
      <c r="AF86" s="400"/>
      <c r="AG86" s="339"/>
      <c r="AH86" s="338" t="e">
        <f>+#REF!+AH63+AH56+AH45+AH8</f>
        <v>#REF!</v>
      </c>
      <c r="AI86" s="338"/>
      <c r="AJ86" s="338" t="e">
        <f>+#REF!+AJ63+AJ56+AJ45+AJ8</f>
        <v>#REF!</v>
      </c>
      <c r="AK86" s="338"/>
      <c r="AL86" s="402" t="e">
        <f>+#REF!+AL63+AL56+AL45+AL8</f>
        <v>#REF!</v>
      </c>
      <c r="AM86" s="340"/>
      <c r="AN86" s="349" t="e">
        <f>+AN8+AN45+AN56+AN63+#REF!</f>
        <v>#REF!</v>
      </c>
      <c r="AO86" s="384" t="e">
        <f>+#REF!+AO41+AO36+AO24+AO21+AO8+AO63+AO56+AO45</f>
        <v>#REF!</v>
      </c>
      <c r="AP86" s="384" t="e">
        <f>+#REF!+AP41+AP36+AP24+AP21+AP8+AP63+AP56+AP45</f>
        <v>#REF!</v>
      </c>
      <c r="AQ86" s="384" t="e">
        <f>SUM(AN86:AP86)</f>
        <v>#REF!</v>
      </c>
      <c r="AR86" s="385"/>
      <c r="AS86" s="389" t="e">
        <f>+#REF!+AS41+AS36+AS24+AS21+AS8+AS63+AS56+AS45</f>
        <v>#REF!</v>
      </c>
      <c r="AT86" s="126"/>
      <c r="AU86" s="349" t="e">
        <f>+AU8+AU45+AU56+AU63+#REF!</f>
        <v>#REF!</v>
      </c>
      <c r="AV86" s="384" t="e">
        <f>+#REF!+AV41+AV36+AV24+AV21+AV8+AV63+AV56+AV45</f>
        <v>#REF!</v>
      </c>
      <c r="AW86" s="384" t="e">
        <f>+#REF!+AW41+AW36+AW24+AW21+AW8+AW63+AW56+AW45</f>
        <v>#REF!</v>
      </c>
      <c r="AX86" s="384" t="e">
        <f>SUM(AU86:AW86)</f>
        <v>#REF!</v>
      </c>
      <c r="AY86" s="385"/>
      <c r="AZ86" s="389" t="e">
        <f>+#REF!+AZ41+AZ36+AZ24+AZ21+AZ8+AZ63+AZ56+AZ45</f>
        <v>#REF!</v>
      </c>
      <c r="BA86" s="393"/>
      <c r="BB86" s="349" t="e">
        <f>+BB8+BB45+BB56+BB63+#REF!</f>
        <v>#REF!</v>
      </c>
      <c r="BC86" s="384" t="e">
        <f>+#REF!+BC41+BC36+BC24+BC21+BC8+BC63+BC56+BC45</f>
        <v>#REF!</v>
      </c>
      <c r="BD86" s="384" t="e">
        <f>+#REF!+BD41+BD36+BD24+BD21+BD8+BD63+BD56+BD45</f>
        <v>#REF!</v>
      </c>
      <c r="BE86" s="384" t="e">
        <f>SUM(BB86:BD86)</f>
        <v>#REF!</v>
      </c>
      <c r="BF86" s="385"/>
      <c r="BG86" s="389" t="e">
        <f>+#REF!+BG41+BG36+BG24+BG21+BG8+BG63+BG56+BG45</f>
        <v>#REF!</v>
      </c>
      <c r="BH86" s="126"/>
      <c r="BI86" s="152" t="e">
        <f>+#REF!+BI63+BI56+BI45+BI8</f>
        <v>#REF!</v>
      </c>
      <c r="BJ86" s="149" t="e">
        <f>+#REF!+BJ41+BJ36+BJ24+BJ21+BJ8+BJ63+BJ56+BJ45</f>
        <v>#REF!</v>
      </c>
      <c r="BK86" s="149" t="e">
        <f>+#REF!+BK41+BK36+BK24+BK21+BK8+BK63+BK56+BK45</f>
        <v>#REF!</v>
      </c>
      <c r="BL86" s="153" t="e">
        <f>SUM(BI86:BK86)</f>
        <v>#REF!</v>
      </c>
      <c r="BM86" s="151"/>
      <c r="BN86" s="150" t="e">
        <f>+#REF!+BN41+BN36+BN24+BN21+BN8+BN63+BN56+BN45</f>
        <v>#REF!</v>
      </c>
    </row>
    <row r="87" spans="2:66" s="154" customFormat="1" ht="20.25" customHeight="1">
      <c r="B87" s="416"/>
      <c r="C87" s="416" t="s">
        <v>121</v>
      </c>
      <c r="D87" s="431">
        <v>235023</v>
      </c>
      <c r="E87" s="145"/>
      <c r="F87" s="416"/>
      <c r="G87" s="145"/>
      <c r="H87" s="145"/>
      <c r="I87" s="145"/>
      <c r="J87" s="145"/>
      <c r="K87" s="145"/>
      <c r="L87" s="145"/>
      <c r="M87" s="416"/>
      <c r="N87" s="145"/>
      <c r="O87" s="145" t="s">
        <v>120</v>
      </c>
      <c r="P87" s="417">
        <v>1</v>
      </c>
      <c r="Q87" s="386">
        <v>235023</v>
      </c>
      <c r="R87" s="401">
        <f>+Q87*P87</f>
        <v>235023</v>
      </c>
      <c r="S87" s="386"/>
      <c r="T87" s="386">
        <f>Q87*C4</f>
        <v>315565.38209999999</v>
      </c>
      <c r="U87" s="386"/>
      <c r="V87" s="147"/>
      <c r="W87" s="340"/>
      <c r="X87" s="146">
        <f>+R87</f>
        <v>235023</v>
      </c>
      <c r="Y87" s="145">
        <v>0</v>
      </c>
      <c r="Z87" s="145">
        <v>0</v>
      </c>
      <c r="AA87" s="386"/>
      <c r="AB87" s="145">
        <f>+C4</f>
        <v>1.3427</v>
      </c>
      <c r="AC87" s="147">
        <f>+X87*$C$4</f>
        <v>315565.38209999999</v>
      </c>
      <c r="AE87" s="148">
        <v>1</v>
      </c>
      <c r="AF87" s="145">
        <v>1</v>
      </c>
      <c r="AG87" s="401">
        <f>+AI87/$C$4</f>
        <v>235022.99940043499</v>
      </c>
      <c r="AH87" s="386">
        <f>AF87*AG87</f>
        <v>235022.99940043499</v>
      </c>
      <c r="AI87" s="386">
        <f t="shared" ref="AI87" si="175">+AK87/$C$2</f>
        <v>315565.38129496406</v>
      </c>
      <c r="AJ87" s="386">
        <f>+AF87*AI87</f>
        <v>315565.38129496406</v>
      </c>
      <c r="AK87" s="386">
        <v>877271.76</v>
      </c>
      <c r="AL87" s="147">
        <f>+AF87*AK87</f>
        <v>877271.76</v>
      </c>
      <c r="AM87" s="340"/>
      <c r="AN87" s="146">
        <f t="shared" si="168"/>
        <v>235022.99940043499</v>
      </c>
      <c r="AO87" s="145">
        <v>0</v>
      </c>
      <c r="AP87" s="145">
        <v>0</v>
      </c>
      <c r="AQ87" s="386"/>
      <c r="AR87" s="145">
        <f t="shared" ref="AR87" si="176">+$C$4</f>
        <v>1.3427</v>
      </c>
      <c r="AS87" s="147">
        <f t="shared" si="159"/>
        <v>315565.38129496406</v>
      </c>
      <c r="AU87" s="146">
        <v>0</v>
      </c>
      <c r="AV87" s="145">
        <v>0</v>
      </c>
      <c r="AW87" s="145">
        <v>0</v>
      </c>
      <c r="AX87" s="386"/>
      <c r="AY87" s="145">
        <f t="shared" ref="AY87" si="177">+$C$4</f>
        <v>1.3427</v>
      </c>
      <c r="AZ87" s="147">
        <f>+AU87/$C$4</f>
        <v>0</v>
      </c>
      <c r="BA87" s="340"/>
      <c r="BB87" s="146">
        <v>0</v>
      </c>
      <c r="BC87" s="145">
        <v>0</v>
      </c>
      <c r="BD87" s="145">
        <v>0</v>
      </c>
      <c r="BE87" s="386"/>
      <c r="BF87" s="145">
        <f t="shared" ref="BF87" si="178">+$C$4</f>
        <v>1.3427</v>
      </c>
      <c r="BG87" s="147">
        <f>+BB87/$C$4</f>
        <v>0</v>
      </c>
      <c r="BI87" s="146">
        <v>0</v>
      </c>
      <c r="BJ87" s="145">
        <v>0</v>
      </c>
      <c r="BK87" s="145">
        <v>0</v>
      </c>
      <c r="BL87" s="147"/>
      <c r="BM87" s="148">
        <f>+$C$4</f>
        <v>1.3427</v>
      </c>
      <c r="BN87" s="147">
        <f>+BI87/$C$4</f>
        <v>0</v>
      </c>
    </row>
    <row r="88" spans="2:66" ht="28.5" customHeight="1" thickBot="1">
      <c r="B88" s="426"/>
      <c r="C88" s="426" t="s">
        <v>38</v>
      </c>
      <c r="D88" s="432" t="e">
        <f>#REF!+D63+D56+D45+D8+D87</f>
        <v>#REF!</v>
      </c>
      <c r="E88" s="419"/>
      <c r="F88" s="420"/>
      <c r="G88" s="419"/>
      <c r="H88" s="419"/>
      <c r="I88" s="419"/>
      <c r="J88" s="419"/>
      <c r="K88" s="419"/>
      <c r="L88" s="419"/>
      <c r="M88" s="420"/>
      <c r="N88" s="419"/>
      <c r="O88" s="419"/>
      <c r="P88" s="419"/>
      <c r="Q88" s="390"/>
      <c r="R88" s="421" t="e">
        <f>+R86+R87</f>
        <v>#REF!</v>
      </c>
      <c r="S88" s="390"/>
      <c r="T88" s="422" t="e">
        <f>+T86+T87</f>
        <v>#REF!</v>
      </c>
      <c r="U88" s="422"/>
      <c r="V88" s="423"/>
      <c r="W88" s="342"/>
      <c r="X88" s="394" t="e">
        <f>+X86+X87</f>
        <v>#REF!</v>
      </c>
      <c r="Y88" s="155" t="e">
        <f>+Y86+Y87</f>
        <v>#REF!</v>
      </c>
      <c r="Z88" s="155" t="e">
        <f>+Z86+Z87</f>
        <v>#REF!</v>
      </c>
      <c r="AA88" s="390" t="e">
        <f>SUM(X88:Z88)</f>
        <v>#REF!</v>
      </c>
      <c r="AB88" s="391"/>
      <c r="AC88" s="156" t="e">
        <f>+AC86+AC87</f>
        <v>#REF!</v>
      </c>
      <c r="AE88" s="157"/>
      <c r="AF88" s="391"/>
      <c r="AG88" s="403"/>
      <c r="AH88" s="155" t="e">
        <f>+AH87+AH86</f>
        <v>#REF!</v>
      </c>
      <c r="AI88" s="155"/>
      <c r="AJ88" s="155" t="e">
        <f>+AJ87+#REF!+AJ63+AJ56+AJ45+AJ8</f>
        <v>#REF!</v>
      </c>
      <c r="AK88" s="155"/>
      <c r="AL88" s="404" t="e">
        <f>+AL87+#REF!+AL63+AL56+AL45+AL8</f>
        <v>#REF!</v>
      </c>
      <c r="AM88" s="340"/>
      <c r="AN88" s="394" t="e">
        <f>+AN86+AN87</f>
        <v>#REF!</v>
      </c>
      <c r="AO88" s="155" t="e">
        <f>+AO86+AO87</f>
        <v>#REF!</v>
      </c>
      <c r="AP88" s="155" t="e">
        <f>+AP86+AP87</f>
        <v>#REF!</v>
      </c>
      <c r="AQ88" s="390" t="e">
        <f>SUM(AN88:AP88)</f>
        <v>#REF!</v>
      </c>
      <c r="AR88" s="391"/>
      <c r="AS88" s="156" t="e">
        <f>+AS86+AS87</f>
        <v>#REF!</v>
      </c>
      <c r="AU88" s="158" t="e">
        <f>+AU86+AU87</f>
        <v>#REF!</v>
      </c>
      <c r="AV88" s="155" t="e">
        <f>+AV86+AV87</f>
        <v>#REF!</v>
      </c>
      <c r="AW88" s="155" t="e">
        <f>+AW86+AW87</f>
        <v>#REF!</v>
      </c>
      <c r="AX88" s="390" t="e">
        <f>SUM(AU88:AW88)</f>
        <v>#REF!</v>
      </c>
      <c r="AY88" s="391"/>
      <c r="AZ88" s="156" t="e">
        <f>+AZ86+AZ87</f>
        <v>#REF!</v>
      </c>
      <c r="BA88" s="393"/>
      <c r="BB88" s="158" t="e">
        <f>+BB86+BB87</f>
        <v>#REF!</v>
      </c>
      <c r="BC88" s="155" t="e">
        <f>+BC86+BC87</f>
        <v>#REF!</v>
      </c>
      <c r="BD88" s="155" t="e">
        <f>+BD86+BD87</f>
        <v>#REF!</v>
      </c>
      <c r="BE88" s="390" t="e">
        <f>SUM(BB88:BD88)</f>
        <v>#REF!</v>
      </c>
      <c r="BF88" s="391"/>
      <c r="BG88" s="156" t="e">
        <f>+BG86+BG87</f>
        <v>#REF!</v>
      </c>
      <c r="BI88" s="158" t="e">
        <f>+BI86+BI87</f>
        <v>#REF!</v>
      </c>
      <c r="BJ88" s="155" t="e">
        <f>+BJ86+BJ87</f>
        <v>#REF!</v>
      </c>
      <c r="BK88" s="155" t="e">
        <f>+BK86+BK87</f>
        <v>#REF!</v>
      </c>
      <c r="BL88" s="159" t="e">
        <f>SUM(BI88:BK88)</f>
        <v>#REF!</v>
      </c>
      <c r="BM88" s="157"/>
      <c r="BN88" s="156" t="e">
        <f>+BN86+BN87</f>
        <v>#REF!</v>
      </c>
    </row>
    <row r="90" spans="2:66">
      <c r="T90" s="338" t="s">
        <v>435</v>
      </c>
    </row>
    <row r="91" spans="2:66">
      <c r="D91" s="124">
        <v>3000000</v>
      </c>
      <c r="R91" s="339">
        <v>3000000</v>
      </c>
      <c r="T91" s="338">
        <f>3000000*C4</f>
        <v>4028100</v>
      </c>
      <c r="X91" s="338" t="e">
        <f>3000000-X88</f>
        <v>#REF!</v>
      </c>
      <c r="AC91" s="338">
        <f>3000000*C4</f>
        <v>4028100</v>
      </c>
      <c r="AH91" s="340"/>
      <c r="AQ91" s="311"/>
      <c r="AS91" s="350" t="e">
        <f>+(AN88*1.3427)-AS88</f>
        <v>#REF!</v>
      </c>
      <c r="AX91" s="311"/>
      <c r="BE91" s="311"/>
    </row>
    <row r="92" spans="2:66">
      <c r="R92" s="339" t="e">
        <f>+R88-R91</f>
        <v>#REF!</v>
      </c>
      <c r="T92" s="338" t="e">
        <f>+T88-T91</f>
        <v>#REF!</v>
      </c>
      <c r="AC92" s="338" t="e">
        <f>AC91-AC88</f>
        <v>#REF!</v>
      </c>
    </row>
    <row r="93" spans="2:66">
      <c r="D93" s="124" t="e">
        <f>+D91-D88</f>
        <v>#REF!</v>
      </c>
    </row>
    <row r="94" spans="2:66">
      <c r="AN94" s="161"/>
      <c r="AU94" s="161"/>
      <c r="BB94" s="161"/>
    </row>
  </sheetData>
  <mergeCells count="62">
    <mergeCell ref="O4:AC4"/>
    <mergeCell ref="F5:F7"/>
    <mergeCell ref="K5:L5"/>
    <mergeCell ref="M5:M7"/>
    <mergeCell ref="L6:L7"/>
    <mergeCell ref="G5:J5"/>
    <mergeCell ref="J6:J7"/>
    <mergeCell ref="G6:G7"/>
    <mergeCell ref="H6:H7"/>
    <mergeCell ref="I6:I7"/>
    <mergeCell ref="K6:K7"/>
    <mergeCell ref="N5:N7"/>
    <mergeCell ref="AC5:AC7"/>
    <mergeCell ref="S5:S7"/>
    <mergeCell ref="X5:AA5"/>
    <mergeCell ref="Q5:Q7"/>
    <mergeCell ref="R5:R7"/>
    <mergeCell ref="T5:T7"/>
    <mergeCell ref="BM5:BM7"/>
    <mergeCell ref="BN5:BN7"/>
    <mergeCell ref="BI6:BI7"/>
    <mergeCell ref="BJ6:BK6"/>
    <mergeCell ref="BL6:BL7"/>
    <mergeCell ref="BI5:BL5"/>
    <mergeCell ref="AE5:AE7"/>
    <mergeCell ref="AU5:AX5"/>
    <mergeCell ref="AY5:AY7"/>
    <mergeCell ref="AZ5:AZ7"/>
    <mergeCell ref="AU6:AU7"/>
    <mergeCell ref="AV6:AW6"/>
    <mergeCell ref="AX6:AX7"/>
    <mergeCell ref="AL5:AL7"/>
    <mergeCell ref="Y6:Z6"/>
    <mergeCell ref="U5:U7"/>
    <mergeCell ref="AS5:AS7"/>
    <mergeCell ref="AN6:AN7"/>
    <mergeCell ref="AO6:AP6"/>
    <mergeCell ref="AQ6:AQ7"/>
    <mergeCell ref="AG5:AG7"/>
    <mergeCell ref="AF5:AF7"/>
    <mergeCell ref="AH5:AH7"/>
    <mergeCell ref="AI5:AI7"/>
    <mergeCell ref="AJ5:AJ7"/>
    <mergeCell ref="AK5:AK7"/>
    <mergeCell ref="AN5:AQ5"/>
    <mergeCell ref="AR5:AR7"/>
    <mergeCell ref="BG5:BG7"/>
    <mergeCell ref="BF5:BF7"/>
    <mergeCell ref="BB5:BE5"/>
    <mergeCell ref="B5:B7"/>
    <mergeCell ref="E5:E7"/>
    <mergeCell ref="C5:C7"/>
    <mergeCell ref="D5:D7"/>
    <mergeCell ref="BE6:BE7"/>
    <mergeCell ref="BC6:BD6"/>
    <mergeCell ref="BB6:BB7"/>
    <mergeCell ref="O5:O7"/>
    <mergeCell ref="P5:P7"/>
    <mergeCell ref="V5:V7"/>
    <mergeCell ref="AB5:AB7"/>
    <mergeCell ref="AA6:AA7"/>
    <mergeCell ref="X6:X7"/>
  </mergeCells>
  <pageMargins left="0.7" right="0.7" top="0.75" bottom="0.75" header="0.3" footer="0.3"/>
  <pageSetup paperSize="9" orientation="portrait" verticalDpi="0" r:id="rId1"/>
  <ignoredErrors>
    <ignoredError sqref="AC86 BN86 AS86 BL17 BN17 BL21 BN21 BL9 BL24 BN24 T17 T21 R41 T41 AQ41 AS41 BL41 BN41 AQ9 AQ17 AQ21 R17 R21 AA29:AC29 X21 AA21 AC21 AC24 X29 X41 AC41 R43 AA43" formula="1"/>
    <ignoredError sqref="Y45" formulaRange="1"/>
  </ignoredError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B1:L7"/>
  <sheetViews>
    <sheetView workbookViewId="0">
      <selection activeCell="E16" sqref="E16"/>
    </sheetView>
  </sheetViews>
  <sheetFormatPr defaultRowHeight="12.75"/>
  <cols>
    <col min="1" max="1" width="1" style="39" customWidth="1"/>
    <col min="2" max="2" width="6.140625" style="39" customWidth="1"/>
    <col min="3" max="3" width="20.42578125" style="39" customWidth="1"/>
    <col min="4" max="4" width="13.140625" style="39" customWidth="1"/>
    <col min="5" max="5" width="40.140625" style="39" customWidth="1"/>
    <col min="6" max="16384" width="9.140625" style="39"/>
  </cols>
  <sheetData>
    <row r="1" spans="2:12" ht="8.25" customHeight="1" thickBot="1"/>
    <row r="2" spans="2:12">
      <c r="B2" s="675" t="s">
        <v>353</v>
      </c>
      <c r="C2" s="676"/>
      <c r="D2" s="676"/>
      <c r="E2" s="676"/>
      <c r="F2" s="676"/>
      <c r="G2" s="676"/>
      <c r="H2" s="676"/>
      <c r="I2" s="676"/>
      <c r="J2" s="676"/>
      <c r="K2" s="676"/>
      <c r="L2" s="677"/>
    </row>
    <row r="3" spans="2:12">
      <c r="B3" s="678"/>
      <c r="C3" s="680" t="s">
        <v>107</v>
      </c>
      <c r="D3" s="682" t="s">
        <v>348</v>
      </c>
      <c r="E3" s="680" t="s">
        <v>108</v>
      </c>
      <c r="F3" s="682" t="s">
        <v>327</v>
      </c>
      <c r="G3" s="682" t="s">
        <v>109</v>
      </c>
      <c r="H3" s="685" t="s">
        <v>116</v>
      </c>
      <c r="I3" s="687" t="s">
        <v>99</v>
      </c>
      <c r="J3" s="680" t="s">
        <v>110</v>
      </c>
      <c r="K3" s="682" t="s">
        <v>99</v>
      </c>
      <c r="L3" s="683" t="s">
        <v>184</v>
      </c>
    </row>
    <row r="4" spans="2:12">
      <c r="B4" s="679"/>
      <c r="C4" s="681"/>
      <c r="D4" s="680"/>
      <c r="E4" s="681"/>
      <c r="F4" s="680"/>
      <c r="G4" s="680"/>
      <c r="H4" s="686"/>
      <c r="I4" s="688"/>
      <c r="J4" s="681"/>
      <c r="K4" s="680"/>
      <c r="L4" s="684"/>
    </row>
    <row r="5" spans="2:12" ht="11.25" customHeight="1">
      <c r="B5" s="458">
        <v>1</v>
      </c>
      <c r="C5" s="458" t="s">
        <v>111</v>
      </c>
      <c r="D5" s="458"/>
      <c r="E5" s="458" t="s">
        <v>519</v>
      </c>
      <c r="F5" s="460" t="s">
        <v>277</v>
      </c>
      <c r="G5" s="458"/>
      <c r="H5" s="458"/>
      <c r="I5" s="458"/>
      <c r="J5" s="458">
        <v>43.54</v>
      </c>
      <c r="K5" s="458">
        <v>1.3427</v>
      </c>
      <c r="L5" s="459">
        <f>+J5/K5</f>
        <v>32.427198927534072</v>
      </c>
    </row>
    <row r="6" spans="2:12" ht="11.25" customHeight="1">
      <c r="B6" s="458">
        <v>2</v>
      </c>
      <c r="C6" s="458"/>
      <c r="D6" s="458"/>
      <c r="E6" s="458" t="s">
        <v>521</v>
      </c>
      <c r="F6" s="460" t="s">
        <v>516</v>
      </c>
      <c r="G6" s="458"/>
      <c r="H6" s="458"/>
      <c r="I6" s="458"/>
      <c r="J6" s="458">
        <v>20</v>
      </c>
      <c r="K6" s="458">
        <v>1.3427</v>
      </c>
      <c r="L6" s="459">
        <f>+J6/K6</f>
        <v>14.895360095330304</v>
      </c>
    </row>
    <row r="7" spans="2:12">
      <c r="J7" s="458">
        <f>SUM(J5:J6)</f>
        <v>63.54</v>
      </c>
      <c r="L7" s="459">
        <f>SUM(L5:L6)</f>
        <v>47.322559022864375</v>
      </c>
    </row>
  </sheetData>
  <mergeCells count="12">
    <mergeCell ref="B2:L2"/>
    <mergeCell ref="B3:B4"/>
    <mergeCell ref="C3:C4"/>
    <mergeCell ref="D3:D4"/>
    <mergeCell ref="E3:E4"/>
    <mergeCell ref="L3:L4"/>
    <mergeCell ref="F3:F4"/>
    <mergeCell ref="G3:G4"/>
    <mergeCell ref="H3:H4"/>
    <mergeCell ref="I3:I4"/>
    <mergeCell ref="J3:J4"/>
    <mergeCell ref="K3:K4"/>
  </mergeCell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1:R43"/>
  <sheetViews>
    <sheetView topLeftCell="A2" zoomScale="120" zoomScaleNormal="120" workbookViewId="0">
      <pane xSplit="1" ySplit="3" topLeftCell="B17" activePane="bottomRight" state="frozen"/>
      <selection activeCell="A2" sqref="A2"/>
      <selection pane="topRight" activeCell="B2" sqref="B2"/>
      <selection pane="bottomLeft" activeCell="A5" sqref="A5"/>
      <selection pane="bottomRight" activeCell="F39" sqref="F39"/>
    </sheetView>
  </sheetViews>
  <sheetFormatPr defaultRowHeight="11.25"/>
  <cols>
    <col min="1" max="1" width="1.140625" style="107" customWidth="1"/>
    <col min="2" max="2" width="2.42578125" style="107" customWidth="1"/>
    <col min="3" max="3" width="18" style="107" bestFit="1" customWidth="1"/>
    <col min="4" max="4" width="10.85546875" style="107" customWidth="1"/>
    <col min="5" max="5" width="69.42578125" style="110" customWidth="1"/>
    <col min="6" max="6" width="8.85546875" style="107" customWidth="1"/>
    <col min="7" max="7" width="9.7109375" style="107" customWidth="1"/>
    <col min="8" max="8" width="10.140625" style="107" customWidth="1"/>
    <col min="9" max="9" width="7.140625" style="107" customWidth="1"/>
    <col min="10" max="10" width="11.28515625" style="107" customWidth="1"/>
    <col min="11" max="11" width="7.140625" style="107" customWidth="1"/>
    <col min="12" max="12" width="8" style="107" customWidth="1"/>
    <col min="13" max="13" width="7.42578125" style="107" customWidth="1"/>
    <col min="14" max="16384" width="9.140625" style="107"/>
  </cols>
  <sheetData>
    <row r="1" spans="1:15" ht="9.75" customHeight="1">
      <c r="A1" s="309"/>
      <c r="B1" s="118"/>
      <c r="C1" s="118"/>
      <c r="D1" s="118"/>
      <c r="E1" s="310"/>
      <c r="F1" s="118"/>
      <c r="G1" s="118"/>
      <c r="H1" s="118"/>
      <c r="I1" s="118"/>
      <c r="J1" s="118"/>
      <c r="K1" s="118"/>
      <c r="L1" s="118"/>
      <c r="M1" s="119"/>
    </row>
    <row r="2" spans="1:15" ht="22.5" customHeight="1">
      <c r="A2" s="108"/>
      <c r="B2" s="689" t="s">
        <v>353</v>
      </c>
      <c r="C2" s="689"/>
      <c r="D2" s="689"/>
      <c r="E2" s="689"/>
      <c r="F2" s="689"/>
      <c r="G2" s="689"/>
      <c r="H2" s="689"/>
      <c r="I2" s="689"/>
      <c r="J2" s="689"/>
      <c r="K2" s="689"/>
      <c r="L2" s="689"/>
      <c r="M2" s="495"/>
    </row>
    <row r="3" spans="1:15" ht="13.5" customHeight="1">
      <c r="A3" s="108"/>
      <c r="B3" s="695"/>
      <c r="C3" s="691" t="s">
        <v>107</v>
      </c>
      <c r="D3" s="691" t="s">
        <v>348</v>
      </c>
      <c r="E3" s="691" t="s">
        <v>108</v>
      </c>
      <c r="F3" s="691" t="s">
        <v>327</v>
      </c>
      <c r="G3" s="691" t="s">
        <v>109</v>
      </c>
      <c r="H3" s="694" t="s">
        <v>116</v>
      </c>
      <c r="I3" s="690" t="s">
        <v>99</v>
      </c>
      <c r="J3" s="691" t="s">
        <v>110</v>
      </c>
      <c r="K3" s="691" t="s">
        <v>99</v>
      </c>
      <c r="L3" s="692" t="s">
        <v>184</v>
      </c>
      <c r="M3" s="495"/>
    </row>
    <row r="4" spans="1:15" ht="16.5" customHeight="1">
      <c r="A4" s="108"/>
      <c r="B4" s="695"/>
      <c r="C4" s="693"/>
      <c r="D4" s="691"/>
      <c r="E4" s="691"/>
      <c r="F4" s="691"/>
      <c r="G4" s="691"/>
      <c r="H4" s="694"/>
      <c r="I4" s="690"/>
      <c r="J4" s="691"/>
      <c r="K4" s="691"/>
      <c r="L4" s="692"/>
      <c r="M4" s="495"/>
    </row>
    <row r="5" spans="1:15" ht="11.25" customHeight="1">
      <c r="A5" s="108"/>
      <c r="B5" s="303">
        <f>+B4+1</f>
        <v>1</v>
      </c>
      <c r="C5" s="304" t="s">
        <v>111</v>
      </c>
      <c r="D5" s="304">
        <v>100003773</v>
      </c>
      <c r="E5" s="305" t="s">
        <v>185</v>
      </c>
      <c r="F5" s="306" t="s">
        <v>268</v>
      </c>
      <c r="G5" s="307">
        <v>41669</v>
      </c>
      <c r="H5" s="456">
        <v>9997.5</v>
      </c>
      <c r="I5" s="454">
        <f t="shared" ref="I5:I35" si="0">+H5/J5</f>
        <v>2.8229962303576221</v>
      </c>
      <c r="J5" s="457">
        <v>3541.45</v>
      </c>
      <c r="K5" s="455">
        <v>1.3427</v>
      </c>
      <c r="L5" s="308">
        <f t="shared" ref="L5:L35" si="1">+J5/K5</f>
        <v>2637.558650480375</v>
      </c>
      <c r="M5" s="495"/>
    </row>
    <row r="6" spans="1:15" ht="11.25" customHeight="1">
      <c r="A6" s="108"/>
      <c r="B6" s="303">
        <f t="shared" ref="B6:B35" si="2">1+B5</f>
        <v>2</v>
      </c>
      <c r="C6" s="304" t="s">
        <v>111</v>
      </c>
      <c r="D6" s="304" t="s">
        <v>112</v>
      </c>
      <c r="E6" s="305" t="s">
        <v>186</v>
      </c>
      <c r="F6" s="306" t="s">
        <v>268</v>
      </c>
      <c r="G6" s="307">
        <v>41669</v>
      </c>
      <c r="H6" s="456">
        <v>900</v>
      </c>
      <c r="I6" s="454">
        <f t="shared" si="0"/>
        <v>2.8229980239013832</v>
      </c>
      <c r="J6" s="457">
        <v>318.81</v>
      </c>
      <c r="K6" s="455">
        <v>1.3427</v>
      </c>
      <c r="L6" s="308">
        <f t="shared" si="1"/>
        <v>237.43948759961273</v>
      </c>
      <c r="M6" s="495"/>
      <c r="O6" s="345"/>
    </row>
    <row r="7" spans="1:15" ht="11.25" customHeight="1">
      <c r="A7" s="108"/>
      <c r="B7" s="303">
        <f t="shared" si="2"/>
        <v>3</v>
      </c>
      <c r="C7" s="304" t="s">
        <v>111</v>
      </c>
      <c r="D7" s="304">
        <v>1900002945</v>
      </c>
      <c r="E7" s="305" t="s">
        <v>187</v>
      </c>
      <c r="F7" s="306" t="s">
        <v>284</v>
      </c>
      <c r="G7" s="307">
        <v>41673</v>
      </c>
      <c r="H7" s="456">
        <v>1259</v>
      </c>
      <c r="I7" s="454">
        <f t="shared" si="0"/>
        <v>2.8180047899366567</v>
      </c>
      <c r="J7" s="457">
        <v>446.77</v>
      </c>
      <c r="K7" s="455">
        <v>1.3427</v>
      </c>
      <c r="L7" s="308">
        <f t="shared" si="1"/>
        <v>332.74000148953598</v>
      </c>
      <c r="M7" s="495"/>
    </row>
    <row r="8" spans="1:15" ht="11.25" customHeight="1">
      <c r="A8" s="108"/>
      <c r="B8" s="303">
        <f t="shared" si="2"/>
        <v>4</v>
      </c>
      <c r="C8" s="304" t="s">
        <v>111</v>
      </c>
      <c r="D8" s="304">
        <v>1900002944</v>
      </c>
      <c r="E8" s="305" t="s">
        <v>188</v>
      </c>
      <c r="F8" s="306" t="s">
        <v>358</v>
      </c>
      <c r="G8" s="307">
        <v>41673</v>
      </c>
      <c r="H8" s="456">
        <v>3499</v>
      </c>
      <c r="I8" s="454">
        <f t="shared" si="0"/>
        <v>2.8180017073917174</v>
      </c>
      <c r="J8" s="457">
        <v>1241.6600000000001</v>
      </c>
      <c r="K8" s="455">
        <v>1.3427</v>
      </c>
      <c r="L8" s="308">
        <f t="shared" si="1"/>
        <v>924.74864079839131</v>
      </c>
      <c r="M8" s="495"/>
    </row>
    <row r="9" spans="1:15" ht="11.25" customHeight="1">
      <c r="A9" s="108"/>
      <c r="B9" s="303">
        <f t="shared" si="2"/>
        <v>5</v>
      </c>
      <c r="C9" s="304" t="s">
        <v>111</v>
      </c>
      <c r="D9" s="304">
        <v>1900002986</v>
      </c>
      <c r="E9" s="305" t="s">
        <v>189</v>
      </c>
      <c r="F9" s="306" t="s">
        <v>283</v>
      </c>
      <c r="G9" s="307">
        <v>41675</v>
      </c>
      <c r="H9" s="456">
        <v>20</v>
      </c>
      <c r="I9" s="454">
        <f t="shared" si="0"/>
        <v>2.8208744710860367</v>
      </c>
      <c r="J9" s="457">
        <v>7.09</v>
      </c>
      <c r="K9" s="455">
        <v>1.3427</v>
      </c>
      <c r="L9" s="308">
        <f t="shared" si="1"/>
        <v>5.2804051537945931</v>
      </c>
      <c r="M9" s="495"/>
    </row>
    <row r="10" spans="1:15" ht="11.25" customHeight="1">
      <c r="A10" s="108"/>
      <c r="B10" s="303">
        <f t="shared" si="2"/>
        <v>6</v>
      </c>
      <c r="C10" s="304" t="s">
        <v>111</v>
      </c>
      <c r="D10" s="304">
        <v>1900002992</v>
      </c>
      <c r="E10" s="305" t="s">
        <v>347</v>
      </c>
      <c r="F10" s="306" t="s">
        <v>284</v>
      </c>
      <c r="G10" s="307">
        <v>41681</v>
      </c>
      <c r="H10" s="456">
        <v>906</v>
      </c>
      <c r="I10" s="454">
        <f t="shared" si="0"/>
        <v>2.8180404354587871</v>
      </c>
      <c r="J10" s="457">
        <v>321.5</v>
      </c>
      <c r="K10" s="455">
        <v>1.3427</v>
      </c>
      <c r="L10" s="308">
        <f t="shared" si="1"/>
        <v>239.44291353243466</v>
      </c>
      <c r="M10" s="495"/>
    </row>
    <row r="11" spans="1:15" ht="11.25" customHeight="1">
      <c r="A11" s="108"/>
      <c r="B11" s="303">
        <f t="shared" si="2"/>
        <v>7</v>
      </c>
      <c r="C11" s="304" t="s">
        <v>111</v>
      </c>
      <c r="D11" s="304">
        <v>1900003083</v>
      </c>
      <c r="E11" s="305" t="s">
        <v>190</v>
      </c>
      <c r="F11" s="306" t="s">
        <v>284</v>
      </c>
      <c r="G11" s="307">
        <v>41681</v>
      </c>
      <c r="H11" s="456">
        <v>38</v>
      </c>
      <c r="I11" s="454">
        <f t="shared" si="0"/>
        <v>2.8189910979228485</v>
      </c>
      <c r="J11" s="457">
        <v>13.48</v>
      </c>
      <c r="K11" s="455">
        <v>1.3427</v>
      </c>
      <c r="L11" s="308">
        <f t="shared" si="1"/>
        <v>10.039472704252626</v>
      </c>
      <c r="M11" s="495"/>
    </row>
    <row r="12" spans="1:15" ht="11.25" customHeight="1">
      <c r="A12" s="108"/>
      <c r="B12" s="303">
        <f t="shared" si="2"/>
        <v>8</v>
      </c>
      <c r="C12" s="304" t="s">
        <v>111</v>
      </c>
      <c r="D12" s="304">
        <v>1900003038</v>
      </c>
      <c r="E12" s="305" t="s">
        <v>346</v>
      </c>
      <c r="F12" s="306" t="s">
        <v>277</v>
      </c>
      <c r="G12" s="307">
        <v>41688</v>
      </c>
      <c r="H12" s="456">
        <v>3454.4</v>
      </c>
      <c r="I12" s="454">
        <f t="shared" si="0"/>
        <v>2.802008387206671</v>
      </c>
      <c r="J12" s="457">
        <v>1232.83</v>
      </c>
      <c r="K12" s="455">
        <v>1.3427</v>
      </c>
      <c r="L12" s="308">
        <f t="shared" si="1"/>
        <v>918.1723393163029</v>
      </c>
      <c r="M12" s="495"/>
    </row>
    <row r="13" spans="1:15" ht="11.25" customHeight="1">
      <c r="A13" s="108"/>
      <c r="B13" s="303">
        <f t="shared" si="2"/>
        <v>9</v>
      </c>
      <c r="C13" s="304" t="s">
        <v>111</v>
      </c>
      <c r="D13" s="304">
        <v>1900003056</v>
      </c>
      <c r="E13" s="305" t="s">
        <v>191</v>
      </c>
      <c r="F13" s="306" t="s">
        <v>284</v>
      </c>
      <c r="G13" s="307">
        <v>41696</v>
      </c>
      <c r="H13" s="456">
        <v>136</v>
      </c>
      <c r="I13" s="454">
        <f t="shared" si="0"/>
        <v>2.8058592944089127</v>
      </c>
      <c r="J13" s="457">
        <v>48.47</v>
      </c>
      <c r="K13" s="455">
        <v>1.3427</v>
      </c>
      <c r="L13" s="308">
        <f t="shared" si="1"/>
        <v>36.098905191032991</v>
      </c>
      <c r="M13" s="495"/>
    </row>
    <row r="14" spans="1:15" ht="11.25" customHeight="1">
      <c r="A14" s="108"/>
      <c r="B14" s="303">
        <f t="shared" si="2"/>
        <v>10</v>
      </c>
      <c r="C14" s="304" t="s">
        <v>111</v>
      </c>
      <c r="D14" s="304">
        <v>100003840</v>
      </c>
      <c r="E14" s="305" t="s">
        <v>193</v>
      </c>
      <c r="F14" s="306" t="s">
        <v>474</v>
      </c>
      <c r="G14" s="307">
        <v>41697</v>
      </c>
      <c r="H14" s="456">
        <v>16848</v>
      </c>
      <c r="I14" s="454">
        <f t="shared" si="0"/>
        <v>2.8079999999999998</v>
      </c>
      <c r="J14" s="457">
        <v>6000</v>
      </c>
      <c r="K14" s="455">
        <v>1.3427</v>
      </c>
      <c r="L14" s="308">
        <f t="shared" si="1"/>
        <v>4468.6080285990911</v>
      </c>
      <c r="M14" s="495"/>
    </row>
    <row r="15" spans="1:15" ht="11.25" customHeight="1">
      <c r="A15" s="108"/>
      <c r="B15" s="303">
        <f t="shared" si="2"/>
        <v>11</v>
      </c>
      <c r="C15" s="304" t="s">
        <v>111</v>
      </c>
      <c r="D15" s="304" t="s">
        <v>113</v>
      </c>
      <c r="E15" s="305" t="s">
        <v>192</v>
      </c>
      <c r="F15" s="306" t="s">
        <v>474</v>
      </c>
      <c r="G15" s="307">
        <v>41697</v>
      </c>
      <c r="H15" s="456">
        <v>1517</v>
      </c>
      <c r="I15" s="454">
        <f t="shared" si="0"/>
        <v>2.8080112542573672</v>
      </c>
      <c r="J15" s="457">
        <v>540.24</v>
      </c>
      <c r="K15" s="455">
        <v>1.3427</v>
      </c>
      <c r="L15" s="308">
        <f t="shared" si="1"/>
        <v>402.35346689506218</v>
      </c>
      <c r="M15" s="495"/>
    </row>
    <row r="16" spans="1:15" ht="11.25" customHeight="1">
      <c r="A16" s="108"/>
      <c r="B16" s="303">
        <f t="shared" si="2"/>
        <v>12</v>
      </c>
      <c r="C16" s="304" t="s">
        <v>111</v>
      </c>
      <c r="D16" s="304">
        <v>1900003122</v>
      </c>
      <c r="E16" s="305" t="s">
        <v>194</v>
      </c>
      <c r="F16" s="306" t="s">
        <v>284</v>
      </c>
      <c r="G16" s="307">
        <v>41701</v>
      </c>
      <c r="H16" s="456">
        <v>598.79999999999995</v>
      </c>
      <c r="I16" s="454">
        <f t="shared" si="0"/>
        <v>2.7990464170523066</v>
      </c>
      <c r="J16" s="457">
        <v>213.93</v>
      </c>
      <c r="K16" s="455">
        <v>1.3427</v>
      </c>
      <c r="L16" s="308">
        <f t="shared" si="1"/>
        <v>159.3282192597006</v>
      </c>
      <c r="M16" s="495"/>
      <c r="O16" s="107">
        <f>1497*0.4</f>
        <v>598.80000000000007</v>
      </c>
    </row>
    <row r="17" spans="1:18" ht="11.25" customHeight="1">
      <c r="A17" s="108"/>
      <c r="B17" s="303">
        <f t="shared" si="2"/>
        <v>13</v>
      </c>
      <c r="C17" s="304" t="s">
        <v>111</v>
      </c>
      <c r="D17" s="304">
        <v>1900003078</v>
      </c>
      <c r="E17" s="305" t="s">
        <v>196</v>
      </c>
      <c r="F17" s="306" t="s">
        <v>277</v>
      </c>
      <c r="G17" s="307">
        <v>41704</v>
      </c>
      <c r="H17" s="456">
        <v>258.5</v>
      </c>
      <c r="I17" s="454">
        <f t="shared" si="0"/>
        <v>2.7979218530143957</v>
      </c>
      <c r="J17" s="457">
        <v>92.39</v>
      </c>
      <c r="K17" s="455">
        <v>1.3427</v>
      </c>
      <c r="L17" s="308">
        <f t="shared" si="1"/>
        <v>68.809115960378335</v>
      </c>
      <c r="M17" s="495"/>
    </row>
    <row r="18" spans="1:18" ht="11.25" customHeight="1">
      <c r="A18" s="108"/>
      <c r="B18" s="303">
        <f t="shared" si="2"/>
        <v>14</v>
      </c>
      <c r="C18" s="304" t="s">
        <v>111</v>
      </c>
      <c r="D18" s="304">
        <v>1900003078</v>
      </c>
      <c r="E18" s="305" t="s">
        <v>195</v>
      </c>
      <c r="F18" s="306" t="s">
        <v>284</v>
      </c>
      <c r="G18" s="307">
        <v>41704</v>
      </c>
      <c r="H18" s="456">
        <v>11</v>
      </c>
      <c r="I18" s="469">
        <f t="shared" si="0"/>
        <v>2.7918781725888326</v>
      </c>
      <c r="J18" s="457">
        <v>3.94</v>
      </c>
      <c r="K18" s="455">
        <v>1.3427</v>
      </c>
      <c r="L18" s="308">
        <f t="shared" si="1"/>
        <v>2.9343859387800699</v>
      </c>
      <c r="M18" s="495"/>
      <c r="N18" s="107">
        <f>8.5/I18</f>
        <v>3.0445454545454544</v>
      </c>
      <c r="O18" s="107">
        <f>2.5/I18</f>
        <v>0.89545454545454539</v>
      </c>
    </row>
    <row r="19" spans="1:18" ht="11.25" customHeight="1">
      <c r="A19" s="108"/>
      <c r="B19" s="303">
        <f t="shared" si="2"/>
        <v>15</v>
      </c>
      <c r="C19" s="304" t="s">
        <v>111</v>
      </c>
      <c r="D19" s="304">
        <v>1900003142</v>
      </c>
      <c r="E19" s="305" t="s">
        <v>553</v>
      </c>
      <c r="F19" s="306" t="s">
        <v>277</v>
      </c>
      <c r="G19" s="307">
        <v>41711</v>
      </c>
      <c r="H19" s="456">
        <v>4559.6099999999997</v>
      </c>
      <c r="I19" s="454">
        <f t="shared" si="0"/>
        <v>2.8049989849464483</v>
      </c>
      <c r="J19" s="457">
        <v>1625.53</v>
      </c>
      <c r="K19" s="455">
        <v>1.3427</v>
      </c>
      <c r="L19" s="308">
        <f t="shared" si="1"/>
        <v>1210.6427347881136</v>
      </c>
      <c r="M19" s="495"/>
    </row>
    <row r="20" spans="1:18" ht="11.25" customHeight="1">
      <c r="A20" s="108"/>
      <c r="B20" s="303">
        <f t="shared" si="2"/>
        <v>16</v>
      </c>
      <c r="C20" s="304" t="s">
        <v>111</v>
      </c>
      <c r="D20" s="304">
        <v>1900003143</v>
      </c>
      <c r="E20" s="305" t="s">
        <v>202</v>
      </c>
      <c r="F20" s="306" t="s">
        <v>277</v>
      </c>
      <c r="G20" s="307">
        <v>41711</v>
      </c>
      <c r="H20" s="456">
        <v>622</v>
      </c>
      <c r="I20" s="454">
        <f t="shared" si="0"/>
        <v>2.8049605411499434</v>
      </c>
      <c r="J20" s="457">
        <v>221.75</v>
      </c>
      <c r="K20" s="455">
        <v>1.3427</v>
      </c>
      <c r="L20" s="308">
        <f t="shared" si="1"/>
        <v>165.15230505697474</v>
      </c>
      <c r="M20" s="495"/>
    </row>
    <row r="21" spans="1:18" s="354" customFormat="1" ht="11.25" customHeight="1">
      <c r="A21" s="352"/>
      <c r="B21" s="353">
        <f t="shared" si="2"/>
        <v>17</v>
      </c>
      <c r="C21" s="304" t="s">
        <v>111</v>
      </c>
      <c r="D21" s="304">
        <v>1900003104</v>
      </c>
      <c r="E21" s="305" t="s">
        <v>199</v>
      </c>
      <c r="F21" s="306" t="s">
        <v>283</v>
      </c>
      <c r="G21" s="307">
        <v>41711</v>
      </c>
      <c r="H21" s="456">
        <v>76</v>
      </c>
      <c r="I21" s="454">
        <f t="shared" si="0"/>
        <v>2.8054632705795495</v>
      </c>
      <c r="J21" s="457">
        <v>27.09</v>
      </c>
      <c r="K21" s="455">
        <v>1.3427</v>
      </c>
      <c r="L21" s="308">
        <f t="shared" si="1"/>
        <v>20.175765249124897</v>
      </c>
      <c r="M21" s="497"/>
    </row>
    <row r="22" spans="1:18" ht="11.25" customHeight="1">
      <c r="A22" s="108"/>
      <c r="B22" s="303">
        <f t="shared" si="2"/>
        <v>18</v>
      </c>
      <c r="C22" s="304" t="s">
        <v>111</v>
      </c>
      <c r="D22" s="304">
        <v>1900003099</v>
      </c>
      <c r="E22" s="305" t="s">
        <v>198</v>
      </c>
      <c r="F22" s="306" t="s">
        <v>284</v>
      </c>
      <c r="G22" s="307">
        <v>41711</v>
      </c>
      <c r="H22" s="456">
        <v>1744.73</v>
      </c>
      <c r="I22" s="454">
        <f t="shared" si="0"/>
        <v>2.8049870580858829</v>
      </c>
      <c r="J22" s="457">
        <v>622.01</v>
      </c>
      <c r="K22" s="455">
        <v>1.3427</v>
      </c>
      <c r="L22" s="308">
        <f t="shared" si="1"/>
        <v>463.25314664482011</v>
      </c>
      <c r="M22" s="495"/>
    </row>
    <row r="23" spans="1:18" ht="11.25" customHeight="1">
      <c r="A23" s="108"/>
      <c r="B23" s="303">
        <f t="shared" si="2"/>
        <v>19</v>
      </c>
      <c r="C23" s="304" t="s">
        <v>111</v>
      </c>
      <c r="D23" s="304">
        <v>1900003144</v>
      </c>
      <c r="E23" s="305" t="s">
        <v>203</v>
      </c>
      <c r="F23" s="306" t="s">
        <v>284</v>
      </c>
      <c r="G23" s="307">
        <v>41711</v>
      </c>
      <c r="H23" s="456">
        <v>898.2</v>
      </c>
      <c r="I23" s="454">
        <f t="shared" si="0"/>
        <v>2.8050341963086729</v>
      </c>
      <c r="J23" s="457">
        <v>320.20999999999998</v>
      </c>
      <c r="K23" s="455">
        <v>1.3427</v>
      </c>
      <c r="L23" s="308">
        <f t="shared" si="1"/>
        <v>238.48216280628583</v>
      </c>
      <c r="M23" s="495"/>
      <c r="O23" s="107">
        <f>1497*0.6</f>
        <v>898.19999999999993</v>
      </c>
    </row>
    <row r="24" spans="1:18" ht="11.25" customHeight="1">
      <c r="A24" s="108"/>
      <c r="B24" s="303">
        <f t="shared" si="2"/>
        <v>20</v>
      </c>
      <c r="C24" s="304" t="s">
        <v>111</v>
      </c>
      <c r="D24" s="304">
        <v>1900003096</v>
      </c>
      <c r="E24" s="305" t="s">
        <v>197</v>
      </c>
      <c r="F24" s="306" t="s">
        <v>358</v>
      </c>
      <c r="G24" s="307">
        <v>41711</v>
      </c>
      <c r="H24" s="456">
        <v>3798</v>
      </c>
      <c r="I24" s="454">
        <f t="shared" si="0"/>
        <v>2.8050014401666163</v>
      </c>
      <c r="J24" s="457">
        <v>1354.01</v>
      </c>
      <c r="K24" s="455">
        <v>1.3427</v>
      </c>
      <c r="L24" s="308">
        <f t="shared" si="1"/>
        <v>1008.4233261339093</v>
      </c>
      <c r="M24" s="495"/>
    </row>
    <row r="25" spans="1:18" ht="11.25" customHeight="1">
      <c r="A25" s="108"/>
      <c r="B25" s="303">
        <f t="shared" si="2"/>
        <v>21</v>
      </c>
      <c r="C25" s="303" t="s">
        <v>111</v>
      </c>
      <c r="D25" s="303">
        <v>1900003106</v>
      </c>
      <c r="E25" s="570" t="s">
        <v>640</v>
      </c>
      <c r="F25" s="571" t="s">
        <v>284</v>
      </c>
      <c r="G25" s="572">
        <v>41717</v>
      </c>
      <c r="H25" s="456">
        <v>50</v>
      </c>
      <c r="I25" s="454">
        <f t="shared" si="0"/>
        <v>2.8074115665356545</v>
      </c>
      <c r="J25" s="454">
        <v>17.809999999999999</v>
      </c>
      <c r="K25" s="455">
        <v>1.3427</v>
      </c>
      <c r="L25" s="308">
        <f>+J25/K25</f>
        <v>13.264318164891636</v>
      </c>
      <c r="M25" s="495"/>
      <c r="Q25" s="346">
        <f>+H25+H26+H27+H24+2000</f>
        <v>9268.65</v>
      </c>
      <c r="R25" s="347">
        <f>+J24+J25+J26+J27</f>
        <v>2588.6999999999998</v>
      </c>
    </row>
    <row r="26" spans="1:18" ht="11.25" customHeight="1">
      <c r="A26" s="108"/>
      <c r="B26" s="303">
        <f t="shared" si="2"/>
        <v>22</v>
      </c>
      <c r="C26" s="304" t="s">
        <v>111</v>
      </c>
      <c r="D26" s="304">
        <v>1900003112</v>
      </c>
      <c r="E26" s="305" t="s">
        <v>204</v>
      </c>
      <c r="F26" s="306" t="s">
        <v>409</v>
      </c>
      <c r="G26" s="307">
        <v>41719</v>
      </c>
      <c r="H26" s="456">
        <v>421.65</v>
      </c>
      <c r="I26" s="454">
        <f t="shared" si="0"/>
        <v>2.8109999999999999</v>
      </c>
      <c r="J26" s="457">
        <v>150</v>
      </c>
      <c r="K26" s="455">
        <v>1.3427</v>
      </c>
      <c r="L26" s="308">
        <f t="shared" si="1"/>
        <v>111.71520071497729</v>
      </c>
      <c r="M26" s="495"/>
    </row>
    <row r="27" spans="1:18" ht="11.25" customHeight="1">
      <c r="A27" s="108"/>
      <c r="B27" s="303">
        <f t="shared" si="2"/>
        <v>23</v>
      </c>
      <c r="C27" s="304" t="s">
        <v>111</v>
      </c>
      <c r="D27" s="304">
        <v>1900003115</v>
      </c>
      <c r="E27" s="305" t="s">
        <v>206</v>
      </c>
      <c r="F27" s="306" t="s">
        <v>358</v>
      </c>
      <c r="G27" s="307">
        <v>41719</v>
      </c>
      <c r="H27" s="456">
        <v>2999</v>
      </c>
      <c r="I27" s="454">
        <f t="shared" si="0"/>
        <v>2.8110002999400119</v>
      </c>
      <c r="J27" s="457">
        <v>1066.8800000000001</v>
      </c>
      <c r="K27" s="455">
        <v>1.3427</v>
      </c>
      <c r="L27" s="308">
        <f t="shared" si="1"/>
        <v>794.57808892529988</v>
      </c>
      <c r="M27" s="495"/>
    </row>
    <row r="28" spans="1:18" ht="11.25" customHeight="1">
      <c r="A28" s="108"/>
      <c r="B28" s="303">
        <f t="shared" si="2"/>
        <v>24</v>
      </c>
      <c r="C28" s="304" t="s">
        <v>111</v>
      </c>
      <c r="D28" s="304">
        <v>1900003160</v>
      </c>
      <c r="E28" s="305" t="s">
        <v>205</v>
      </c>
      <c r="F28" s="306" t="s">
        <v>358</v>
      </c>
      <c r="G28" s="307">
        <v>41719</v>
      </c>
      <c r="H28" s="456">
        <v>2849.28</v>
      </c>
      <c r="I28" s="454">
        <f t="shared" si="0"/>
        <v>2.8109942582032716</v>
      </c>
      <c r="J28" s="457">
        <v>1013.62</v>
      </c>
      <c r="K28" s="455">
        <v>1.3427</v>
      </c>
      <c r="L28" s="308">
        <f t="shared" si="1"/>
        <v>754.91174499143517</v>
      </c>
      <c r="M28" s="495"/>
    </row>
    <row r="29" spans="1:18" ht="11.25" customHeight="1">
      <c r="A29" s="108"/>
      <c r="B29" s="303">
        <f t="shared" si="2"/>
        <v>25</v>
      </c>
      <c r="C29" s="304" t="s">
        <v>111</v>
      </c>
      <c r="D29" s="304">
        <v>1900003118</v>
      </c>
      <c r="E29" s="305" t="s">
        <v>207</v>
      </c>
      <c r="F29" s="306" t="s">
        <v>283</v>
      </c>
      <c r="G29" s="307">
        <v>41723</v>
      </c>
      <c r="H29" s="456">
        <v>24</v>
      </c>
      <c r="I29" s="454">
        <f t="shared" si="0"/>
        <v>2.807017543859649</v>
      </c>
      <c r="J29" s="457">
        <v>8.5500000000000007</v>
      </c>
      <c r="K29" s="455">
        <v>1.3427</v>
      </c>
      <c r="L29" s="308">
        <f t="shared" si="1"/>
        <v>6.367766440753706</v>
      </c>
      <c r="M29" s="495"/>
    </row>
    <row r="30" spans="1:18" ht="11.25" customHeight="1">
      <c r="A30" s="108"/>
      <c r="B30" s="303">
        <f t="shared" si="2"/>
        <v>26</v>
      </c>
      <c r="C30" s="304" t="s">
        <v>111</v>
      </c>
      <c r="D30" s="304">
        <v>1900003118</v>
      </c>
      <c r="E30" s="305" t="s">
        <v>208</v>
      </c>
      <c r="F30" s="306" t="s">
        <v>284</v>
      </c>
      <c r="G30" s="307">
        <v>41723</v>
      </c>
      <c r="H30" s="456">
        <v>230</v>
      </c>
      <c r="I30" s="454">
        <f t="shared" si="0"/>
        <v>2.8079599560493227</v>
      </c>
      <c r="J30" s="457">
        <v>81.91</v>
      </c>
      <c r="K30" s="455">
        <v>1.3427</v>
      </c>
      <c r="L30" s="308">
        <f t="shared" si="1"/>
        <v>61.003947270425257</v>
      </c>
      <c r="M30" s="495"/>
    </row>
    <row r="31" spans="1:18" ht="11.25" customHeight="1">
      <c r="A31" s="108"/>
      <c r="B31" s="303">
        <f t="shared" si="2"/>
        <v>27</v>
      </c>
      <c r="C31" s="304" t="s">
        <v>111</v>
      </c>
      <c r="D31" s="304">
        <v>1900003199</v>
      </c>
      <c r="E31" s="305" t="s">
        <v>201</v>
      </c>
      <c r="F31" s="306" t="s">
        <v>278</v>
      </c>
      <c r="G31" s="307">
        <v>41729</v>
      </c>
      <c r="H31" s="456">
        <v>422</v>
      </c>
      <c r="I31" s="454">
        <f t="shared" si="0"/>
        <v>2.8090261598881718</v>
      </c>
      <c r="J31" s="457">
        <v>150.22999999999999</v>
      </c>
      <c r="K31" s="455">
        <v>1.3427</v>
      </c>
      <c r="L31" s="308">
        <f t="shared" si="1"/>
        <v>111.88649735607358</v>
      </c>
      <c r="M31" s="495"/>
    </row>
    <row r="32" spans="1:18" ht="11.25" customHeight="1">
      <c r="A32" s="108"/>
      <c r="B32" s="303">
        <f t="shared" si="2"/>
        <v>28</v>
      </c>
      <c r="C32" s="304" t="s">
        <v>111</v>
      </c>
      <c r="D32" s="304">
        <v>100003958</v>
      </c>
      <c r="E32" s="305" t="s">
        <v>200</v>
      </c>
      <c r="F32" s="306" t="s">
        <v>128</v>
      </c>
      <c r="G32" s="307">
        <v>41729</v>
      </c>
      <c r="H32" s="456">
        <v>22740.1</v>
      </c>
      <c r="I32" s="454">
        <f t="shared" si="0"/>
        <v>2.8089976468263034</v>
      </c>
      <c r="J32" s="457">
        <v>8095.45</v>
      </c>
      <c r="K32" s="455">
        <v>1.3427</v>
      </c>
      <c r="L32" s="308">
        <f t="shared" si="1"/>
        <v>6029.2321441870854</v>
      </c>
      <c r="M32" s="495"/>
    </row>
    <row r="33" spans="1:13" ht="11.25" customHeight="1">
      <c r="A33" s="108"/>
      <c r="B33" s="303">
        <f t="shared" si="2"/>
        <v>29</v>
      </c>
      <c r="C33" s="304" t="s">
        <v>111</v>
      </c>
      <c r="D33" s="304" t="s">
        <v>114</v>
      </c>
      <c r="E33" s="305" t="s">
        <v>200</v>
      </c>
      <c r="F33" s="306" t="s">
        <v>128</v>
      </c>
      <c r="G33" s="307">
        <v>41729</v>
      </c>
      <c r="H33" s="456">
        <v>2047</v>
      </c>
      <c r="I33" s="454">
        <f t="shared" si="0"/>
        <v>2.8089964733165917</v>
      </c>
      <c r="J33" s="457">
        <v>728.73</v>
      </c>
      <c r="K33" s="455">
        <v>1.3427</v>
      </c>
      <c r="L33" s="308">
        <f t="shared" si="1"/>
        <v>542.73478811350265</v>
      </c>
      <c r="M33" s="495"/>
    </row>
    <row r="34" spans="1:13" ht="11.25" customHeight="1">
      <c r="A34" s="108"/>
      <c r="B34" s="303">
        <f t="shared" si="2"/>
        <v>30</v>
      </c>
      <c r="C34" s="304" t="s">
        <v>111</v>
      </c>
      <c r="D34" s="304">
        <v>100003961</v>
      </c>
      <c r="E34" s="305" t="s">
        <v>200</v>
      </c>
      <c r="F34" s="306" t="s">
        <v>128</v>
      </c>
      <c r="G34" s="307">
        <v>41729</v>
      </c>
      <c r="H34" s="456">
        <v>545.4</v>
      </c>
      <c r="I34" s="454">
        <f t="shared" si="0"/>
        <v>2.8090234857849197</v>
      </c>
      <c r="J34" s="457">
        <v>194.16</v>
      </c>
      <c r="K34" s="455">
        <v>1.3427</v>
      </c>
      <c r="L34" s="308">
        <f t="shared" si="1"/>
        <v>144.6041558054666</v>
      </c>
      <c r="M34" s="495"/>
    </row>
    <row r="35" spans="1:13" ht="11.25" customHeight="1">
      <c r="A35" s="108"/>
      <c r="B35" s="303">
        <f t="shared" si="2"/>
        <v>31</v>
      </c>
      <c r="C35" s="304" t="s">
        <v>111</v>
      </c>
      <c r="D35" s="304" t="s">
        <v>115</v>
      </c>
      <c r="E35" s="305" t="s">
        <v>200</v>
      </c>
      <c r="F35" s="306" t="s">
        <v>128</v>
      </c>
      <c r="G35" s="307">
        <v>41729</v>
      </c>
      <c r="H35" s="456">
        <v>49</v>
      </c>
      <c r="I35" s="454">
        <f t="shared" si="0"/>
        <v>2.8096330275229358</v>
      </c>
      <c r="J35" s="457">
        <v>17.440000000000001</v>
      </c>
      <c r="K35" s="455">
        <v>1.3427</v>
      </c>
      <c r="L35" s="308">
        <f t="shared" si="1"/>
        <v>12.988754003128026</v>
      </c>
      <c r="M35" s="495"/>
    </row>
    <row r="36" spans="1:13" ht="16.5" customHeight="1">
      <c r="A36" s="108"/>
      <c r="B36" s="490"/>
      <c r="C36" s="492"/>
      <c r="D36" s="490"/>
      <c r="E36" s="493"/>
      <c r="F36" s="494"/>
      <c r="G36" s="490"/>
      <c r="H36" s="498">
        <f>SUM(H5:H35)</f>
        <v>83519.17</v>
      </c>
      <c r="I36" s="454"/>
      <c r="J36" s="499">
        <f>SUM(J5:J35)</f>
        <v>29717.939999999995</v>
      </c>
      <c r="K36" s="500"/>
      <c r="L36" s="501">
        <f>SUM(L5:L35)</f>
        <v>22132.97087957101</v>
      </c>
      <c r="M36" s="495"/>
    </row>
    <row r="37" spans="1:13" ht="6" customHeight="1" thickBot="1">
      <c r="A37" s="109"/>
      <c r="B37" s="495"/>
      <c r="C37" s="495"/>
      <c r="D37" s="495"/>
      <c r="E37" s="496"/>
      <c r="F37" s="495"/>
      <c r="G37" s="495"/>
      <c r="H37" s="495"/>
      <c r="I37" s="495"/>
      <c r="J37" s="495"/>
      <c r="K37" s="495"/>
      <c r="L37" s="495"/>
      <c r="M37" s="495"/>
    </row>
    <row r="40" spans="1:13" ht="11.25" customHeight="1"/>
    <row r="41" spans="1:13" ht="11.25" customHeight="1">
      <c r="H41" s="107">
        <f>54616.59+28906.78</f>
        <v>83523.37</v>
      </c>
    </row>
    <row r="43" spans="1:13">
      <c r="H43" s="355">
        <f>+H36-H41</f>
        <v>-4.1999999999970896</v>
      </c>
    </row>
  </sheetData>
  <sortState ref="B5:L35">
    <sortCondition ref="G5:G35"/>
  </sortState>
  <mergeCells count="12">
    <mergeCell ref="B2:L2"/>
    <mergeCell ref="I3:I4"/>
    <mergeCell ref="K3:K4"/>
    <mergeCell ref="D3:D4"/>
    <mergeCell ref="F3:F4"/>
    <mergeCell ref="G3:G4"/>
    <mergeCell ref="L3:L4"/>
    <mergeCell ref="C3:C4"/>
    <mergeCell ref="E3:E4"/>
    <mergeCell ref="H3:H4"/>
    <mergeCell ref="J3:J4"/>
    <mergeCell ref="B3:B4"/>
  </mergeCells>
  <pageMargins left="0.70866141732283472" right="0.70866141732283472" top="0.74803149606299213" bottom="0.74803149606299213" header="0.31496062992125984" footer="0.31496062992125984"/>
  <pageSetup paperSize="9" scale="8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8"/>
  </sheetPr>
  <dimension ref="A1:M31"/>
  <sheetViews>
    <sheetView zoomScaleNormal="100" workbookViewId="0">
      <pane xSplit="1" ySplit="4" topLeftCell="C5" activePane="bottomRight" state="frozen"/>
      <selection pane="topRight" activeCell="B1" sqref="B1"/>
      <selection pane="bottomLeft" activeCell="A5" sqref="A5"/>
      <selection pane="bottomRight" activeCell="D22" sqref="D22"/>
    </sheetView>
  </sheetViews>
  <sheetFormatPr defaultRowHeight="11.25"/>
  <cols>
    <col min="1" max="1" width="2.42578125" style="107" customWidth="1"/>
    <col min="2" max="2" width="3.28515625" style="111" customWidth="1"/>
    <col min="3" max="3" width="18" style="111" customWidth="1"/>
    <col min="4" max="4" width="12.5703125" style="111" customWidth="1"/>
    <col min="5" max="5" width="56.7109375" style="112" customWidth="1"/>
    <col min="6" max="6" width="8.28515625" style="111" customWidth="1"/>
    <col min="7" max="7" width="8.85546875" style="111" customWidth="1"/>
    <col min="8" max="8" width="13.28515625" style="113" customWidth="1"/>
    <col min="9" max="9" width="8.28515625" style="107" customWidth="1"/>
    <col min="10" max="10" width="11.85546875" style="114" customWidth="1"/>
    <col min="11" max="11" width="8.28515625" style="111" customWidth="1"/>
    <col min="12" max="12" width="11.140625" style="113" customWidth="1"/>
    <col min="13" max="13" width="18" style="107" customWidth="1"/>
    <col min="14" max="16384" width="9.140625" style="107"/>
  </cols>
  <sheetData>
    <row r="1" spans="1:13" ht="5.25" customHeight="1">
      <c r="A1" s="495"/>
      <c r="B1" s="504"/>
      <c r="C1" s="504"/>
      <c r="D1" s="504"/>
      <c r="E1" s="505"/>
      <c r="F1" s="504"/>
      <c r="G1" s="504"/>
      <c r="H1" s="506"/>
      <c r="I1" s="495"/>
      <c r="J1" s="507"/>
      <c r="K1" s="504"/>
      <c r="L1" s="506"/>
    </row>
    <row r="2" spans="1:13" ht="22.5" customHeight="1">
      <c r="A2" s="495"/>
      <c r="B2" s="696" t="s">
        <v>349</v>
      </c>
      <c r="C2" s="696"/>
      <c r="D2" s="696"/>
      <c r="E2" s="696"/>
      <c r="F2" s="696"/>
      <c r="G2" s="696"/>
      <c r="H2" s="696"/>
      <c r="I2" s="696"/>
      <c r="J2" s="696"/>
      <c r="K2" s="696"/>
      <c r="L2" s="696"/>
    </row>
    <row r="3" spans="1:13" ht="14.25" customHeight="1">
      <c r="A3" s="495"/>
      <c r="B3" s="701"/>
      <c r="C3" s="697" t="s">
        <v>107</v>
      </c>
      <c r="D3" s="697" t="s">
        <v>348</v>
      </c>
      <c r="E3" s="697" t="s">
        <v>108</v>
      </c>
      <c r="F3" s="697" t="s">
        <v>327</v>
      </c>
      <c r="G3" s="697" t="s">
        <v>109</v>
      </c>
      <c r="H3" s="699" t="s">
        <v>116</v>
      </c>
      <c r="I3" s="698" t="s">
        <v>99</v>
      </c>
      <c r="J3" s="697" t="s">
        <v>110</v>
      </c>
      <c r="K3" s="697" t="s">
        <v>99</v>
      </c>
      <c r="L3" s="700" t="s">
        <v>184</v>
      </c>
    </row>
    <row r="4" spans="1:13" ht="19.5" customHeight="1">
      <c r="A4" s="495"/>
      <c r="B4" s="701"/>
      <c r="C4" s="697"/>
      <c r="D4" s="697"/>
      <c r="E4" s="697"/>
      <c r="F4" s="697"/>
      <c r="G4" s="697"/>
      <c r="H4" s="699"/>
      <c r="I4" s="698"/>
      <c r="J4" s="697"/>
      <c r="K4" s="697"/>
      <c r="L4" s="700"/>
    </row>
    <row r="5" spans="1:13" ht="11.25" customHeight="1">
      <c r="A5" s="495"/>
      <c r="B5" s="304">
        <f t="shared" ref="B5:B22" si="0">+B4+1</f>
        <v>1</v>
      </c>
      <c r="C5" s="304" t="s">
        <v>111</v>
      </c>
      <c r="D5" s="304">
        <v>100027077</v>
      </c>
      <c r="E5" s="461" t="s">
        <v>177</v>
      </c>
      <c r="F5" s="304"/>
      <c r="G5" s="304" t="s">
        <v>169</v>
      </c>
      <c r="H5" s="351">
        <v>0</v>
      </c>
      <c r="I5" s="462">
        <f t="shared" ref="I5:I22" si="1">+H5/J5</f>
        <v>0</v>
      </c>
      <c r="J5" s="463">
        <v>3.85</v>
      </c>
      <c r="K5" s="304">
        <v>1.3427</v>
      </c>
      <c r="L5" s="351">
        <f t="shared" ref="L5:L22" si="2">+J5/K5</f>
        <v>2.8673568183510838</v>
      </c>
    </row>
    <row r="6" spans="1:13" ht="11.25" customHeight="1">
      <c r="A6" s="495"/>
      <c r="B6" s="304">
        <f t="shared" si="0"/>
        <v>2</v>
      </c>
      <c r="C6" s="304" t="s">
        <v>111</v>
      </c>
      <c r="D6" s="304">
        <v>1900003179</v>
      </c>
      <c r="E6" s="461" t="s">
        <v>667</v>
      </c>
      <c r="F6" s="304" t="s">
        <v>283</v>
      </c>
      <c r="G6" s="304" t="s">
        <v>173</v>
      </c>
      <c r="H6" s="351">
        <v>31.5</v>
      </c>
      <c r="I6" s="462">
        <f t="shared" si="1"/>
        <v>2.8049866429207477</v>
      </c>
      <c r="J6" s="463">
        <v>11.23</v>
      </c>
      <c r="K6" s="304">
        <v>1.3427</v>
      </c>
      <c r="L6" s="351">
        <f t="shared" si="2"/>
        <v>8.3637446935279662</v>
      </c>
      <c r="M6" s="113"/>
    </row>
    <row r="7" spans="1:13" ht="11.25" customHeight="1">
      <c r="A7" s="495"/>
      <c r="B7" s="304">
        <f t="shared" si="0"/>
        <v>3</v>
      </c>
      <c r="C7" s="304" t="s">
        <v>111</v>
      </c>
      <c r="D7" s="304">
        <v>1900003179</v>
      </c>
      <c r="E7" s="461" t="s">
        <v>373</v>
      </c>
      <c r="F7" s="304" t="s">
        <v>358</v>
      </c>
      <c r="G7" s="304" t="s">
        <v>173</v>
      </c>
      <c r="H7" s="351">
        <v>57.3</v>
      </c>
      <c r="I7" s="462">
        <f t="shared" si="1"/>
        <v>2.8046989720998532</v>
      </c>
      <c r="J7" s="463">
        <v>20.43</v>
      </c>
      <c r="K7" s="304">
        <v>1.3427</v>
      </c>
      <c r="L7" s="351">
        <f t="shared" si="2"/>
        <v>15.215610337379905</v>
      </c>
    </row>
    <row r="8" spans="1:13" ht="11.25" customHeight="1">
      <c r="A8" s="495"/>
      <c r="B8" s="304">
        <f t="shared" si="0"/>
        <v>4</v>
      </c>
      <c r="C8" s="304" t="s">
        <v>111</v>
      </c>
      <c r="D8" s="304">
        <v>1900003260</v>
      </c>
      <c r="E8" s="464" t="s">
        <v>369</v>
      </c>
      <c r="F8" s="463" t="s">
        <v>278</v>
      </c>
      <c r="G8" s="304" t="s">
        <v>171</v>
      </c>
      <c r="H8" s="351">
        <v>590</v>
      </c>
      <c r="I8" s="462">
        <f t="shared" si="1"/>
        <v>2.8069841571911129</v>
      </c>
      <c r="J8" s="463">
        <v>210.19</v>
      </c>
      <c r="K8" s="304">
        <v>1.3427</v>
      </c>
      <c r="L8" s="351">
        <f t="shared" si="2"/>
        <v>156.54278692187384</v>
      </c>
    </row>
    <row r="9" spans="1:13" ht="11.25" customHeight="1">
      <c r="A9" s="495"/>
      <c r="B9" s="304">
        <f t="shared" si="0"/>
        <v>5</v>
      </c>
      <c r="C9" s="304" t="s">
        <v>111</v>
      </c>
      <c r="D9" s="304">
        <v>1900003259</v>
      </c>
      <c r="E9" s="461" t="s">
        <v>668</v>
      </c>
      <c r="F9" s="463" t="s">
        <v>278</v>
      </c>
      <c r="G9" s="304" t="s">
        <v>171</v>
      </c>
      <c r="H9" s="351">
        <v>3097.6</v>
      </c>
      <c r="I9" s="462">
        <f t="shared" si="1"/>
        <v>2.8069921071470643</v>
      </c>
      <c r="J9" s="463">
        <v>1103.53</v>
      </c>
      <c r="K9" s="304">
        <v>1.3427</v>
      </c>
      <c r="L9" s="351">
        <f t="shared" si="2"/>
        <v>821.87383629999249</v>
      </c>
    </row>
    <row r="10" spans="1:13" ht="11.25" customHeight="1">
      <c r="A10" s="495"/>
      <c r="B10" s="304">
        <f t="shared" si="0"/>
        <v>6</v>
      </c>
      <c r="C10" s="304" t="s">
        <v>111</v>
      </c>
      <c r="D10" s="304">
        <v>1900003224</v>
      </c>
      <c r="E10" s="461" t="s">
        <v>366</v>
      </c>
      <c r="F10" s="304" t="s">
        <v>278</v>
      </c>
      <c r="G10" s="304" t="s">
        <v>170</v>
      </c>
      <c r="H10" s="351">
        <v>53</v>
      </c>
      <c r="I10" s="462">
        <f t="shared" si="1"/>
        <v>2.7836134453781516</v>
      </c>
      <c r="J10" s="463">
        <v>19.04</v>
      </c>
      <c r="K10" s="304">
        <v>1.3427</v>
      </c>
      <c r="L10" s="351">
        <f t="shared" si="2"/>
        <v>14.18038281075445</v>
      </c>
    </row>
    <row r="11" spans="1:13" ht="11.25" customHeight="1">
      <c r="A11" s="495"/>
      <c r="B11" s="304">
        <f t="shared" si="0"/>
        <v>7</v>
      </c>
      <c r="C11" s="304" t="s">
        <v>111</v>
      </c>
      <c r="D11" s="304">
        <v>1900003224</v>
      </c>
      <c r="E11" s="461" t="s">
        <v>371</v>
      </c>
      <c r="F11" s="304" t="s">
        <v>283</v>
      </c>
      <c r="G11" s="304" t="s">
        <v>170</v>
      </c>
      <c r="H11" s="351">
        <v>24</v>
      </c>
      <c r="I11" s="462">
        <f t="shared" si="1"/>
        <v>2.7842227378190256</v>
      </c>
      <c r="J11" s="463">
        <v>8.6199999999999992</v>
      </c>
      <c r="K11" s="304">
        <v>1.3427</v>
      </c>
      <c r="L11" s="351">
        <f t="shared" si="2"/>
        <v>6.4199002010873603</v>
      </c>
    </row>
    <row r="12" spans="1:13" ht="11.25" customHeight="1">
      <c r="A12" s="495"/>
      <c r="B12" s="304">
        <f t="shared" si="0"/>
        <v>8</v>
      </c>
      <c r="C12" s="304" t="s">
        <v>111</v>
      </c>
      <c r="D12" s="304">
        <v>1900003226</v>
      </c>
      <c r="E12" s="461" t="s">
        <v>367</v>
      </c>
      <c r="F12" s="304" t="s">
        <v>284</v>
      </c>
      <c r="G12" s="304" t="s">
        <v>170</v>
      </c>
      <c r="H12" s="351">
        <v>74.900000000000006</v>
      </c>
      <c r="I12" s="462">
        <f t="shared" si="1"/>
        <v>2.7843866171003722</v>
      </c>
      <c r="J12" s="463">
        <v>26.9</v>
      </c>
      <c r="K12" s="304">
        <v>1.3427</v>
      </c>
      <c r="L12" s="351">
        <f t="shared" si="2"/>
        <v>20.03425932821926</v>
      </c>
    </row>
    <row r="13" spans="1:13" ht="11.25" customHeight="1">
      <c r="A13" s="495"/>
      <c r="B13" s="304">
        <f t="shared" si="0"/>
        <v>9</v>
      </c>
      <c r="C13" s="304" t="s">
        <v>111</v>
      </c>
      <c r="D13" s="304">
        <v>1900003291</v>
      </c>
      <c r="E13" s="461" t="s">
        <v>370</v>
      </c>
      <c r="F13" s="463" t="s">
        <v>278</v>
      </c>
      <c r="G13" s="304" t="s">
        <v>172</v>
      </c>
      <c r="H13" s="351">
        <v>810</v>
      </c>
      <c r="I13" s="462">
        <f t="shared" si="1"/>
        <v>2.7739726027397262</v>
      </c>
      <c r="J13" s="463">
        <v>292</v>
      </c>
      <c r="K13" s="304">
        <v>1.3427</v>
      </c>
      <c r="L13" s="351">
        <f t="shared" si="2"/>
        <v>217.47225739182244</v>
      </c>
    </row>
    <row r="14" spans="1:13" ht="11.25" customHeight="1">
      <c r="A14" s="495"/>
      <c r="B14" s="304">
        <f t="shared" si="0"/>
        <v>10</v>
      </c>
      <c r="C14" s="304" t="s">
        <v>111</v>
      </c>
      <c r="D14" s="304">
        <v>1900003240</v>
      </c>
      <c r="E14" s="461" t="s">
        <v>180</v>
      </c>
      <c r="F14" s="463" t="s">
        <v>278</v>
      </c>
      <c r="G14" s="304" t="s">
        <v>168</v>
      </c>
      <c r="H14" s="351">
        <v>1061.26</v>
      </c>
      <c r="I14" s="462">
        <f t="shared" si="1"/>
        <v>1.8497873527156103</v>
      </c>
      <c r="J14" s="463">
        <v>573.72</v>
      </c>
      <c r="K14" s="304">
        <v>1.3427</v>
      </c>
      <c r="L14" s="351">
        <f t="shared" si="2"/>
        <v>427.28829969464516</v>
      </c>
    </row>
    <row r="15" spans="1:13" ht="11.25" customHeight="1">
      <c r="A15" s="495"/>
      <c r="B15" s="304">
        <f t="shared" si="0"/>
        <v>11</v>
      </c>
      <c r="C15" s="304" t="s">
        <v>111</v>
      </c>
      <c r="D15" s="304">
        <v>1900003239</v>
      </c>
      <c r="E15" s="461" t="s">
        <v>368</v>
      </c>
      <c r="F15" s="304" t="s">
        <v>278</v>
      </c>
      <c r="G15" s="304" t="s">
        <v>168</v>
      </c>
      <c r="H15" s="351">
        <v>40</v>
      </c>
      <c r="I15" s="462">
        <f t="shared" si="1"/>
        <v>2.7913468248429867</v>
      </c>
      <c r="J15" s="463">
        <v>14.33</v>
      </c>
      <c r="K15" s="304">
        <v>1.3427</v>
      </c>
      <c r="L15" s="351">
        <f t="shared" si="2"/>
        <v>10.672525508304163</v>
      </c>
    </row>
    <row r="16" spans="1:13" ht="11.25" customHeight="1">
      <c r="A16" s="495"/>
      <c r="B16" s="304">
        <f t="shared" si="0"/>
        <v>12</v>
      </c>
      <c r="C16" s="304" t="s">
        <v>111</v>
      </c>
      <c r="D16" s="304">
        <v>1900003296</v>
      </c>
      <c r="E16" s="461" t="s">
        <v>181</v>
      </c>
      <c r="F16" s="304" t="s">
        <v>282</v>
      </c>
      <c r="G16" s="304" t="s">
        <v>168</v>
      </c>
      <c r="H16" s="351">
        <v>280</v>
      </c>
      <c r="I16" s="462">
        <f t="shared" si="1"/>
        <v>2.791068580542265</v>
      </c>
      <c r="J16" s="463">
        <v>100.32</v>
      </c>
      <c r="K16" s="304">
        <v>1.3427</v>
      </c>
      <c r="L16" s="351">
        <f t="shared" si="2"/>
        <v>74.715126238176808</v>
      </c>
    </row>
    <row r="17" spans="1:13" ht="11.25" customHeight="1">
      <c r="A17" s="495"/>
      <c r="B17" s="304">
        <f t="shared" si="0"/>
        <v>13</v>
      </c>
      <c r="C17" s="304" t="s">
        <v>111</v>
      </c>
      <c r="D17" s="304">
        <v>1900003239</v>
      </c>
      <c r="E17" s="461" t="s">
        <v>372</v>
      </c>
      <c r="F17" s="304" t="s">
        <v>283</v>
      </c>
      <c r="G17" s="304" t="s">
        <v>168</v>
      </c>
      <c r="H17" s="351">
        <v>15</v>
      </c>
      <c r="I17" s="462">
        <f t="shared" si="1"/>
        <v>2.7932960893854748</v>
      </c>
      <c r="J17" s="463">
        <v>5.37</v>
      </c>
      <c r="K17" s="304">
        <v>1.3427</v>
      </c>
      <c r="L17" s="351">
        <f t="shared" si="2"/>
        <v>3.999404185596187</v>
      </c>
    </row>
    <row r="18" spans="1:13" ht="11.25" customHeight="1">
      <c r="A18" s="495"/>
      <c r="B18" s="304">
        <f t="shared" si="0"/>
        <v>14</v>
      </c>
      <c r="C18" s="304" t="s">
        <v>111</v>
      </c>
      <c r="D18" s="304">
        <v>100004083</v>
      </c>
      <c r="E18" s="461" t="s">
        <v>176</v>
      </c>
      <c r="F18" s="304"/>
      <c r="G18" s="304" t="s">
        <v>168</v>
      </c>
      <c r="H18" s="351">
        <v>25494</v>
      </c>
      <c r="I18" s="462">
        <f t="shared" si="1"/>
        <v>2.7910001357511636</v>
      </c>
      <c r="J18" s="463">
        <v>9134.36</v>
      </c>
      <c r="K18" s="304">
        <v>1.3427</v>
      </c>
      <c r="L18" s="351">
        <f t="shared" si="2"/>
        <v>6802.9790720190667</v>
      </c>
    </row>
    <row r="19" spans="1:13" ht="11.25" customHeight="1">
      <c r="A19" s="495"/>
      <c r="B19" s="304">
        <f t="shared" si="0"/>
        <v>15</v>
      </c>
      <c r="C19" s="304" t="s">
        <v>111</v>
      </c>
      <c r="D19" s="304">
        <v>100004083</v>
      </c>
      <c r="E19" s="461" t="s">
        <v>178</v>
      </c>
      <c r="F19" s="304"/>
      <c r="G19" s="304" t="s">
        <v>168</v>
      </c>
      <c r="H19" s="351">
        <v>2295</v>
      </c>
      <c r="I19" s="462">
        <f t="shared" si="1"/>
        <v>2.7909861484391154</v>
      </c>
      <c r="J19" s="463">
        <v>822.29</v>
      </c>
      <c r="K19" s="304">
        <v>1.3427</v>
      </c>
      <c r="L19" s="351">
        <f t="shared" si="2"/>
        <v>612.41528263945781</v>
      </c>
    </row>
    <row r="20" spans="1:13" ht="11.25" customHeight="1">
      <c r="A20" s="495"/>
      <c r="B20" s="466">
        <f t="shared" si="0"/>
        <v>16</v>
      </c>
      <c r="C20" s="466" t="s">
        <v>111</v>
      </c>
      <c r="D20" s="466">
        <v>1900003239</v>
      </c>
      <c r="E20" s="465" t="s">
        <v>179</v>
      </c>
      <c r="F20" s="466"/>
      <c r="G20" s="466" t="s">
        <v>168</v>
      </c>
      <c r="H20" s="508">
        <v>55</v>
      </c>
      <c r="I20" s="467">
        <f t="shared" si="1"/>
        <v>2.7904616945712837</v>
      </c>
      <c r="J20" s="509">
        <v>19.71</v>
      </c>
      <c r="K20" s="466">
        <v>1.3427</v>
      </c>
      <c r="L20" s="508">
        <f t="shared" si="2"/>
        <v>14.679377373948016</v>
      </c>
      <c r="M20" s="478" t="s">
        <v>531</v>
      </c>
    </row>
    <row r="21" spans="1:13" ht="11.25" customHeight="1">
      <c r="A21" s="495"/>
      <c r="B21" s="304">
        <f t="shared" si="0"/>
        <v>17</v>
      </c>
      <c r="C21" s="304" t="s">
        <v>111</v>
      </c>
      <c r="D21" s="304">
        <v>1900003297</v>
      </c>
      <c r="E21" s="461" t="s">
        <v>182</v>
      </c>
      <c r="F21" s="304" t="s">
        <v>134</v>
      </c>
      <c r="G21" s="304" t="s">
        <v>174</v>
      </c>
      <c r="H21" s="351">
        <v>1674</v>
      </c>
      <c r="I21" s="462">
        <f t="shared" si="1"/>
        <v>2.79</v>
      </c>
      <c r="J21" s="463">
        <v>600</v>
      </c>
      <c r="K21" s="304">
        <v>1.3427</v>
      </c>
      <c r="L21" s="351">
        <f t="shared" si="2"/>
        <v>446.86080285990914</v>
      </c>
    </row>
    <row r="22" spans="1:13" ht="11.25" customHeight="1">
      <c r="A22" s="495"/>
      <c r="B22" s="304">
        <f t="shared" si="0"/>
        <v>18</v>
      </c>
      <c r="C22" s="304" t="s">
        <v>111</v>
      </c>
      <c r="D22" s="304">
        <v>1900003299</v>
      </c>
      <c r="E22" s="461" t="s">
        <v>183</v>
      </c>
      <c r="F22" s="304" t="s">
        <v>133</v>
      </c>
      <c r="G22" s="304" t="s">
        <v>175</v>
      </c>
      <c r="H22" s="351">
        <v>1888</v>
      </c>
      <c r="I22" s="462">
        <f t="shared" si="1"/>
        <v>2.8010207109370366</v>
      </c>
      <c r="J22" s="463">
        <v>674.04</v>
      </c>
      <c r="K22" s="304">
        <v>1.3427</v>
      </c>
      <c r="L22" s="351">
        <f t="shared" si="2"/>
        <v>502.00342593282187</v>
      </c>
    </row>
    <row r="23" spans="1:13" ht="19.5" customHeight="1">
      <c r="A23" s="495"/>
      <c r="B23" s="491"/>
      <c r="C23" s="491"/>
      <c r="D23" s="491"/>
      <c r="E23" s="502"/>
      <c r="F23" s="491"/>
      <c r="G23" s="491"/>
      <c r="H23" s="115">
        <f>SUM(H5:H22)</f>
        <v>37540.559999999998</v>
      </c>
      <c r="I23" s="503"/>
      <c r="J23" s="116">
        <f>SUM(J5:J22)</f>
        <v>13639.93</v>
      </c>
      <c r="K23" s="491"/>
      <c r="L23" s="117">
        <f>SUM(L5:L22)</f>
        <v>10158.583451254935</v>
      </c>
    </row>
    <row r="24" spans="1:13">
      <c r="A24" s="495"/>
      <c r="B24" s="504"/>
      <c r="C24" s="504"/>
      <c r="D24" s="504"/>
      <c r="E24" s="505"/>
      <c r="F24" s="504"/>
      <c r="G24" s="504"/>
      <c r="H24" s="506"/>
      <c r="I24" s="495"/>
      <c r="J24" s="507"/>
      <c r="K24" s="504"/>
      <c r="L24" s="506"/>
    </row>
    <row r="26" spans="1:13" ht="33.75">
      <c r="E26" s="477" t="s">
        <v>209</v>
      </c>
      <c r="F26" s="477" t="s">
        <v>135</v>
      </c>
      <c r="G26" s="477" t="s">
        <v>210</v>
      </c>
      <c r="J26" s="120"/>
    </row>
    <row r="27" spans="1:13" ht="13.5" customHeight="1">
      <c r="E27" s="510" t="s">
        <v>67</v>
      </c>
      <c r="F27" s="511"/>
      <c r="G27" s="510"/>
      <c r="J27" s="121"/>
    </row>
    <row r="28" spans="1:13" ht="13.5" customHeight="1">
      <c r="E28" s="510" t="s">
        <v>136</v>
      </c>
      <c r="F28" s="511"/>
      <c r="G28" s="510"/>
      <c r="J28" s="121"/>
    </row>
    <row r="29" spans="1:13" ht="13.5" customHeight="1">
      <c r="E29" s="510" t="s">
        <v>137</v>
      </c>
      <c r="F29" s="511"/>
      <c r="G29" s="510"/>
      <c r="J29" s="121"/>
    </row>
    <row r="30" spans="1:13" ht="13.5" customHeight="1">
      <c r="E30" s="510" t="s">
        <v>138</v>
      </c>
      <c r="F30" s="511"/>
      <c r="G30" s="510"/>
      <c r="J30" s="121"/>
    </row>
    <row r="31" spans="1:13" ht="13.5" customHeight="1">
      <c r="E31" s="512" t="s">
        <v>139</v>
      </c>
      <c r="F31" s="511"/>
      <c r="G31" s="510"/>
      <c r="J31" s="121"/>
    </row>
  </sheetData>
  <sortState ref="B5:L22">
    <sortCondition ref="G5:G22"/>
  </sortState>
  <mergeCells count="12">
    <mergeCell ref="B2:L2"/>
    <mergeCell ref="D3:D4"/>
    <mergeCell ref="F3:F4"/>
    <mergeCell ref="G3:G4"/>
    <mergeCell ref="I3:I4"/>
    <mergeCell ref="K3:K4"/>
    <mergeCell ref="H3:H4"/>
    <mergeCell ref="J3:J4"/>
    <mergeCell ref="L3:L4"/>
    <mergeCell ref="C3:C4"/>
    <mergeCell ref="E3:E4"/>
    <mergeCell ref="B3:B4"/>
  </mergeCells>
  <pageMargins left="0.70866141732283472" right="0.70866141732283472" top="0.74803149606299213" bottom="0.74803149606299213" header="0.31496062992125984" footer="0.31496062992125984"/>
  <pageSetup paperSize="9" scale="80" orientation="landscape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00"/>
  <sheetViews>
    <sheetView zoomScale="70" zoomScaleNormal="70" workbookViewId="0">
      <pane xSplit="1" ySplit="5" topLeftCell="B33" activePane="bottomRight" state="frozen"/>
      <selection pane="topRight" activeCell="B1" sqref="B1"/>
      <selection pane="bottomLeft" activeCell="A5" sqref="A5"/>
      <selection pane="bottomRight" activeCell="C7" sqref="C7"/>
    </sheetView>
  </sheetViews>
  <sheetFormatPr defaultRowHeight="15"/>
  <cols>
    <col min="1" max="1" width="1.85546875" style="67" customWidth="1"/>
    <col min="2" max="2" width="9.42578125" style="68" customWidth="1"/>
    <col min="3" max="3" width="33.85546875" style="67" customWidth="1"/>
    <col min="4" max="4" width="16.85546875" style="67" customWidth="1"/>
    <col min="5" max="5" width="21.140625" style="68" customWidth="1"/>
    <col min="6" max="6" width="38.85546875" style="68" customWidth="1"/>
    <col min="7" max="7" width="15.140625" style="68" customWidth="1"/>
    <col min="8" max="8" width="33.42578125" style="92" customWidth="1"/>
    <col min="9" max="9" width="10.7109375" style="69" customWidth="1"/>
    <col min="10" max="10" width="10.7109375" style="98" customWidth="1"/>
    <col min="11" max="11" width="11.7109375" style="68" customWidth="1"/>
    <col min="12" max="12" width="10.7109375" style="68" customWidth="1"/>
    <col min="13" max="13" width="9.140625" style="68"/>
    <col min="14" max="14" width="13.28515625" style="67" customWidth="1"/>
    <col min="15" max="16384" width="9.140625" style="67"/>
  </cols>
  <sheetData>
    <row r="1" spans="2:14" ht="9" customHeight="1"/>
    <row r="2" spans="2:14" ht="30" customHeight="1">
      <c r="B2" s="43" t="s">
        <v>99</v>
      </c>
      <c r="C2" s="43">
        <v>1.3427</v>
      </c>
    </row>
    <row r="3" spans="2:14">
      <c r="B3" s="702"/>
      <c r="C3" s="702"/>
      <c r="D3" s="703" t="s">
        <v>265</v>
      </c>
      <c r="E3" s="312"/>
      <c r="F3" s="312"/>
      <c r="G3" s="312"/>
      <c r="H3" s="312"/>
      <c r="I3" s="313"/>
      <c r="J3" s="314"/>
      <c r="K3" s="312"/>
      <c r="L3" s="312"/>
      <c r="M3" s="312"/>
      <c r="N3" s="703" t="s">
        <v>323</v>
      </c>
    </row>
    <row r="4" spans="2:14" ht="30">
      <c r="B4" s="702"/>
      <c r="C4" s="702"/>
      <c r="D4" s="704"/>
      <c r="E4" s="315" t="s">
        <v>266</v>
      </c>
      <c r="F4" s="315" t="s">
        <v>321</v>
      </c>
      <c r="G4" s="315" t="s">
        <v>318</v>
      </c>
      <c r="H4" s="315" t="s">
        <v>267</v>
      </c>
      <c r="I4" s="316" t="s">
        <v>302</v>
      </c>
      <c r="J4" s="317" t="s">
        <v>99</v>
      </c>
      <c r="K4" s="315" t="s">
        <v>285</v>
      </c>
      <c r="L4" s="315" t="s">
        <v>99</v>
      </c>
      <c r="M4" s="315" t="s">
        <v>303</v>
      </c>
      <c r="N4" s="704"/>
    </row>
    <row r="5" spans="2:14">
      <c r="B5" s="318" t="s">
        <v>243</v>
      </c>
      <c r="C5" s="318" t="s">
        <v>32</v>
      </c>
      <c r="D5" s="317"/>
      <c r="E5" s="317"/>
      <c r="F5" s="317"/>
      <c r="G5" s="317"/>
      <c r="H5" s="317"/>
      <c r="I5" s="316"/>
      <c r="J5" s="317"/>
      <c r="K5" s="317"/>
      <c r="L5" s="317"/>
      <c r="M5" s="317"/>
      <c r="N5" s="317">
        <f>N1737</f>
        <v>0</v>
      </c>
    </row>
    <row r="6" spans="2:14" ht="30" customHeight="1">
      <c r="B6" s="319" t="s">
        <v>286</v>
      </c>
      <c r="C6" s="320" t="s">
        <v>287</v>
      </c>
      <c r="D6" s="321"/>
      <c r="E6" s="322"/>
      <c r="F6" s="322"/>
      <c r="G6" s="322"/>
      <c r="H6" s="323"/>
      <c r="I6" s="324"/>
      <c r="J6" s="322"/>
      <c r="K6" s="322"/>
      <c r="L6" s="322"/>
      <c r="M6" s="322"/>
      <c r="N6" s="321">
        <f>N7+N24+N60+N89+N120</f>
        <v>1241.6600000000001</v>
      </c>
    </row>
    <row r="7" spans="2:14" ht="31.5" customHeight="1">
      <c r="B7" s="89" t="s">
        <v>224</v>
      </c>
      <c r="C7" s="90" t="s">
        <v>91</v>
      </c>
      <c r="D7" s="91"/>
      <c r="E7" s="83"/>
      <c r="F7" s="83"/>
      <c r="G7" s="83"/>
      <c r="H7" s="93"/>
      <c r="I7" s="103"/>
      <c r="J7" s="83"/>
      <c r="K7" s="83"/>
      <c r="L7" s="83"/>
      <c r="M7" s="83"/>
      <c r="N7" s="91">
        <f>N8+N12+N19</f>
        <v>0</v>
      </c>
    </row>
    <row r="8" spans="2:14">
      <c r="B8" s="86"/>
      <c r="C8" s="87" t="s">
        <v>288</v>
      </c>
      <c r="D8" s="88"/>
      <c r="E8" s="79"/>
      <c r="F8" s="79"/>
      <c r="G8" s="79"/>
      <c r="H8" s="94"/>
      <c r="I8" s="104"/>
      <c r="J8" s="79"/>
      <c r="K8" s="79"/>
      <c r="L8" s="79"/>
      <c r="M8" s="79"/>
      <c r="N8" s="88">
        <f>SUM(K9:K20)</f>
        <v>0</v>
      </c>
    </row>
    <row r="9" spans="2:14">
      <c r="B9" s="74"/>
      <c r="C9" s="75"/>
      <c r="D9" s="76"/>
      <c r="E9" s="37" t="s">
        <v>289</v>
      </c>
      <c r="F9" s="37" t="s">
        <v>290</v>
      </c>
      <c r="G9" s="20"/>
      <c r="H9" s="95"/>
      <c r="I9" s="105"/>
      <c r="J9" s="99"/>
      <c r="K9" s="37"/>
      <c r="L9" s="18"/>
      <c r="M9" s="18"/>
      <c r="N9" s="77"/>
    </row>
    <row r="10" spans="2:14">
      <c r="B10" s="74"/>
      <c r="C10" s="75"/>
      <c r="D10" s="78"/>
      <c r="E10" s="37" t="s">
        <v>289</v>
      </c>
      <c r="F10" s="37" t="s">
        <v>291</v>
      </c>
      <c r="G10" s="20"/>
      <c r="H10" s="95"/>
      <c r="I10" s="70"/>
      <c r="J10" s="100"/>
      <c r="K10" s="37"/>
      <c r="L10" s="37"/>
      <c r="M10" s="37"/>
      <c r="N10" s="78"/>
    </row>
    <row r="11" spans="2:14">
      <c r="B11" s="74"/>
      <c r="C11" s="75"/>
      <c r="D11" s="78"/>
      <c r="E11" s="37" t="s">
        <v>289</v>
      </c>
      <c r="F11" s="37" t="s">
        <v>292</v>
      </c>
      <c r="G11" s="20"/>
      <c r="H11" s="95"/>
      <c r="I11" s="70"/>
      <c r="J11" s="100"/>
      <c r="K11" s="37"/>
      <c r="L11" s="37"/>
      <c r="M11" s="37"/>
      <c r="N11" s="78"/>
    </row>
    <row r="12" spans="2:14">
      <c r="B12" s="19"/>
      <c r="C12" s="72"/>
      <c r="D12" s="72"/>
      <c r="E12" s="37" t="s">
        <v>289</v>
      </c>
      <c r="F12" s="37" t="s">
        <v>293</v>
      </c>
      <c r="G12" s="19"/>
      <c r="H12" s="95"/>
      <c r="I12" s="73"/>
      <c r="J12" s="101"/>
      <c r="K12" s="19"/>
      <c r="L12" s="19"/>
      <c r="M12" s="19"/>
      <c r="N12" s="72"/>
    </row>
    <row r="13" spans="2:14">
      <c r="B13" s="19"/>
      <c r="C13" s="72"/>
      <c r="D13" s="72"/>
      <c r="E13" s="37" t="s">
        <v>289</v>
      </c>
      <c r="F13" s="37" t="s">
        <v>294</v>
      </c>
      <c r="G13" s="19"/>
      <c r="H13" s="95"/>
      <c r="I13" s="73"/>
      <c r="J13" s="101"/>
      <c r="K13" s="19"/>
      <c r="L13" s="19"/>
      <c r="M13" s="19"/>
      <c r="N13" s="72"/>
    </row>
    <row r="14" spans="2:14">
      <c r="B14" s="19"/>
      <c r="C14" s="72"/>
      <c r="D14" s="72"/>
      <c r="E14" s="37" t="s">
        <v>289</v>
      </c>
      <c r="F14" s="37" t="s">
        <v>295</v>
      </c>
      <c r="G14" s="19"/>
      <c r="H14" s="95"/>
      <c r="I14" s="73"/>
      <c r="J14" s="101"/>
      <c r="K14" s="19"/>
      <c r="L14" s="19"/>
      <c r="M14" s="19"/>
      <c r="N14" s="72"/>
    </row>
    <row r="15" spans="2:14">
      <c r="B15" s="19"/>
      <c r="C15" s="72"/>
      <c r="D15" s="72"/>
      <c r="E15" s="37" t="s">
        <v>289</v>
      </c>
      <c r="F15" s="37" t="s">
        <v>296</v>
      </c>
      <c r="G15" s="19"/>
      <c r="H15" s="95"/>
      <c r="I15" s="73"/>
      <c r="J15" s="101"/>
      <c r="K15" s="19"/>
      <c r="L15" s="19"/>
      <c r="M15" s="19"/>
      <c r="N15" s="72"/>
    </row>
    <row r="16" spans="2:14">
      <c r="B16" s="19"/>
      <c r="C16" s="72"/>
      <c r="D16" s="72"/>
      <c r="E16" s="37" t="s">
        <v>289</v>
      </c>
      <c r="F16" s="37" t="s">
        <v>297</v>
      </c>
      <c r="G16" s="19"/>
      <c r="H16" s="95"/>
      <c r="I16" s="73"/>
      <c r="J16" s="101"/>
      <c r="K16" s="19"/>
      <c r="L16" s="19"/>
      <c r="M16" s="19"/>
      <c r="N16" s="72"/>
    </row>
    <row r="17" spans="2:14">
      <c r="B17" s="19"/>
      <c r="C17" s="72"/>
      <c r="D17" s="72"/>
      <c r="E17" s="37" t="s">
        <v>289</v>
      </c>
      <c r="F17" s="37" t="s">
        <v>298</v>
      </c>
      <c r="G17" s="19"/>
      <c r="H17" s="95"/>
      <c r="I17" s="73"/>
      <c r="J17" s="101"/>
      <c r="K17" s="19"/>
      <c r="L17" s="19"/>
      <c r="M17" s="19"/>
      <c r="N17" s="72"/>
    </row>
    <row r="18" spans="2:14">
      <c r="B18" s="19"/>
      <c r="C18" s="72"/>
      <c r="D18" s="72"/>
      <c r="E18" s="37" t="s">
        <v>289</v>
      </c>
      <c r="F18" s="37" t="s">
        <v>299</v>
      </c>
      <c r="G18" s="19"/>
      <c r="H18" s="95"/>
      <c r="I18" s="73"/>
      <c r="J18" s="101"/>
      <c r="K18" s="19"/>
      <c r="L18" s="19"/>
      <c r="M18" s="19"/>
      <c r="N18" s="72"/>
    </row>
    <row r="19" spans="2:14">
      <c r="B19" s="19"/>
      <c r="C19" s="72"/>
      <c r="D19" s="72"/>
      <c r="E19" s="37" t="s">
        <v>289</v>
      </c>
      <c r="F19" s="37" t="s">
        <v>300</v>
      </c>
      <c r="G19" s="19"/>
      <c r="H19" s="95"/>
      <c r="I19" s="73"/>
      <c r="J19" s="101"/>
      <c r="K19" s="19"/>
      <c r="L19" s="19"/>
      <c r="M19" s="19"/>
      <c r="N19" s="72"/>
    </row>
    <row r="20" spans="2:14">
      <c r="B20" s="19"/>
      <c r="C20" s="72"/>
      <c r="D20" s="72"/>
      <c r="E20" s="37" t="s">
        <v>289</v>
      </c>
      <c r="F20" s="37" t="s">
        <v>301</v>
      </c>
      <c r="G20" s="19"/>
      <c r="H20" s="95"/>
      <c r="I20" s="73"/>
      <c r="J20" s="101"/>
      <c r="K20" s="19"/>
      <c r="L20" s="19"/>
      <c r="M20" s="19"/>
      <c r="N20" s="72"/>
    </row>
    <row r="21" spans="2:14">
      <c r="B21" s="86"/>
      <c r="C21" s="87" t="s">
        <v>304</v>
      </c>
      <c r="D21" s="88"/>
      <c r="E21" s="79"/>
      <c r="F21" s="79"/>
      <c r="G21" s="79"/>
      <c r="H21" s="94"/>
      <c r="I21" s="104"/>
      <c r="J21" s="79"/>
      <c r="K21" s="79"/>
      <c r="L21" s="79"/>
      <c r="M21" s="79"/>
      <c r="N21" s="88">
        <f>SUM(K22:K32)</f>
        <v>0</v>
      </c>
    </row>
    <row r="22" spans="2:14">
      <c r="B22" s="19"/>
      <c r="C22" s="72"/>
      <c r="D22" s="72"/>
      <c r="E22" s="37" t="s">
        <v>305</v>
      </c>
      <c r="F22" s="37" t="s">
        <v>291</v>
      </c>
      <c r="G22" s="19"/>
      <c r="H22" s="95"/>
      <c r="I22" s="73"/>
      <c r="J22" s="101"/>
      <c r="K22" s="19"/>
      <c r="L22" s="19"/>
      <c r="M22" s="19"/>
      <c r="N22" s="72"/>
    </row>
    <row r="23" spans="2:14">
      <c r="B23" s="19"/>
      <c r="C23" s="72"/>
      <c r="D23" s="72"/>
      <c r="E23" s="37" t="s">
        <v>305</v>
      </c>
      <c r="F23" s="37" t="s">
        <v>292</v>
      </c>
      <c r="G23" s="19"/>
      <c r="H23" s="95"/>
      <c r="I23" s="73"/>
      <c r="J23" s="101"/>
      <c r="K23" s="19"/>
      <c r="L23" s="19"/>
      <c r="M23" s="19"/>
      <c r="N23" s="72"/>
    </row>
    <row r="24" spans="2:14">
      <c r="B24" s="19"/>
      <c r="C24" s="72"/>
      <c r="D24" s="72"/>
      <c r="E24" s="37" t="s">
        <v>305</v>
      </c>
      <c r="F24" s="37" t="s">
        <v>293</v>
      </c>
      <c r="G24" s="19"/>
      <c r="H24" s="95"/>
      <c r="I24" s="73"/>
      <c r="J24" s="101"/>
      <c r="K24" s="19"/>
      <c r="L24" s="19"/>
      <c r="M24" s="19"/>
      <c r="N24" s="72"/>
    </row>
    <row r="25" spans="2:14">
      <c r="B25" s="19"/>
      <c r="C25" s="72"/>
      <c r="D25" s="72"/>
      <c r="E25" s="37" t="s">
        <v>305</v>
      </c>
      <c r="F25" s="37" t="s">
        <v>294</v>
      </c>
      <c r="G25" s="19"/>
      <c r="H25" s="95"/>
      <c r="I25" s="73"/>
      <c r="J25" s="101"/>
      <c r="K25" s="19"/>
      <c r="L25" s="19"/>
      <c r="M25" s="19"/>
      <c r="N25" s="72"/>
    </row>
    <row r="26" spans="2:14">
      <c r="B26" s="19"/>
      <c r="C26" s="72"/>
      <c r="D26" s="72"/>
      <c r="E26" s="37" t="s">
        <v>305</v>
      </c>
      <c r="F26" s="37" t="s">
        <v>295</v>
      </c>
      <c r="G26" s="19"/>
      <c r="H26" s="95"/>
      <c r="I26" s="73"/>
      <c r="J26" s="101"/>
      <c r="K26" s="19"/>
      <c r="L26" s="19"/>
      <c r="M26" s="19"/>
      <c r="N26" s="72"/>
    </row>
    <row r="27" spans="2:14">
      <c r="B27" s="19"/>
      <c r="C27" s="72"/>
      <c r="D27" s="72"/>
      <c r="E27" s="37" t="s">
        <v>305</v>
      </c>
      <c r="F27" s="37" t="s">
        <v>296</v>
      </c>
      <c r="G27" s="19"/>
      <c r="H27" s="95"/>
      <c r="I27" s="73"/>
      <c r="J27" s="101"/>
      <c r="K27" s="19"/>
      <c r="L27" s="19"/>
      <c r="M27" s="19"/>
      <c r="N27" s="72"/>
    </row>
    <row r="28" spans="2:14">
      <c r="B28" s="19"/>
      <c r="C28" s="72"/>
      <c r="D28" s="72"/>
      <c r="E28" s="37" t="s">
        <v>305</v>
      </c>
      <c r="F28" s="37" t="s">
        <v>297</v>
      </c>
      <c r="G28" s="19"/>
      <c r="H28" s="95"/>
      <c r="I28" s="73"/>
      <c r="J28" s="101"/>
      <c r="K28" s="19"/>
      <c r="L28" s="19"/>
      <c r="M28" s="19"/>
      <c r="N28" s="72"/>
    </row>
    <row r="29" spans="2:14">
      <c r="B29" s="19"/>
      <c r="C29" s="72"/>
      <c r="D29" s="72"/>
      <c r="E29" s="37" t="s">
        <v>305</v>
      </c>
      <c r="F29" s="37" t="s">
        <v>298</v>
      </c>
      <c r="G29" s="19"/>
      <c r="H29" s="95"/>
      <c r="I29" s="73"/>
      <c r="J29" s="101"/>
      <c r="K29" s="19"/>
      <c r="L29" s="19"/>
      <c r="M29" s="19"/>
      <c r="N29" s="72"/>
    </row>
    <row r="30" spans="2:14">
      <c r="B30" s="19"/>
      <c r="C30" s="72"/>
      <c r="D30" s="72"/>
      <c r="E30" s="37" t="s">
        <v>305</v>
      </c>
      <c r="F30" s="37" t="s">
        <v>299</v>
      </c>
      <c r="G30" s="19"/>
      <c r="H30" s="95"/>
      <c r="I30" s="73"/>
      <c r="J30" s="101"/>
      <c r="K30" s="19"/>
      <c r="L30" s="19"/>
      <c r="M30" s="19"/>
      <c r="N30" s="72"/>
    </row>
    <row r="31" spans="2:14">
      <c r="B31" s="19"/>
      <c r="C31" s="72"/>
      <c r="D31" s="72"/>
      <c r="E31" s="37" t="s">
        <v>305</v>
      </c>
      <c r="F31" s="37" t="s">
        <v>300</v>
      </c>
      <c r="G31" s="19"/>
      <c r="H31" s="95"/>
      <c r="I31" s="73"/>
      <c r="J31" s="101"/>
      <c r="K31" s="19"/>
      <c r="L31" s="19"/>
      <c r="M31" s="19"/>
      <c r="N31" s="72"/>
    </row>
    <row r="32" spans="2:14">
      <c r="B32" s="19"/>
      <c r="C32" s="72"/>
      <c r="D32" s="72"/>
      <c r="E32" s="37" t="s">
        <v>305</v>
      </c>
      <c r="F32" s="37" t="s">
        <v>301</v>
      </c>
      <c r="G32" s="19"/>
      <c r="H32" s="95"/>
      <c r="I32" s="73"/>
      <c r="J32" s="101"/>
      <c r="K32" s="19"/>
      <c r="L32" s="19"/>
      <c r="M32" s="19"/>
      <c r="N32" s="72"/>
    </row>
    <row r="33" spans="2:14">
      <c r="B33" s="86"/>
      <c r="C33" s="87" t="s">
        <v>306</v>
      </c>
      <c r="D33" s="88"/>
      <c r="E33" s="79"/>
      <c r="F33" s="79"/>
      <c r="G33" s="79"/>
      <c r="H33" s="94"/>
      <c r="I33" s="104"/>
      <c r="J33" s="79"/>
      <c r="K33" s="79"/>
      <c r="L33" s="79"/>
      <c r="M33" s="79"/>
      <c r="N33" s="88">
        <f>SUM(K34:K45)</f>
        <v>0</v>
      </c>
    </row>
    <row r="34" spans="2:14">
      <c r="B34" s="19"/>
      <c r="C34" s="72" t="s">
        <v>307</v>
      </c>
      <c r="D34" s="72"/>
      <c r="E34" s="19"/>
      <c r="F34" s="19"/>
      <c r="G34" s="19"/>
      <c r="H34" s="95"/>
      <c r="I34" s="73"/>
      <c r="J34" s="101"/>
      <c r="K34" s="19"/>
      <c r="L34" s="19"/>
      <c r="M34" s="19"/>
      <c r="N34" s="72"/>
    </row>
    <row r="35" spans="2:14">
      <c r="B35" s="19"/>
      <c r="C35" s="72"/>
      <c r="D35" s="72"/>
      <c r="E35" s="19"/>
      <c r="F35" s="19"/>
      <c r="G35" s="19"/>
      <c r="H35" s="95"/>
      <c r="I35" s="73"/>
      <c r="J35" s="101"/>
      <c r="K35" s="19"/>
      <c r="L35" s="19"/>
      <c r="M35" s="19"/>
      <c r="N35" s="72"/>
    </row>
    <row r="36" spans="2:14">
      <c r="B36" s="19"/>
      <c r="C36" s="72"/>
      <c r="D36" s="72"/>
      <c r="E36" s="19"/>
      <c r="F36" s="19"/>
      <c r="G36" s="19"/>
      <c r="H36" s="95"/>
      <c r="I36" s="73"/>
      <c r="J36" s="101"/>
      <c r="K36" s="19"/>
      <c r="L36" s="19"/>
      <c r="M36" s="19"/>
      <c r="N36" s="72"/>
    </row>
    <row r="37" spans="2:14">
      <c r="B37" s="19"/>
      <c r="C37" s="72"/>
      <c r="D37" s="72"/>
      <c r="E37" s="19"/>
      <c r="F37" s="19"/>
      <c r="G37" s="19"/>
      <c r="H37" s="95"/>
      <c r="I37" s="73"/>
      <c r="J37" s="101"/>
      <c r="K37" s="19"/>
      <c r="L37" s="19"/>
      <c r="M37" s="19"/>
      <c r="N37" s="72"/>
    </row>
    <row r="38" spans="2:14">
      <c r="B38" s="19"/>
      <c r="C38" s="72"/>
      <c r="D38" s="72"/>
      <c r="E38" s="19"/>
      <c r="F38" s="19"/>
      <c r="G38" s="19"/>
      <c r="H38" s="95"/>
      <c r="I38" s="73"/>
      <c r="J38" s="101"/>
      <c r="K38" s="19"/>
      <c r="L38" s="19"/>
      <c r="M38" s="19"/>
      <c r="N38" s="72"/>
    </row>
    <row r="39" spans="2:14">
      <c r="B39" s="86"/>
      <c r="C39" s="87" t="s">
        <v>308</v>
      </c>
      <c r="D39" s="88"/>
      <c r="E39" s="79"/>
      <c r="F39" s="79"/>
      <c r="G39" s="79"/>
      <c r="H39" s="94"/>
      <c r="I39" s="104"/>
      <c r="J39" s="79"/>
      <c r="K39" s="79"/>
      <c r="L39" s="79"/>
      <c r="M39" s="79"/>
      <c r="N39" s="88">
        <f>SUM(K40:K51)</f>
        <v>0</v>
      </c>
    </row>
    <row r="40" spans="2:14">
      <c r="B40" s="19"/>
      <c r="C40" s="72"/>
      <c r="D40" s="72"/>
      <c r="E40" s="19" t="s">
        <v>309</v>
      </c>
      <c r="F40" s="37" t="s">
        <v>292</v>
      </c>
      <c r="G40" s="19"/>
      <c r="H40" s="95"/>
      <c r="I40" s="73"/>
      <c r="J40" s="101"/>
      <c r="K40" s="19"/>
      <c r="L40" s="19"/>
      <c r="M40" s="19"/>
      <c r="N40" s="72"/>
    </row>
    <row r="41" spans="2:14">
      <c r="B41" s="19"/>
      <c r="C41" s="72"/>
      <c r="D41" s="72"/>
      <c r="E41" s="19" t="s">
        <v>309</v>
      </c>
      <c r="F41" s="37" t="s">
        <v>293</v>
      </c>
      <c r="G41" s="19"/>
      <c r="H41" s="95"/>
      <c r="I41" s="73"/>
      <c r="J41" s="101"/>
      <c r="K41" s="19"/>
      <c r="L41" s="19"/>
      <c r="M41" s="19"/>
      <c r="N41" s="72"/>
    </row>
    <row r="42" spans="2:14">
      <c r="B42" s="19"/>
      <c r="C42" s="72"/>
      <c r="D42" s="72"/>
      <c r="E42" s="19" t="s">
        <v>309</v>
      </c>
      <c r="F42" s="37" t="s">
        <v>294</v>
      </c>
      <c r="G42" s="19"/>
      <c r="H42" s="95"/>
      <c r="I42" s="73"/>
      <c r="J42" s="101"/>
      <c r="K42" s="19"/>
      <c r="L42" s="19"/>
      <c r="M42" s="19"/>
      <c r="N42" s="72"/>
    </row>
    <row r="43" spans="2:14">
      <c r="B43" s="19"/>
      <c r="C43" s="72"/>
      <c r="D43" s="72"/>
      <c r="E43" s="19" t="s">
        <v>309</v>
      </c>
      <c r="F43" s="37" t="s">
        <v>295</v>
      </c>
      <c r="G43" s="19"/>
      <c r="H43" s="95"/>
      <c r="I43" s="73"/>
      <c r="J43" s="101"/>
      <c r="K43" s="19"/>
      <c r="L43" s="19"/>
      <c r="M43" s="19"/>
      <c r="N43" s="72"/>
    </row>
    <row r="44" spans="2:14">
      <c r="B44" s="19"/>
      <c r="C44" s="72"/>
      <c r="D44" s="72"/>
      <c r="E44" s="19" t="s">
        <v>309</v>
      </c>
      <c r="F44" s="37" t="s">
        <v>296</v>
      </c>
      <c r="G44" s="19"/>
      <c r="H44" s="95"/>
      <c r="I44" s="73"/>
      <c r="J44" s="101"/>
      <c r="K44" s="19"/>
      <c r="L44" s="19"/>
      <c r="M44" s="19"/>
      <c r="N44" s="72"/>
    </row>
    <row r="45" spans="2:14">
      <c r="B45" s="19"/>
      <c r="C45" s="72"/>
      <c r="D45" s="72"/>
      <c r="E45" s="19" t="s">
        <v>309</v>
      </c>
      <c r="F45" s="37" t="s">
        <v>297</v>
      </c>
      <c r="G45" s="19"/>
      <c r="H45" s="95"/>
      <c r="I45" s="73"/>
      <c r="J45" s="101"/>
      <c r="K45" s="19"/>
      <c r="L45" s="19"/>
      <c r="M45" s="19"/>
      <c r="N45" s="72"/>
    </row>
    <row r="46" spans="2:14">
      <c r="B46" s="19"/>
      <c r="C46" s="72"/>
      <c r="D46" s="72"/>
      <c r="E46" s="19" t="s">
        <v>309</v>
      </c>
      <c r="F46" s="37" t="s">
        <v>298</v>
      </c>
      <c r="G46" s="19"/>
      <c r="H46" s="95"/>
      <c r="I46" s="73"/>
      <c r="J46" s="101"/>
      <c r="K46" s="19"/>
      <c r="L46" s="19"/>
      <c r="M46" s="19"/>
      <c r="N46" s="72"/>
    </row>
    <row r="47" spans="2:14">
      <c r="B47" s="19"/>
      <c r="C47" s="72"/>
      <c r="D47" s="72"/>
      <c r="E47" s="19" t="s">
        <v>309</v>
      </c>
      <c r="F47" s="37" t="s">
        <v>299</v>
      </c>
      <c r="G47" s="19"/>
      <c r="H47" s="95"/>
      <c r="I47" s="73"/>
      <c r="J47" s="101"/>
      <c r="K47" s="19"/>
      <c r="L47" s="19"/>
      <c r="M47" s="19"/>
      <c r="N47" s="72"/>
    </row>
    <row r="48" spans="2:14">
      <c r="B48" s="19"/>
      <c r="C48" s="72"/>
      <c r="D48" s="72"/>
      <c r="E48" s="19" t="s">
        <v>309</v>
      </c>
      <c r="F48" s="37" t="s">
        <v>300</v>
      </c>
      <c r="G48" s="19"/>
      <c r="H48" s="95"/>
      <c r="I48" s="73"/>
      <c r="J48" s="101"/>
      <c r="K48" s="19"/>
      <c r="L48" s="19"/>
      <c r="M48" s="19"/>
      <c r="N48" s="72"/>
    </row>
    <row r="49" spans="2:14">
      <c r="B49" s="19"/>
      <c r="C49" s="72"/>
      <c r="D49" s="72"/>
      <c r="E49" s="19" t="s">
        <v>309</v>
      </c>
      <c r="F49" s="37" t="s">
        <v>301</v>
      </c>
      <c r="G49" s="19"/>
      <c r="H49" s="95"/>
      <c r="I49" s="73"/>
      <c r="J49" s="101"/>
      <c r="K49" s="19"/>
      <c r="L49" s="19"/>
      <c r="M49" s="19"/>
      <c r="N49" s="72"/>
    </row>
    <row r="50" spans="2:14">
      <c r="B50" s="86"/>
      <c r="C50" s="87" t="s">
        <v>311</v>
      </c>
      <c r="D50" s="88"/>
      <c r="E50" s="79"/>
      <c r="F50" s="79"/>
      <c r="G50" s="79"/>
      <c r="H50" s="94"/>
      <c r="I50" s="104"/>
      <c r="J50" s="79"/>
      <c r="K50" s="79"/>
      <c r="L50" s="79"/>
      <c r="M50" s="79"/>
      <c r="N50" s="88">
        <f>SUM(K51:K62)</f>
        <v>0</v>
      </c>
    </row>
    <row r="51" spans="2:14">
      <c r="B51" s="19"/>
      <c r="C51" s="72"/>
      <c r="D51" s="72"/>
      <c r="E51" s="19" t="s">
        <v>312</v>
      </c>
      <c r="F51" s="37" t="s">
        <v>292</v>
      </c>
      <c r="G51" s="19"/>
      <c r="H51" s="95"/>
      <c r="I51" s="73"/>
      <c r="J51" s="101"/>
      <c r="K51" s="19"/>
      <c r="L51" s="19"/>
      <c r="M51" s="19"/>
      <c r="N51" s="72"/>
    </row>
    <row r="52" spans="2:14">
      <c r="B52" s="19"/>
      <c r="C52" s="72"/>
      <c r="D52" s="72"/>
      <c r="E52" s="19" t="s">
        <v>312</v>
      </c>
      <c r="F52" s="37" t="s">
        <v>293</v>
      </c>
      <c r="G52" s="19"/>
      <c r="H52" s="95"/>
      <c r="I52" s="73"/>
      <c r="J52" s="101"/>
      <c r="K52" s="19"/>
      <c r="L52" s="19"/>
      <c r="M52" s="19"/>
      <c r="N52" s="72"/>
    </row>
    <row r="53" spans="2:14">
      <c r="B53" s="19"/>
      <c r="C53" s="72"/>
      <c r="D53" s="72"/>
      <c r="E53" s="19" t="s">
        <v>312</v>
      </c>
      <c r="F53" s="37" t="s">
        <v>294</v>
      </c>
      <c r="G53" s="19"/>
      <c r="H53" s="95"/>
      <c r="I53" s="73"/>
      <c r="J53" s="101"/>
      <c r="K53" s="19"/>
      <c r="L53" s="19"/>
      <c r="M53" s="19"/>
      <c r="N53" s="72"/>
    </row>
    <row r="54" spans="2:14">
      <c r="B54" s="19"/>
      <c r="C54" s="72"/>
      <c r="D54" s="72"/>
      <c r="E54" s="19" t="s">
        <v>312</v>
      </c>
      <c r="F54" s="37" t="s">
        <v>295</v>
      </c>
      <c r="G54" s="19"/>
      <c r="H54" s="95"/>
      <c r="I54" s="73"/>
      <c r="J54" s="101"/>
      <c r="K54" s="19"/>
      <c r="L54" s="19"/>
      <c r="M54" s="19"/>
      <c r="N54" s="72"/>
    </row>
    <row r="55" spans="2:14">
      <c r="B55" s="19"/>
      <c r="C55" s="72"/>
      <c r="D55" s="72"/>
      <c r="E55" s="19" t="s">
        <v>312</v>
      </c>
      <c r="F55" s="37" t="s">
        <v>296</v>
      </c>
      <c r="G55" s="19"/>
      <c r="H55" s="95"/>
      <c r="I55" s="73"/>
      <c r="J55" s="101"/>
      <c r="K55" s="19"/>
      <c r="L55" s="19"/>
      <c r="M55" s="19"/>
      <c r="N55" s="72"/>
    </row>
    <row r="56" spans="2:14">
      <c r="B56" s="19"/>
      <c r="C56" s="72"/>
      <c r="D56" s="72"/>
      <c r="E56" s="19" t="s">
        <v>312</v>
      </c>
      <c r="F56" s="37" t="s">
        <v>297</v>
      </c>
      <c r="G56" s="19"/>
      <c r="H56" s="95"/>
      <c r="I56" s="73"/>
      <c r="J56" s="101"/>
      <c r="K56" s="19"/>
      <c r="L56" s="19"/>
      <c r="M56" s="19"/>
      <c r="N56" s="72"/>
    </row>
    <row r="57" spans="2:14">
      <c r="B57" s="19"/>
      <c r="C57" s="72"/>
      <c r="D57" s="72"/>
      <c r="E57" s="19" t="s">
        <v>312</v>
      </c>
      <c r="F57" s="37" t="s">
        <v>298</v>
      </c>
      <c r="G57" s="19"/>
      <c r="H57" s="95"/>
      <c r="I57" s="73"/>
      <c r="J57" s="101"/>
      <c r="K57" s="19"/>
      <c r="L57" s="19"/>
      <c r="M57" s="19"/>
      <c r="N57" s="72"/>
    </row>
    <row r="58" spans="2:14">
      <c r="B58" s="19"/>
      <c r="C58" s="72"/>
      <c r="D58" s="72"/>
      <c r="E58" s="19" t="s">
        <v>312</v>
      </c>
      <c r="F58" s="37" t="s">
        <v>299</v>
      </c>
      <c r="G58" s="19"/>
      <c r="H58" s="95"/>
      <c r="I58" s="73"/>
      <c r="J58" s="101"/>
      <c r="K58" s="19"/>
      <c r="L58" s="19"/>
      <c r="M58" s="19"/>
      <c r="N58" s="72"/>
    </row>
    <row r="59" spans="2:14">
      <c r="B59" s="19"/>
      <c r="C59" s="72"/>
      <c r="D59" s="72"/>
      <c r="E59" s="19" t="s">
        <v>312</v>
      </c>
      <c r="F59" s="37" t="s">
        <v>300</v>
      </c>
      <c r="G59" s="19"/>
      <c r="H59" s="95"/>
      <c r="I59" s="73"/>
      <c r="J59" s="101"/>
      <c r="K59" s="19"/>
      <c r="L59" s="19"/>
      <c r="M59" s="19"/>
      <c r="N59" s="72"/>
    </row>
    <row r="60" spans="2:14">
      <c r="B60" s="19"/>
      <c r="C60" s="72"/>
      <c r="D60" s="72"/>
      <c r="E60" s="19" t="s">
        <v>312</v>
      </c>
      <c r="F60" s="37" t="s">
        <v>301</v>
      </c>
      <c r="G60" s="19"/>
      <c r="H60" s="95"/>
      <c r="I60" s="73"/>
      <c r="J60" s="101"/>
      <c r="K60" s="19"/>
      <c r="L60" s="19"/>
      <c r="M60" s="19"/>
      <c r="N60" s="72"/>
    </row>
    <row r="61" spans="2:14" ht="30">
      <c r="B61" s="80" t="s">
        <v>225</v>
      </c>
      <c r="C61" s="81" t="s">
        <v>92</v>
      </c>
      <c r="D61" s="82"/>
      <c r="E61" s="83"/>
      <c r="F61" s="83"/>
      <c r="G61" s="83"/>
      <c r="H61" s="96"/>
      <c r="I61" s="103"/>
      <c r="J61" s="83"/>
      <c r="K61" s="83"/>
      <c r="L61" s="83"/>
      <c r="M61" s="83"/>
      <c r="N61" s="82">
        <f>SUM(K62:K73)</f>
        <v>0</v>
      </c>
    </row>
    <row r="62" spans="2:14">
      <c r="B62" s="84"/>
      <c r="C62" s="85" t="s">
        <v>307</v>
      </c>
      <c r="D62" s="85"/>
      <c r="E62" s="84"/>
      <c r="F62" s="84"/>
      <c r="G62" s="84"/>
      <c r="H62" s="97"/>
      <c r="I62" s="106"/>
      <c r="J62" s="102"/>
      <c r="K62" s="84"/>
      <c r="L62" s="84"/>
      <c r="M62" s="84"/>
      <c r="N62" s="85"/>
    </row>
    <row r="63" spans="2:14">
      <c r="B63" s="19"/>
      <c r="C63" s="72"/>
      <c r="D63" s="72"/>
      <c r="E63" s="19"/>
      <c r="F63" s="19"/>
      <c r="G63" s="19"/>
      <c r="H63" s="95"/>
      <c r="I63" s="73"/>
      <c r="J63" s="101"/>
      <c r="K63" s="19"/>
      <c r="L63" s="19"/>
      <c r="M63" s="19"/>
      <c r="N63" s="72"/>
    </row>
    <row r="64" spans="2:14">
      <c r="B64" s="84"/>
      <c r="C64" s="85" t="s">
        <v>307</v>
      </c>
      <c r="D64" s="85"/>
      <c r="E64" s="84"/>
      <c r="F64" s="84"/>
      <c r="G64" s="84"/>
      <c r="H64" s="97"/>
      <c r="I64" s="106"/>
      <c r="J64" s="102"/>
      <c r="K64" s="84"/>
      <c r="L64" s="84"/>
      <c r="M64" s="84"/>
      <c r="N64" s="85"/>
    </row>
    <row r="65" spans="2:14">
      <c r="B65" s="19"/>
      <c r="C65" s="72"/>
      <c r="D65" s="72"/>
      <c r="E65" s="19"/>
      <c r="F65" s="19"/>
      <c r="G65" s="19"/>
      <c r="H65" s="95"/>
      <c r="I65" s="73"/>
      <c r="J65" s="101"/>
      <c r="K65" s="19"/>
      <c r="L65" s="19"/>
      <c r="M65" s="19"/>
      <c r="N65" s="72"/>
    </row>
    <row r="66" spans="2:14">
      <c r="B66" s="84"/>
      <c r="C66" s="85" t="s">
        <v>307</v>
      </c>
      <c r="D66" s="85"/>
      <c r="E66" s="84"/>
      <c r="F66" s="84"/>
      <c r="G66" s="84"/>
      <c r="H66" s="97"/>
      <c r="I66" s="106"/>
      <c r="J66" s="102"/>
      <c r="K66" s="84"/>
      <c r="L66" s="84"/>
      <c r="M66" s="84"/>
      <c r="N66" s="85"/>
    </row>
    <row r="67" spans="2:14">
      <c r="B67" s="80" t="s">
        <v>226</v>
      </c>
      <c r="C67" s="81" t="s">
        <v>314</v>
      </c>
      <c r="D67" s="82"/>
      <c r="E67" s="83"/>
      <c r="F67" s="83"/>
      <c r="G67" s="83"/>
      <c r="H67" s="96"/>
      <c r="I67" s="103"/>
      <c r="J67" s="83"/>
      <c r="K67" s="83"/>
      <c r="L67" s="83"/>
      <c r="M67" s="83"/>
      <c r="N67" s="82">
        <f>SUM(K68:K79)</f>
        <v>0</v>
      </c>
    </row>
    <row r="68" spans="2:14">
      <c r="B68" s="19"/>
      <c r="C68" s="72"/>
      <c r="D68" s="72"/>
      <c r="E68" s="19"/>
      <c r="F68" s="19"/>
      <c r="G68" s="19"/>
      <c r="H68" s="95"/>
      <c r="I68" s="73"/>
      <c r="J68" s="101"/>
      <c r="K68" s="19"/>
      <c r="L68" s="19"/>
      <c r="M68" s="19"/>
      <c r="N68" s="72"/>
    </row>
    <row r="69" spans="2:14">
      <c r="B69" s="19"/>
      <c r="C69" s="72"/>
      <c r="D69" s="72"/>
      <c r="E69" s="19"/>
      <c r="F69" s="19"/>
      <c r="G69" s="19"/>
      <c r="H69" s="95"/>
      <c r="I69" s="73"/>
      <c r="J69" s="101"/>
      <c r="K69" s="19"/>
      <c r="L69" s="19"/>
      <c r="M69" s="19"/>
      <c r="N69" s="72"/>
    </row>
    <row r="70" spans="2:14">
      <c r="B70" s="19"/>
      <c r="C70" s="72"/>
      <c r="D70" s="72"/>
      <c r="E70" s="19"/>
      <c r="F70" s="19"/>
      <c r="G70" s="19"/>
      <c r="H70" s="95"/>
      <c r="I70" s="73"/>
      <c r="J70" s="101"/>
      <c r="K70" s="19"/>
      <c r="L70" s="19"/>
      <c r="M70" s="19"/>
      <c r="N70" s="72"/>
    </row>
    <row r="71" spans="2:14">
      <c r="B71" s="19"/>
      <c r="C71" s="72"/>
      <c r="D71" s="72"/>
      <c r="E71" s="19"/>
      <c r="F71" s="19"/>
      <c r="G71" s="19"/>
      <c r="H71" s="95"/>
      <c r="I71" s="73"/>
      <c r="J71" s="101"/>
      <c r="K71" s="19"/>
      <c r="L71" s="19"/>
      <c r="M71" s="19"/>
      <c r="N71" s="72"/>
    </row>
    <row r="72" spans="2:14">
      <c r="B72" s="19"/>
      <c r="C72" s="72"/>
      <c r="D72" s="72"/>
      <c r="E72" s="19"/>
      <c r="F72" s="19"/>
      <c r="G72" s="19"/>
      <c r="H72" s="95"/>
      <c r="I72" s="73"/>
      <c r="J72" s="101"/>
      <c r="K72" s="19"/>
      <c r="L72" s="19"/>
      <c r="M72" s="19"/>
      <c r="N72" s="72"/>
    </row>
    <row r="73" spans="2:14">
      <c r="B73" s="80" t="s">
        <v>227</v>
      </c>
      <c r="C73" s="81" t="s">
        <v>71</v>
      </c>
      <c r="D73" s="82"/>
      <c r="E73" s="83"/>
      <c r="F73" s="83"/>
      <c r="G73" s="83"/>
      <c r="H73" s="96"/>
      <c r="I73" s="103"/>
      <c r="J73" s="83"/>
      <c r="K73" s="83"/>
      <c r="L73" s="83"/>
      <c r="M73" s="83"/>
      <c r="N73" s="82">
        <f>SUM(K74:K85)</f>
        <v>0</v>
      </c>
    </row>
    <row r="74" spans="2:14">
      <c r="B74" s="19"/>
      <c r="C74" s="72"/>
      <c r="D74" s="72"/>
      <c r="E74" s="19"/>
      <c r="F74" s="19"/>
      <c r="G74" s="19"/>
      <c r="H74" s="95"/>
      <c r="I74" s="73"/>
      <c r="J74" s="101"/>
      <c r="K74" s="19"/>
      <c r="L74" s="19"/>
      <c r="M74" s="19"/>
      <c r="N74" s="72"/>
    </row>
    <row r="75" spans="2:14">
      <c r="B75" s="19"/>
      <c r="C75" s="72"/>
      <c r="D75" s="72"/>
      <c r="E75" s="19"/>
      <c r="F75" s="19"/>
      <c r="G75" s="19"/>
      <c r="H75" s="95"/>
      <c r="I75" s="73"/>
      <c r="J75" s="101"/>
      <c r="K75" s="19"/>
      <c r="L75" s="19"/>
      <c r="M75" s="19"/>
      <c r="N75" s="72"/>
    </row>
    <row r="76" spans="2:14">
      <c r="B76" s="19"/>
      <c r="C76" s="72"/>
      <c r="D76" s="72"/>
      <c r="E76" s="19"/>
      <c r="F76" s="19"/>
      <c r="G76" s="19"/>
      <c r="H76" s="95"/>
      <c r="I76" s="73"/>
      <c r="J76" s="101"/>
      <c r="K76" s="19"/>
      <c r="L76" s="19"/>
      <c r="M76" s="19"/>
      <c r="N76" s="72"/>
    </row>
    <row r="77" spans="2:14">
      <c r="B77" s="19"/>
      <c r="C77" s="72"/>
      <c r="D77" s="72"/>
      <c r="E77" s="19"/>
      <c r="F77" s="19"/>
      <c r="G77" s="19"/>
      <c r="H77" s="95"/>
      <c r="I77" s="73"/>
      <c r="J77" s="101"/>
      <c r="K77" s="19"/>
      <c r="L77" s="19"/>
      <c r="M77" s="19"/>
      <c r="N77" s="72"/>
    </row>
    <row r="78" spans="2:14">
      <c r="B78" s="19"/>
      <c r="C78" s="72"/>
      <c r="D78" s="72"/>
      <c r="E78" s="19"/>
      <c r="F78" s="19"/>
      <c r="G78" s="19"/>
      <c r="H78" s="95"/>
      <c r="I78" s="73"/>
      <c r="J78" s="101"/>
      <c r="K78" s="19"/>
      <c r="L78" s="19"/>
      <c r="M78" s="19"/>
      <c r="N78" s="72"/>
    </row>
    <row r="79" spans="2:14">
      <c r="B79" s="19"/>
      <c r="C79" s="72"/>
      <c r="D79" s="72"/>
      <c r="E79" s="19"/>
      <c r="F79" s="19"/>
      <c r="G79" s="19"/>
      <c r="H79" s="95"/>
      <c r="I79" s="73"/>
      <c r="J79" s="101"/>
      <c r="K79" s="19"/>
      <c r="L79" s="19"/>
      <c r="M79" s="19"/>
      <c r="N79" s="72"/>
    </row>
    <row r="80" spans="2:14">
      <c r="B80" s="19"/>
      <c r="C80" s="72"/>
      <c r="D80" s="72"/>
      <c r="E80" s="19"/>
      <c r="F80" s="19"/>
      <c r="G80" s="19"/>
      <c r="H80" s="95"/>
      <c r="I80" s="73"/>
      <c r="J80" s="101"/>
      <c r="K80" s="19"/>
      <c r="L80" s="19"/>
      <c r="M80" s="19"/>
      <c r="N80" s="72"/>
    </row>
    <row r="81" spans="2:14">
      <c r="B81" s="80" t="s">
        <v>228</v>
      </c>
      <c r="C81" s="81" t="s">
        <v>65</v>
      </c>
      <c r="D81" s="82"/>
      <c r="E81" s="83"/>
      <c r="F81" s="83"/>
      <c r="G81" s="83"/>
      <c r="H81" s="96"/>
      <c r="I81" s="103"/>
      <c r="J81" s="83"/>
      <c r="K81" s="83"/>
      <c r="L81" s="83"/>
      <c r="M81" s="83"/>
      <c r="N81" s="82">
        <f>SUM(K82:K93)</f>
        <v>1688.43</v>
      </c>
    </row>
    <row r="82" spans="2:14">
      <c r="B82" s="84"/>
      <c r="C82" s="85" t="s">
        <v>316</v>
      </c>
      <c r="D82" s="85"/>
      <c r="E82" s="84"/>
      <c r="F82" s="84"/>
      <c r="G82" s="84"/>
      <c r="H82" s="97"/>
      <c r="I82" s="106"/>
      <c r="J82" s="102"/>
      <c r="K82" s="84"/>
      <c r="L82" s="84"/>
      <c r="M82" s="84"/>
      <c r="N82" s="85"/>
    </row>
    <row r="83" spans="2:14">
      <c r="B83" s="19"/>
      <c r="C83" s="72"/>
      <c r="D83" s="72"/>
      <c r="E83" s="19"/>
      <c r="F83" s="19"/>
      <c r="G83" s="19"/>
      <c r="H83" s="95"/>
      <c r="I83" s="73"/>
      <c r="J83" s="101"/>
      <c r="K83" s="19"/>
      <c r="L83" s="19"/>
      <c r="M83" s="19"/>
      <c r="N83" s="72"/>
    </row>
    <row r="84" spans="2:14">
      <c r="B84" s="19"/>
      <c r="C84" s="72"/>
      <c r="D84" s="72"/>
      <c r="E84" s="19"/>
      <c r="F84" s="19"/>
      <c r="G84" s="19"/>
      <c r="H84" s="95"/>
      <c r="I84" s="73"/>
      <c r="J84" s="101"/>
      <c r="K84" s="19"/>
      <c r="L84" s="19"/>
      <c r="M84" s="19"/>
      <c r="N84" s="72"/>
    </row>
    <row r="85" spans="2:14">
      <c r="B85" s="84"/>
      <c r="C85" s="85" t="s">
        <v>317</v>
      </c>
      <c r="D85" s="85"/>
      <c r="E85" s="84"/>
      <c r="F85" s="84"/>
      <c r="G85" s="84"/>
      <c r="H85" s="97"/>
      <c r="I85" s="106"/>
      <c r="J85" s="102"/>
      <c r="K85" s="84"/>
      <c r="L85" s="84"/>
      <c r="M85" s="84"/>
      <c r="N85" s="85"/>
    </row>
    <row r="86" spans="2:14" ht="30">
      <c r="B86" s="19"/>
      <c r="C86" s="71" t="s">
        <v>319</v>
      </c>
      <c r="D86" s="72"/>
      <c r="E86" s="19" t="s">
        <v>320</v>
      </c>
      <c r="F86" s="19">
        <v>1900002945</v>
      </c>
      <c r="G86" s="20">
        <v>41673</v>
      </c>
      <c r="H86" s="95" t="s">
        <v>322</v>
      </c>
      <c r="I86" s="73">
        <v>1259</v>
      </c>
      <c r="J86" s="101">
        <f>+I86/K86</f>
        <v>2.8180047899366567</v>
      </c>
      <c r="K86" s="19">
        <v>446.77</v>
      </c>
      <c r="L86" s="19">
        <f>+$C$2</f>
        <v>1.3427</v>
      </c>
      <c r="M86" s="19">
        <f>+K86/L86</f>
        <v>332.74000148953598</v>
      </c>
      <c r="N86" s="72"/>
    </row>
    <row r="87" spans="2:14">
      <c r="B87" s="19"/>
      <c r="C87" s="72"/>
      <c r="D87" s="72"/>
      <c r="E87" s="19"/>
      <c r="F87" s="19"/>
      <c r="G87" s="19"/>
      <c r="H87" s="95"/>
      <c r="I87" s="73"/>
      <c r="J87" s="101"/>
      <c r="K87" s="19"/>
      <c r="L87" s="19"/>
      <c r="M87" s="19"/>
      <c r="N87" s="72"/>
    </row>
    <row r="88" spans="2:14">
      <c r="B88" s="19"/>
      <c r="C88" s="72"/>
      <c r="D88" s="72"/>
      <c r="E88" s="19"/>
      <c r="F88" s="19"/>
      <c r="G88" s="19"/>
      <c r="H88" s="95"/>
      <c r="I88" s="73"/>
      <c r="J88" s="101"/>
      <c r="K88" s="19"/>
      <c r="L88" s="19"/>
      <c r="M88" s="19"/>
      <c r="N88" s="72"/>
    </row>
    <row r="89" spans="2:14" ht="45">
      <c r="B89" s="80" t="s">
        <v>229</v>
      </c>
      <c r="C89" s="81" t="s">
        <v>324</v>
      </c>
      <c r="D89" s="82"/>
      <c r="E89" s="83"/>
      <c r="F89" s="83"/>
      <c r="G89" s="83"/>
      <c r="H89" s="96"/>
      <c r="I89" s="103"/>
      <c r="J89" s="83"/>
      <c r="K89" s="83"/>
      <c r="L89" s="83"/>
      <c r="M89" s="83"/>
      <c r="N89" s="82">
        <f>SUM(K90:K101)</f>
        <v>1241.6600000000001</v>
      </c>
    </row>
    <row r="90" spans="2:14">
      <c r="B90" s="84"/>
      <c r="C90" s="85" t="s">
        <v>313</v>
      </c>
      <c r="D90" s="85"/>
      <c r="E90" s="84"/>
      <c r="F90" s="84"/>
      <c r="G90" s="84"/>
      <c r="H90" s="97"/>
      <c r="I90" s="106"/>
      <c r="J90" s="102"/>
      <c r="K90" s="84"/>
      <c r="L90" s="84"/>
      <c r="M90" s="84"/>
      <c r="N90" s="85"/>
    </row>
    <row r="91" spans="2:14" ht="30">
      <c r="B91" s="19"/>
      <c r="C91" s="72" t="s">
        <v>313</v>
      </c>
      <c r="D91" s="72"/>
      <c r="E91" s="19" t="s">
        <v>325</v>
      </c>
      <c r="F91" s="19">
        <v>1900002944</v>
      </c>
      <c r="G91" s="19"/>
      <c r="H91" s="95" t="s">
        <v>326</v>
      </c>
      <c r="I91" s="73">
        <v>3499</v>
      </c>
      <c r="J91" s="101">
        <f>+I91/K91</f>
        <v>2.8180017073917174</v>
      </c>
      <c r="K91" s="19">
        <v>1241.6600000000001</v>
      </c>
      <c r="L91" s="19">
        <f>+$C$2</f>
        <v>1.3427</v>
      </c>
      <c r="M91" s="19">
        <f>+K91/L91</f>
        <v>924.74864079839131</v>
      </c>
      <c r="N91" s="72"/>
    </row>
    <row r="92" spans="2:14">
      <c r="B92" s="19"/>
      <c r="C92" s="72"/>
      <c r="D92" s="72"/>
      <c r="E92" s="19"/>
      <c r="F92" s="19"/>
      <c r="G92" s="19"/>
      <c r="H92" s="95"/>
      <c r="I92" s="73"/>
      <c r="J92" s="101"/>
      <c r="K92" s="19"/>
      <c r="L92" s="19"/>
      <c r="M92" s="19"/>
      <c r="N92" s="72"/>
    </row>
    <row r="93" spans="2:14">
      <c r="B93" s="19"/>
      <c r="C93" s="72"/>
      <c r="D93" s="72"/>
      <c r="E93" s="19"/>
      <c r="F93" s="19"/>
      <c r="G93" s="19"/>
      <c r="H93" s="95"/>
      <c r="I93" s="73"/>
      <c r="J93" s="101"/>
      <c r="K93" s="19"/>
      <c r="L93" s="19"/>
      <c r="M93" s="19"/>
      <c r="N93" s="72"/>
    </row>
    <row r="94" spans="2:14">
      <c r="B94" s="19"/>
      <c r="C94" s="72"/>
      <c r="D94" s="72"/>
      <c r="E94" s="19"/>
      <c r="F94" s="19"/>
      <c r="G94" s="19"/>
      <c r="H94" s="95"/>
      <c r="I94" s="73"/>
      <c r="J94" s="101"/>
      <c r="K94" s="19"/>
      <c r="L94" s="19"/>
      <c r="M94" s="19"/>
      <c r="N94" s="72"/>
    </row>
    <row r="95" spans="2:14">
      <c r="B95" s="80" t="s">
        <v>230</v>
      </c>
      <c r="C95" s="81" t="s">
        <v>315</v>
      </c>
      <c r="D95" s="82"/>
      <c r="E95" s="83"/>
      <c r="F95" s="83"/>
      <c r="G95" s="83"/>
      <c r="H95" s="96"/>
      <c r="I95" s="103"/>
      <c r="J95" s="83"/>
      <c r="K95" s="83"/>
      <c r="L95" s="83"/>
      <c r="M95" s="83"/>
      <c r="N95" s="82">
        <f>SUM(K96:K107)</f>
        <v>0</v>
      </c>
    </row>
    <row r="96" spans="2:14">
      <c r="B96" s="19"/>
      <c r="C96" s="72"/>
      <c r="D96" s="72"/>
      <c r="E96" s="19"/>
      <c r="F96" s="19"/>
      <c r="G96" s="19"/>
      <c r="H96" s="95"/>
      <c r="I96" s="73"/>
      <c r="J96" s="101"/>
      <c r="K96" s="19"/>
      <c r="L96" s="19"/>
      <c r="M96" s="19"/>
      <c r="N96" s="72"/>
    </row>
    <row r="97" spans="2:14">
      <c r="B97" s="19"/>
      <c r="C97" s="72"/>
      <c r="D97" s="72"/>
      <c r="E97" s="19"/>
      <c r="F97" s="19"/>
      <c r="G97" s="19"/>
      <c r="H97" s="95"/>
      <c r="I97" s="73"/>
      <c r="J97" s="101"/>
      <c r="K97" s="19"/>
      <c r="L97" s="19"/>
      <c r="M97" s="19"/>
      <c r="N97" s="72"/>
    </row>
    <row r="98" spans="2:14">
      <c r="B98" s="19"/>
      <c r="C98" s="72"/>
      <c r="D98" s="72"/>
      <c r="E98" s="19"/>
      <c r="F98" s="19"/>
      <c r="G98" s="19"/>
      <c r="H98" s="95"/>
      <c r="I98" s="73"/>
      <c r="J98" s="101"/>
      <c r="K98" s="19"/>
      <c r="L98" s="19"/>
      <c r="M98" s="19"/>
      <c r="N98" s="72"/>
    </row>
    <row r="99" spans="2:14">
      <c r="B99" s="19"/>
      <c r="C99" s="72"/>
      <c r="D99" s="72"/>
      <c r="E99" s="19"/>
      <c r="F99" s="19"/>
      <c r="G99" s="19"/>
      <c r="H99" s="95"/>
      <c r="I99" s="73"/>
      <c r="J99" s="101"/>
      <c r="K99" s="19"/>
      <c r="L99" s="19"/>
      <c r="M99" s="19"/>
      <c r="N99" s="72"/>
    </row>
    <row r="100" spans="2:14">
      <c r="B100" s="19"/>
      <c r="C100" s="72"/>
      <c r="D100" s="72"/>
      <c r="E100" s="19"/>
      <c r="F100" s="19"/>
      <c r="G100" s="19"/>
      <c r="H100" s="95"/>
      <c r="I100" s="73"/>
      <c r="J100" s="101"/>
      <c r="K100" s="19"/>
      <c r="L100" s="19"/>
      <c r="M100" s="19"/>
      <c r="N100" s="72"/>
    </row>
  </sheetData>
  <mergeCells count="3">
    <mergeCell ref="B3:C4"/>
    <mergeCell ref="D3:D4"/>
    <mergeCell ref="N3:N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1:L33"/>
  <sheetViews>
    <sheetView topLeftCell="B4" zoomScale="120" zoomScaleNormal="120" workbookViewId="0">
      <selection activeCell="C22" sqref="C22:C23"/>
    </sheetView>
  </sheetViews>
  <sheetFormatPr defaultRowHeight="11.25"/>
  <cols>
    <col min="1" max="1" width="2.85546875" style="479" customWidth="1"/>
    <col min="2" max="2" width="17.85546875" style="479" customWidth="1"/>
    <col min="3" max="3" width="11" style="486" customWidth="1"/>
    <col min="4" max="4" width="55.140625" style="479" customWidth="1"/>
    <col min="5" max="5" width="8.140625" style="479" customWidth="1"/>
    <col min="6" max="6" width="10.7109375" style="488" customWidth="1"/>
    <col min="7" max="7" width="9.28515625" style="795" customWidth="1"/>
    <col min="8" max="8" width="7.7109375" style="795" customWidth="1"/>
    <col min="9" max="9" width="9" style="488" customWidth="1"/>
    <col min="10" max="10" width="7.28515625" style="488" customWidth="1"/>
    <col min="11" max="11" width="9.28515625" style="489" customWidth="1"/>
    <col min="12" max="16384" width="9.140625" style="479"/>
  </cols>
  <sheetData>
    <row r="1" spans="1:12" ht="28.5" customHeight="1">
      <c r="A1" s="705" t="s">
        <v>558</v>
      </c>
      <c r="B1" s="705"/>
      <c r="C1" s="705"/>
      <c r="D1" s="705"/>
      <c r="E1" s="705"/>
      <c r="F1" s="705"/>
      <c r="G1" s="705"/>
      <c r="H1" s="705"/>
      <c r="I1" s="705"/>
      <c r="J1" s="705"/>
      <c r="K1" s="705"/>
    </row>
    <row r="2" spans="1:12" ht="15" customHeight="1">
      <c r="A2" s="708"/>
      <c r="B2" s="706" t="s">
        <v>107</v>
      </c>
      <c r="C2" s="710" t="s">
        <v>348</v>
      </c>
      <c r="D2" s="706" t="s">
        <v>108</v>
      </c>
      <c r="E2" s="697" t="s">
        <v>327</v>
      </c>
      <c r="F2" s="697" t="s">
        <v>109</v>
      </c>
      <c r="G2" s="796" t="s">
        <v>116</v>
      </c>
      <c r="H2" s="792" t="s">
        <v>99</v>
      </c>
      <c r="I2" s="706" t="s">
        <v>110</v>
      </c>
      <c r="J2" s="697" t="s">
        <v>99</v>
      </c>
      <c r="K2" s="698" t="s">
        <v>184</v>
      </c>
    </row>
    <row r="3" spans="1:12" ht="15.75" customHeight="1">
      <c r="A3" s="709"/>
      <c r="B3" s="707"/>
      <c r="C3" s="710"/>
      <c r="D3" s="707"/>
      <c r="E3" s="697"/>
      <c r="F3" s="697"/>
      <c r="G3" s="797"/>
      <c r="H3" s="792"/>
      <c r="I3" s="707"/>
      <c r="J3" s="697"/>
      <c r="K3" s="698"/>
    </row>
    <row r="4" spans="1:12">
      <c r="A4" s="480">
        <f t="shared" ref="A4:A18" si="0">+A3+1</f>
        <v>1</v>
      </c>
      <c r="B4" s="480" t="s">
        <v>111</v>
      </c>
      <c r="C4" s="482" t="s">
        <v>552</v>
      </c>
      <c r="D4" s="480" t="s">
        <v>532</v>
      </c>
      <c r="E4" s="480"/>
      <c r="F4" s="513">
        <v>41760</v>
      </c>
      <c r="G4" s="793"/>
      <c r="H4" s="793">
        <f>+G4/I4</f>
        <v>0</v>
      </c>
      <c r="I4" s="483">
        <v>3.85</v>
      </c>
      <c r="J4" s="482">
        <v>1.3427</v>
      </c>
      <c r="K4" s="483">
        <f>+I4/J4</f>
        <v>2.8673568183510838</v>
      </c>
    </row>
    <row r="5" spans="1:12">
      <c r="A5" s="480">
        <f t="shared" si="0"/>
        <v>2</v>
      </c>
      <c r="B5" s="480" t="s">
        <v>111</v>
      </c>
      <c r="C5" s="482">
        <v>100027492</v>
      </c>
      <c r="D5" s="480" t="s">
        <v>533</v>
      </c>
      <c r="E5" s="480"/>
      <c r="F5" s="513">
        <v>41760</v>
      </c>
      <c r="G5" s="793"/>
      <c r="H5" s="793">
        <f t="shared" ref="H5:H8" si="1">+G5/I5</f>
        <v>0</v>
      </c>
      <c r="I5" s="483">
        <v>3.85</v>
      </c>
      <c r="J5" s="482">
        <v>1.3427</v>
      </c>
      <c r="K5" s="483">
        <f>+I5/J5</f>
        <v>2.8673568183510838</v>
      </c>
    </row>
    <row r="6" spans="1:12">
      <c r="A6" s="480">
        <f t="shared" si="0"/>
        <v>3</v>
      </c>
      <c r="B6" s="480" t="s">
        <v>111</v>
      </c>
      <c r="C6" s="482" t="s">
        <v>552</v>
      </c>
      <c r="D6" s="480" t="s">
        <v>534</v>
      </c>
      <c r="E6" s="480"/>
      <c r="F6" s="513">
        <v>41760</v>
      </c>
      <c r="G6" s="793"/>
      <c r="H6" s="793">
        <f t="shared" si="1"/>
        <v>0</v>
      </c>
      <c r="I6" s="483">
        <v>3.85</v>
      </c>
      <c r="J6" s="482">
        <v>1.3427</v>
      </c>
      <c r="K6" s="483">
        <f t="shared" ref="K6" si="2">+I6/J6</f>
        <v>2.8673568183510838</v>
      </c>
    </row>
    <row r="7" spans="1:12">
      <c r="A7" s="484">
        <f t="shared" si="0"/>
        <v>4</v>
      </c>
      <c r="B7" s="484" t="s">
        <v>111</v>
      </c>
      <c r="C7" s="466">
        <v>1900003369</v>
      </c>
      <c r="D7" s="484" t="s">
        <v>535</v>
      </c>
      <c r="E7" s="484"/>
      <c r="F7" s="514">
        <v>41764</v>
      </c>
      <c r="G7" s="794"/>
      <c r="H7" s="794"/>
      <c r="I7" s="485">
        <v>2284.4499999999998</v>
      </c>
      <c r="J7" s="466">
        <v>1.3427</v>
      </c>
      <c r="K7" s="485">
        <f>+I7/J7</f>
        <v>1701.3852684888657</v>
      </c>
    </row>
    <row r="8" spans="1:12">
      <c r="A8" s="480">
        <f t="shared" si="0"/>
        <v>5</v>
      </c>
      <c r="B8" s="480" t="s">
        <v>111</v>
      </c>
      <c r="C8" s="482">
        <v>1900003370</v>
      </c>
      <c r="D8" s="480" t="s">
        <v>536</v>
      </c>
      <c r="E8" s="480"/>
      <c r="F8" s="513">
        <v>41764</v>
      </c>
      <c r="G8" s="793"/>
      <c r="H8" s="793">
        <f t="shared" si="1"/>
        <v>0</v>
      </c>
      <c r="I8" s="483">
        <v>225.44</v>
      </c>
      <c r="J8" s="482">
        <v>1.3427</v>
      </c>
      <c r="K8" s="483">
        <f>+I8/J8</f>
        <v>167.90049899456318</v>
      </c>
      <c r="L8" s="479" t="s">
        <v>662</v>
      </c>
    </row>
    <row r="9" spans="1:12">
      <c r="A9" s="484">
        <f t="shared" si="0"/>
        <v>6</v>
      </c>
      <c r="B9" s="484" t="s">
        <v>111</v>
      </c>
      <c r="C9" s="466">
        <v>1700000191</v>
      </c>
      <c r="D9" s="484" t="s">
        <v>535</v>
      </c>
      <c r="E9" s="484"/>
      <c r="F9" s="514">
        <v>41764</v>
      </c>
      <c r="G9" s="794"/>
      <c r="H9" s="794"/>
      <c r="I9" s="485">
        <v>-2284.4499999999998</v>
      </c>
      <c r="J9" s="466">
        <v>1.3427</v>
      </c>
      <c r="K9" s="485">
        <f>+I9/J9</f>
        <v>-1701.3852684888657</v>
      </c>
    </row>
    <row r="10" spans="1:12">
      <c r="A10" s="484">
        <f t="shared" si="0"/>
        <v>7</v>
      </c>
      <c r="B10" s="484" t="s">
        <v>111</v>
      </c>
      <c r="C10" s="466">
        <v>1700000192</v>
      </c>
      <c r="D10" s="484" t="s">
        <v>536</v>
      </c>
      <c r="E10" s="484"/>
      <c r="F10" s="514">
        <v>41764</v>
      </c>
      <c r="G10" s="794"/>
      <c r="H10" s="794"/>
      <c r="I10" s="485">
        <v>-225.44</v>
      </c>
      <c r="J10" s="466">
        <v>1.3427</v>
      </c>
      <c r="K10" s="485">
        <f t="shared" ref="K10:K11" si="3">+I10/J10</f>
        <v>-167.90049899456318</v>
      </c>
    </row>
    <row r="11" spans="1:12">
      <c r="A11" s="484">
        <f t="shared" si="0"/>
        <v>8</v>
      </c>
      <c r="B11" s="484" t="s">
        <v>111</v>
      </c>
      <c r="C11" s="466">
        <v>1900003396</v>
      </c>
      <c r="D11" s="484" t="s">
        <v>536</v>
      </c>
      <c r="E11" s="484"/>
      <c r="F11" s="514">
        <v>41764</v>
      </c>
      <c r="G11" s="794"/>
      <c r="H11" s="794"/>
      <c r="I11" s="485">
        <v>225.44</v>
      </c>
      <c r="J11" s="466">
        <v>1.3427</v>
      </c>
      <c r="K11" s="485">
        <f t="shared" si="3"/>
        <v>167.90049899456318</v>
      </c>
    </row>
    <row r="12" spans="1:12">
      <c r="A12" s="480">
        <f t="shared" si="0"/>
        <v>9</v>
      </c>
      <c r="B12" s="480" t="s">
        <v>111</v>
      </c>
      <c r="C12" s="482">
        <v>1900003398</v>
      </c>
      <c r="D12" s="480" t="s">
        <v>535</v>
      </c>
      <c r="E12" s="480"/>
      <c r="F12" s="513">
        <v>41764</v>
      </c>
      <c r="G12" s="793">
        <v>815</v>
      </c>
      <c r="H12" s="793">
        <f t="shared" ref="H12:H18" si="4">+G12/I12</f>
        <v>2.8029990370064657</v>
      </c>
      <c r="I12" s="483">
        <v>290.76</v>
      </c>
      <c r="J12" s="482">
        <v>1.3427</v>
      </c>
      <c r="K12" s="483">
        <f>+I12/J12</f>
        <v>216.54874506591196</v>
      </c>
    </row>
    <row r="13" spans="1:12">
      <c r="A13" s="480">
        <f t="shared" si="0"/>
        <v>10</v>
      </c>
      <c r="B13" s="480" t="s">
        <v>111</v>
      </c>
      <c r="C13" s="482">
        <v>1900003383</v>
      </c>
      <c r="D13" s="480" t="s">
        <v>545</v>
      </c>
      <c r="E13" s="480"/>
      <c r="F13" s="513">
        <v>41771</v>
      </c>
      <c r="G13" s="793">
        <v>162</v>
      </c>
      <c r="H13" s="793">
        <f t="shared" si="4"/>
        <v>2.7858985382631127</v>
      </c>
      <c r="I13" s="483">
        <v>58.15</v>
      </c>
      <c r="J13" s="482">
        <v>1.3427</v>
      </c>
      <c r="K13" s="483">
        <f t="shared" ref="K13:K30" si="5">+I13/J13</f>
        <v>43.308259477172861</v>
      </c>
    </row>
    <row r="14" spans="1:12">
      <c r="A14" s="480">
        <f t="shared" si="0"/>
        <v>11</v>
      </c>
      <c r="B14" s="480" t="s">
        <v>111</v>
      </c>
      <c r="C14" s="482">
        <v>1900003385</v>
      </c>
      <c r="D14" s="480" t="s">
        <v>537</v>
      </c>
      <c r="E14" s="480"/>
      <c r="F14" s="513">
        <v>41771</v>
      </c>
      <c r="G14" s="793">
        <v>230</v>
      </c>
      <c r="H14" s="793">
        <f t="shared" si="4"/>
        <v>2.7858527131782944</v>
      </c>
      <c r="I14" s="483">
        <v>82.56</v>
      </c>
      <c r="J14" s="482">
        <v>1.3427</v>
      </c>
      <c r="K14" s="483">
        <f t="shared" si="5"/>
        <v>61.488046473523497</v>
      </c>
    </row>
    <row r="15" spans="1:12">
      <c r="A15" s="480">
        <f t="shared" si="0"/>
        <v>12</v>
      </c>
      <c r="B15" s="480" t="s">
        <v>111</v>
      </c>
      <c r="C15" s="482">
        <v>1900003386</v>
      </c>
      <c r="D15" s="480" t="s">
        <v>538</v>
      </c>
      <c r="E15" s="480"/>
      <c r="F15" s="513">
        <v>41771</v>
      </c>
      <c r="G15" s="793">
        <v>230</v>
      </c>
      <c r="H15" s="793">
        <f t="shared" si="4"/>
        <v>2.7858527131782944</v>
      </c>
      <c r="I15" s="483">
        <v>82.56</v>
      </c>
      <c r="J15" s="482">
        <v>1.3427</v>
      </c>
      <c r="K15" s="483">
        <f t="shared" si="5"/>
        <v>61.488046473523497</v>
      </c>
    </row>
    <row r="16" spans="1:12">
      <c r="A16" s="480">
        <f t="shared" si="0"/>
        <v>13</v>
      </c>
      <c r="B16" s="480" t="s">
        <v>111</v>
      </c>
      <c r="C16" s="482">
        <v>1900003388</v>
      </c>
      <c r="D16" s="480" t="s">
        <v>539</v>
      </c>
      <c r="E16" s="480"/>
      <c r="F16" s="513">
        <v>41772</v>
      </c>
      <c r="G16" s="793">
        <v>230</v>
      </c>
      <c r="H16" s="793">
        <f t="shared" si="4"/>
        <v>2.7841665657910664</v>
      </c>
      <c r="I16" s="483">
        <v>82.61</v>
      </c>
      <c r="J16" s="482">
        <v>1.3427</v>
      </c>
      <c r="K16" s="483">
        <f t="shared" si="5"/>
        <v>61.525284873761819</v>
      </c>
    </row>
    <row r="17" spans="1:12">
      <c r="A17" s="480">
        <f t="shared" si="0"/>
        <v>14</v>
      </c>
      <c r="B17" s="480" t="s">
        <v>111</v>
      </c>
      <c r="C17" s="482">
        <v>1900003389</v>
      </c>
      <c r="D17" s="480" t="s">
        <v>540</v>
      </c>
      <c r="E17" s="480"/>
      <c r="F17" s="513">
        <v>41772</v>
      </c>
      <c r="G17" s="793">
        <v>4646.3999999999996</v>
      </c>
      <c r="H17" s="793">
        <f t="shared" si="4"/>
        <v>2.7839925223341337</v>
      </c>
      <c r="I17" s="483">
        <v>1668.97</v>
      </c>
      <c r="J17" s="482">
        <v>1.3427</v>
      </c>
      <c r="K17" s="483">
        <f t="shared" si="5"/>
        <v>1242.995456915171</v>
      </c>
    </row>
    <row r="18" spans="1:12">
      <c r="A18" s="480">
        <f t="shared" si="0"/>
        <v>15</v>
      </c>
      <c r="B18" s="480" t="s">
        <v>111</v>
      </c>
      <c r="C18" s="482">
        <v>1900003391</v>
      </c>
      <c r="D18" s="480" t="s">
        <v>541</v>
      </c>
      <c r="E18" s="480"/>
      <c r="F18" s="513">
        <v>41772</v>
      </c>
      <c r="G18" s="793">
        <v>634</v>
      </c>
      <c r="H18" s="793">
        <f t="shared" si="4"/>
        <v>2.7839985948272079</v>
      </c>
      <c r="I18" s="483">
        <v>227.73</v>
      </c>
      <c r="J18" s="482">
        <v>1.3427</v>
      </c>
      <c r="K18" s="483">
        <f t="shared" si="5"/>
        <v>169.60601772547849</v>
      </c>
    </row>
    <row r="19" spans="1:12">
      <c r="A19" s="484"/>
      <c r="B19" s="484" t="s">
        <v>111</v>
      </c>
      <c r="C19" s="466">
        <v>1900003325</v>
      </c>
      <c r="D19" s="484" t="s">
        <v>542</v>
      </c>
      <c r="E19" s="484"/>
      <c r="F19" s="514">
        <v>41774</v>
      </c>
      <c r="G19" s="794"/>
      <c r="H19" s="794"/>
      <c r="I19" s="485">
        <v>6299.57</v>
      </c>
      <c r="J19" s="466">
        <v>1.3427</v>
      </c>
      <c r="K19" s="485">
        <f t="shared" si="5"/>
        <v>4691.7181797869962</v>
      </c>
    </row>
    <row r="20" spans="1:12">
      <c r="A20" s="484"/>
      <c r="B20" s="484" t="s">
        <v>111</v>
      </c>
      <c r="C20" s="466">
        <v>1700000184</v>
      </c>
      <c r="D20" s="484" t="s">
        <v>542</v>
      </c>
      <c r="E20" s="484"/>
      <c r="F20" s="514">
        <v>41774</v>
      </c>
      <c r="G20" s="794"/>
      <c r="H20" s="794"/>
      <c r="I20" s="485">
        <v>-6299.57</v>
      </c>
      <c r="J20" s="466">
        <v>1.3427</v>
      </c>
      <c r="K20" s="485">
        <f t="shared" si="5"/>
        <v>-4691.7181797869962</v>
      </c>
    </row>
    <row r="21" spans="1:12">
      <c r="A21" s="480">
        <v>1</v>
      </c>
      <c r="B21" s="480" t="s">
        <v>111</v>
      </c>
      <c r="C21" s="482">
        <v>1900003327</v>
      </c>
      <c r="D21" s="480" t="s">
        <v>542</v>
      </c>
      <c r="E21" s="480"/>
      <c r="F21" s="513">
        <v>41774</v>
      </c>
      <c r="G21" s="793">
        <v>6299.57</v>
      </c>
      <c r="H21" s="793">
        <f t="shared" ref="H21:H29" si="6">+G21/I21</f>
        <v>2.783995792785865</v>
      </c>
      <c r="I21" s="483">
        <v>2262.7800000000002</v>
      </c>
      <c r="J21" s="482">
        <v>1.3427</v>
      </c>
      <c r="K21" s="483">
        <f t="shared" si="5"/>
        <v>1685.2461458255755</v>
      </c>
    </row>
    <row r="22" spans="1:12">
      <c r="A22" s="480">
        <f t="shared" ref="A22:A30" si="7">+A21+1</f>
        <v>2</v>
      </c>
      <c r="B22" s="480" t="s">
        <v>111</v>
      </c>
      <c r="C22" s="482">
        <v>100004147</v>
      </c>
      <c r="D22" s="480" t="s">
        <v>543</v>
      </c>
      <c r="E22" s="480"/>
      <c r="F22" s="513">
        <v>41778</v>
      </c>
      <c r="G22" s="793">
        <v>15</v>
      </c>
      <c r="H22" s="793">
        <f t="shared" si="6"/>
        <v>2.7829313543599259</v>
      </c>
      <c r="I22" s="483">
        <v>5.39</v>
      </c>
      <c r="J22" s="482">
        <v>1.3427</v>
      </c>
      <c r="K22" s="483">
        <f t="shared" si="5"/>
        <v>4.0142995456915171</v>
      </c>
    </row>
    <row r="23" spans="1:12">
      <c r="A23" s="480">
        <f t="shared" si="7"/>
        <v>3</v>
      </c>
      <c r="B23" s="480" t="s">
        <v>111</v>
      </c>
      <c r="C23" s="482">
        <v>100004147</v>
      </c>
      <c r="D23" s="480" t="s">
        <v>544</v>
      </c>
      <c r="E23" s="480"/>
      <c r="F23" s="513">
        <v>41778</v>
      </c>
      <c r="G23" s="793">
        <v>68</v>
      </c>
      <c r="H23" s="793">
        <f t="shared" si="6"/>
        <v>2.7834629553827264</v>
      </c>
      <c r="I23" s="483">
        <v>24.43</v>
      </c>
      <c r="J23" s="482">
        <v>1.3427</v>
      </c>
      <c r="K23" s="483">
        <f t="shared" si="5"/>
        <v>18.194682356445966</v>
      </c>
    </row>
    <row r="24" spans="1:12">
      <c r="A24" s="480">
        <f t="shared" si="7"/>
        <v>4</v>
      </c>
      <c r="B24" s="480" t="s">
        <v>111</v>
      </c>
      <c r="C24" s="482">
        <v>1900003336</v>
      </c>
      <c r="D24" s="480" t="s">
        <v>546</v>
      </c>
      <c r="E24" s="480"/>
      <c r="F24" s="513">
        <v>41779</v>
      </c>
      <c r="G24" s="793"/>
      <c r="H24" s="793">
        <f t="shared" si="6"/>
        <v>0</v>
      </c>
      <c r="I24" s="483">
        <v>217.79</v>
      </c>
      <c r="J24" s="482">
        <v>1.3427</v>
      </c>
      <c r="K24" s="483">
        <f t="shared" si="5"/>
        <v>162.20302375809933</v>
      </c>
      <c r="L24" s="479" t="s">
        <v>662</v>
      </c>
    </row>
    <row r="25" spans="1:12">
      <c r="A25" s="480">
        <f t="shared" si="7"/>
        <v>5</v>
      </c>
      <c r="B25" s="480" t="s">
        <v>111</v>
      </c>
      <c r="C25" s="482">
        <v>100004146</v>
      </c>
      <c r="D25" s="480" t="s">
        <v>547</v>
      </c>
      <c r="E25" s="480"/>
      <c r="F25" s="513">
        <v>41781</v>
      </c>
      <c r="G25" s="793">
        <v>228</v>
      </c>
      <c r="H25" s="793">
        <f t="shared" si="6"/>
        <v>2.786945361202787</v>
      </c>
      <c r="I25" s="483">
        <v>81.81</v>
      </c>
      <c r="J25" s="482">
        <v>1.3427</v>
      </c>
      <c r="K25" s="483">
        <f t="shared" si="5"/>
        <v>60.929470469948612</v>
      </c>
    </row>
    <row r="26" spans="1:12">
      <c r="A26" s="480">
        <f t="shared" si="7"/>
        <v>6</v>
      </c>
      <c r="B26" s="480" t="s">
        <v>111</v>
      </c>
      <c r="C26" s="482">
        <v>1900003353</v>
      </c>
      <c r="D26" s="480" t="s">
        <v>548</v>
      </c>
      <c r="E26" s="480"/>
      <c r="F26" s="513">
        <v>41782</v>
      </c>
      <c r="G26" s="793">
        <v>230</v>
      </c>
      <c r="H26" s="793">
        <f t="shared" si="6"/>
        <v>2.7868653822852294</v>
      </c>
      <c r="I26" s="483">
        <v>82.53</v>
      </c>
      <c r="J26" s="482">
        <v>1.3427</v>
      </c>
      <c r="K26" s="483">
        <f t="shared" si="5"/>
        <v>61.465703433380504</v>
      </c>
    </row>
    <row r="27" spans="1:12">
      <c r="A27" s="480">
        <f t="shared" si="7"/>
        <v>7</v>
      </c>
      <c r="B27" s="480" t="s">
        <v>111</v>
      </c>
      <c r="C27" s="482">
        <v>1900003358</v>
      </c>
      <c r="D27" s="480" t="s">
        <v>550</v>
      </c>
      <c r="E27" s="480"/>
      <c r="F27" s="513">
        <v>41786</v>
      </c>
      <c r="G27" s="793"/>
      <c r="H27" s="793">
        <f t="shared" si="6"/>
        <v>0</v>
      </c>
      <c r="I27" s="483">
        <v>850</v>
      </c>
      <c r="J27" s="482">
        <v>1.3427</v>
      </c>
      <c r="K27" s="483">
        <f t="shared" si="5"/>
        <v>633.05280405153792</v>
      </c>
      <c r="L27" s="479" t="s">
        <v>662</v>
      </c>
    </row>
    <row r="28" spans="1:12">
      <c r="A28" s="480">
        <f t="shared" si="7"/>
        <v>8</v>
      </c>
      <c r="B28" s="480" t="s">
        <v>111</v>
      </c>
      <c r="C28" s="482">
        <v>100004184</v>
      </c>
      <c r="D28" s="480" t="s">
        <v>549</v>
      </c>
      <c r="E28" s="480"/>
      <c r="F28" s="513">
        <v>41789</v>
      </c>
      <c r="G28" s="793">
        <v>25494</v>
      </c>
      <c r="H28" s="793">
        <f t="shared" si="6"/>
        <v>2.7599989606970263</v>
      </c>
      <c r="I28" s="483">
        <v>9236.9599999999991</v>
      </c>
      <c r="J28" s="482">
        <v>1.3427</v>
      </c>
      <c r="K28" s="483">
        <f t="shared" si="5"/>
        <v>6879.3922693081095</v>
      </c>
    </row>
    <row r="29" spans="1:12">
      <c r="A29" s="480">
        <f t="shared" si="7"/>
        <v>9</v>
      </c>
      <c r="B29" s="480" t="s">
        <v>111</v>
      </c>
      <c r="C29" s="482">
        <v>100004184</v>
      </c>
      <c r="D29" s="480" t="s">
        <v>549</v>
      </c>
      <c r="E29" s="480"/>
      <c r="F29" s="513">
        <v>41789</v>
      </c>
      <c r="G29" s="793">
        <v>2295</v>
      </c>
      <c r="H29" s="793">
        <f t="shared" si="6"/>
        <v>2.7600057725610929</v>
      </c>
      <c r="I29" s="483">
        <v>831.52</v>
      </c>
      <c r="J29" s="482">
        <v>1.3427</v>
      </c>
      <c r="K29" s="483">
        <f t="shared" si="5"/>
        <v>619.28949132345269</v>
      </c>
    </row>
    <row r="30" spans="1:12">
      <c r="A30" s="484">
        <f t="shared" si="7"/>
        <v>10</v>
      </c>
      <c r="B30" s="484" t="s">
        <v>111</v>
      </c>
      <c r="C30" s="466">
        <v>100004216</v>
      </c>
      <c r="D30" s="484" t="s">
        <v>551</v>
      </c>
      <c r="E30" s="484"/>
      <c r="F30" s="514">
        <v>41790</v>
      </c>
      <c r="G30" s="794"/>
      <c r="H30" s="794"/>
      <c r="I30" s="485">
        <v>-19.71</v>
      </c>
      <c r="J30" s="466">
        <v>1.3427</v>
      </c>
      <c r="K30" s="485">
        <f t="shared" si="5"/>
        <v>-14.679377373948016</v>
      </c>
    </row>
    <row r="31" spans="1:12">
      <c r="G31" s="487">
        <f>SUM(G4:G30)</f>
        <v>41576.97</v>
      </c>
      <c r="I31" s="487">
        <f>SUM(I4:I30)</f>
        <v>16303.830000000002</v>
      </c>
      <c r="K31" s="487">
        <f>SUM(K4:K30)</f>
        <v>12142.570939152452</v>
      </c>
    </row>
    <row r="33" spans="2:3">
      <c r="B33" s="484"/>
      <c r="C33" s="481" t="s">
        <v>557</v>
      </c>
    </row>
  </sheetData>
  <sortState ref="A4:K30">
    <sortCondition ref="F4:F30"/>
  </sortState>
  <mergeCells count="12">
    <mergeCell ref="A1:K1"/>
    <mergeCell ref="H2:H3"/>
    <mergeCell ref="I2:I3"/>
    <mergeCell ref="J2:J3"/>
    <mergeCell ref="K2:K3"/>
    <mergeCell ref="A2:A3"/>
    <mergeCell ref="B2:B3"/>
    <mergeCell ref="C2:C3"/>
    <mergeCell ref="D2:D3"/>
    <mergeCell ref="E2:E3"/>
    <mergeCell ref="F2:F3"/>
    <mergeCell ref="G2:G3"/>
  </mergeCells>
  <pageMargins left="0.70866141732283472" right="0.70866141732283472" top="0.74803149606299213" bottom="0.74803149606299213" header="0.31496062992125984" footer="0.31496062992125984"/>
  <pageSetup paperSize="9" scale="85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33"/>
  <sheetViews>
    <sheetView topLeftCell="A7" zoomScale="80" zoomScaleNormal="80" workbookViewId="0">
      <selection activeCell="D19" sqref="D19:F19"/>
    </sheetView>
  </sheetViews>
  <sheetFormatPr defaultColWidth="11.42578125" defaultRowHeight="12.75"/>
  <cols>
    <col min="1" max="1" width="2" style="39" customWidth="1"/>
    <col min="2" max="3" width="8.5703125" style="39" customWidth="1"/>
    <col min="4" max="4" width="49.140625" style="39" customWidth="1"/>
    <col min="5" max="5" width="7" style="39" customWidth="1"/>
    <col min="6" max="6" width="8" style="39" customWidth="1"/>
    <col min="7" max="8" width="8.5703125" style="39" customWidth="1"/>
    <col min="9" max="10" width="11" style="39" customWidth="1"/>
    <col min="11" max="13" width="10.85546875" style="39" customWidth="1"/>
    <col min="14" max="15" width="11.7109375" style="39" customWidth="1"/>
    <col min="16" max="16" width="11.42578125" style="39"/>
    <col min="17" max="17" width="10.85546875" style="39" customWidth="1"/>
    <col min="18" max="18" width="6" style="39" customWidth="1"/>
    <col min="19" max="19" width="7.5703125" style="39" customWidth="1"/>
    <col min="20" max="16384" width="11.42578125" style="39"/>
  </cols>
  <sheetData>
    <row r="1" spans="2:19" ht="9.75" customHeight="1" thickBot="1"/>
    <row r="2" spans="2:19" s="34" customFormat="1" ht="24" thickBot="1">
      <c r="B2" s="749" t="s">
        <v>257</v>
      </c>
      <c r="C2" s="750"/>
      <c r="D2" s="750"/>
      <c r="E2" s="750"/>
      <c r="F2" s="750"/>
      <c r="G2" s="750"/>
      <c r="H2" s="750"/>
      <c r="I2" s="750"/>
      <c r="J2" s="750"/>
      <c r="K2" s="750"/>
      <c r="L2" s="750"/>
      <c r="M2" s="750"/>
      <c r="N2" s="750"/>
      <c r="O2" s="750"/>
      <c r="P2" s="750"/>
      <c r="Q2" s="750"/>
      <c r="R2" s="750"/>
      <c r="S2" s="751"/>
    </row>
    <row r="3" spans="2:19" s="34" customFormat="1" ht="9.75" customHeight="1" thickBot="1">
      <c r="B3" s="21"/>
      <c r="C3" s="22"/>
      <c r="D3" s="23"/>
      <c r="E3" s="35"/>
      <c r="F3" s="35"/>
      <c r="G3" s="23"/>
      <c r="H3" s="23"/>
      <c r="I3" s="23"/>
      <c r="J3" s="24"/>
      <c r="K3" s="24"/>
      <c r="L3" s="24"/>
      <c r="M3" s="24"/>
      <c r="N3" s="24"/>
      <c r="O3" s="24"/>
      <c r="P3" s="24"/>
      <c r="Q3" s="24"/>
      <c r="R3" s="24"/>
      <c r="S3" s="48"/>
    </row>
    <row r="4" spans="2:19" s="34" customFormat="1" ht="29.25" customHeight="1" thickBot="1">
      <c r="B4" s="763" t="s">
        <v>212</v>
      </c>
      <c r="C4" s="764"/>
      <c r="D4" s="31" t="s">
        <v>237</v>
      </c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3"/>
    </row>
    <row r="5" spans="2:19" s="34" customFormat="1" ht="9.75" customHeight="1" thickBot="1">
      <c r="B5" s="21"/>
      <c r="C5" s="22"/>
      <c r="D5" s="23"/>
      <c r="E5" s="35"/>
      <c r="F5" s="35"/>
      <c r="G5" s="23"/>
      <c r="H5" s="23"/>
      <c r="I5" s="23"/>
      <c r="J5" s="24"/>
      <c r="K5" s="24"/>
      <c r="L5" s="24"/>
      <c r="M5" s="24"/>
      <c r="N5" s="24"/>
      <c r="O5" s="24"/>
      <c r="P5" s="24"/>
      <c r="Q5" s="24"/>
      <c r="R5" s="24"/>
      <c r="S5" s="48"/>
    </row>
    <row r="6" spans="2:19" s="34" customFormat="1" ht="30" customHeight="1" thickBot="1">
      <c r="B6" s="763" t="s">
        <v>213</v>
      </c>
      <c r="C6" s="764"/>
      <c r="D6" s="38" t="s">
        <v>238</v>
      </c>
      <c r="E6" s="35"/>
      <c r="F6" s="765" t="s">
        <v>214</v>
      </c>
      <c r="G6" s="764"/>
      <c r="H6" s="766">
        <v>41548</v>
      </c>
      <c r="I6" s="767"/>
      <c r="J6" s="23"/>
      <c r="K6" s="765" t="s">
        <v>215</v>
      </c>
      <c r="L6" s="764"/>
      <c r="M6" s="766">
        <v>42094</v>
      </c>
      <c r="N6" s="767"/>
      <c r="O6" s="24"/>
      <c r="P6" s="765" t="s">
        <v>216</v>
      </c>
      <c r="Q6" s="764"/>
      <c r="R6" s="768" t="s">
        <v>223</v>
      </c>
      <c r="S6" s="769"/>
    </row>
    <row r="7" spans="2:19" s="34" customFormat="1" ht="9.75" customHeight="1" thickBot="1">
      <c r="B7" s="21"/>
      <c r="C7" s="22"/>
      <c r="D7" s="23"/>
      <c r="E7" s="35"/>
      <c r="F7" s="35"/>
      <c r="G7" s="23"/>
      <c r="H7" s="23"/>
      <c r="I7" s="23"/>
      <c r="J7" s="24"/>
      <c r="K7" s="24"/>
      <c r="L7" s="24"/>
      <c r="M7" s="24"/>
      <c r="N7" s="24"/>
      <c r="O7" s="24"/>
      <c r="P7" s="24"/>
      <c r="Q7" s="24"/>
      <c r="R7" s="24"/>
      <c r="S7" s="48"/>
    </row>
    <row r="8" spans="2:19" s="34" customFormat="1" ht="30" customHeight="1" thickBot="1">
      <c r="B8" s="763" t="s">
        <v>239</v>
      </c>
      <c r="C8" s="764"/>
      <c r="D8" s="25">
        <f>+H8</f>
        <v>1280</v>
      </c>
      <c r="E8" s="35"/>
      <c r="F8" s="765" t="s">
        <v>241</v>
      </c>
      <c r="G8" s="764"/>
      <c r="H8" s="775">
        <f>+G15+G29</f>
        <v>1280</v>
      </c>
      <c r="I8" s="776"/>
      <c r="J8" s="24"/>
      <c r="K8" s="765"/>
      <c r="L8" s="765"/>
      <c r="M8" s="777"/>
      <c r="N8" s="777"/>
      <c r="O8" s="24"/>
      <c r="P8" s="765"/>
      <c r="Q8" s="765"/>
      <c r="R8" s="770"/>
      <c r="S8" s="771"/>
    </row>
    <row r="9" spans="2:19" s="34" customFormat="1" ht="9.75" customHeight="1">
      <c r="B9" s="21"/>
      <c r="C9" s="22"/>
      <c r="D9" s="23"/>
      <c r="E9" s="35"/>
      <c r="F9" s="35"/>
      <c r="G9" s="23"/>
      <c r="H9" s="23"/>
      <c r="I9" s="23"/>
      <c r="J9" s="24"/>
      <c r="K9" s="24"/>
      <c r="L9" s="24"/>
      <c r="M9" s="24"/>
      <c r="N9" s="24"/>
      <c r="O9" s="24"/>
      <c r="P9" s="24"/>
      <c r="Q9" s="24"/>
      <c r="R9" s="26"/>
      <c r="S9" s="49"/>
    </row>
    <row r="10" spans="2:19" s="34" customFormat="1" ht="9" customHeight="1" thickBot="1">
      <c r="B10" s="27"/>
      <c r="C10" s="28"/>
      <c r="D10" s="29"/>
      <c r="E10" s="36"/>
      <c r="F10" s="36"/>
      <c r="G10" s="29"/>
      <c r="H10" s="29"/>
      <c r="I10" s="29"/>
      <c r="J10" s="30"/>
      <c r="K10" s="30"/>
      <c r="L10" s="30"/>
      <c r="M10" s="30"/>
      <c r="N10" s="30"/>
      <c r="O10" s="30"/>
      <c r="P10" s="30"/>
      <c r="Q10" s="30"/>
      <c r="R10" s="30"/>
      <c r="S10" s="50"/>
    </row>
    <row r="11" spans="2:19" ht="9" customHeight="1" thickBot="1"/>
    <row r="12" spans="2:19" ht="30" customHeight="1">
      <c r="B12" s="772" t="s">
        <v>256</v>
      </c>
      <c r="C12" s="773"/>
      <c r="D12" s="773"/>
      <c r="E12" s="773"/>
      <c r="F12" s="773"/>
      <c r="G12" s="773"/>
      <c r="H12" s="773"/>
      <c r="I12" s="773"/>
      <c r="J12" s="773"/>
      <c r="K12" s="773"/>
      <c r="L12" s="773"/>
      <c r="M12" s="773"/>
      <c r="N12" s="773"/>
      <c r="O12" s="773"/>
      <c r="P12" s="773"/>
      <c r="Q12" s="773"/>
      <c r="R12" s="773"/>
      <c r="S12" s="774"/>
    </row>
    <row r="13" spans="2:19" ht="15" customHeight="1">
      <c r="B13" s="779" t="s">
        <v>242</v>
      </c>
      <c r="C13" s="778" t="s">
        <v>243</v>
      </c>
      <c r="D13" s="719" t="s">
        <v>244</v>
      </c>
      <c r="E13" s="755"/>
      <c r="F13" s="720"/>
      <c r="G13" s="719" t="s">
        <v>245</v>
      </c>
      <c r="H13" s="720"/>
      <c r="I13" s="719" t="s">
        <v>246</v>
      </c>
      <c r="J13" s="720"/>
      <c r="K13" s="752" t="s">
        <v>247</v>
      </c>
      <c r="L13" s="752" t="s">
        <v>248</v>
      </c>
      <c r="M13" s="752"/>
      <c r="N13" s="752" t="s">
        <v>249</v>
      </c>
      <c r="O13" s="752"/>
      <c r="P13" s="752" t="s">
        <v>250</v>
      </c>
      <c r="Q13" s="752" t="s">
        <v>251</v>
      </c>
      <c r="R13" s="752"/>
      <c r="S13" s="753"/>
    </row>
    <row r="14" spans="2:19" ht="30" customHeight="1">
      <c r="B14" s="780"/>
      <c r="C14" s="778"/>
      <c r="D14" s="721"/>
      <c r="E14" s="756"/>
      <c r="F14" s="722"/>
      <c r="G14" s="721"/>
      <c r="H14" s="722"/>
      <c r="I14" s="721"/>
      <c r="J14" s="722"/>
      <c r="K14" s="752"/>
      <c r="L14" s="41" t="s">
        <v>254</v>
      </c>
      <c r="M14" s="41" t="s">
        <v>255</v>
      </c>
      <c r="N14" s="41" t="s">
        <v>252</v>
      </c>
      <c r="O14" s="41" t="s">
        <v>253</v>
      </c>
      <c r="P14" s="752"/>
      <c r="Q14" s="752"/>
      <c r="R14" s="752"/>
      <c r="S14" s="753"/>
    </row>
    <row r="15" spans="2:19" ht="15" customHeight="1">
      <c r="B15" s="51"/>
      <c r="C15" s="47"/>
      <c r="D15" s="757"/>
      <c r="E15" s="758"/>
      <c r="F15" s="759"/>
      <c r="G15" s="723">
        <f>SUM(G16:H24)</f>
        <v>1280</v>
      </c>
      <c r="H15" s="724"/>
      <c r="I15" s="757"/>
      <c r="J15" s="759"/>
      <c r="K15" s="41"/>
      <c r="L15" s="41"/>
      <c r="M15" s="41"/>
      <c r="N15" s="41"/>
      <c r="O15" s="41"/>
      <c r="P15" s="41"/>
      <c r="Q15" s="752"/>
      <c r="R15" s="752"/>
      <c r="S15" s="753"/>
    </row>
    <row r="16" spans="2:19" ht="15" customHeight="1">
      <c r="B16" s="52"/>
      <c r="C16" s="42"/>
      <c r="D16" s="741" t="s">
        <v>77</v>
      </c>
      <c r="E16" s="742"/>
      <c r="F16" s="743"/>
      <c r="G16" s="725">
        <v>1000</v>
      </c>
      <c r="H16" s="726"/>
      <c r="I16" s="731" t="s">
        <v>40</v>
      </c>
      <c r="J16" s="732"/>
      <c r="K16" s="43" t="s">
        <v>41</v>
      </c>
      <c r="L16" s="44">
        <v>1</v>
      </c>
      <c r="M16" s="44">
        <v>0</v>
      </c>
      <c r="N16" s="45"/>
      <c r="O16" s="45"/>
      <c r="P16" s="43" t="s">
        <v>76</v>
      </c>
      <c r="Q16" s="713"/>
      <c r="R16" s="714"/>
      <c r="S16" s="715"/>
    </row>
    <row r="17" spans="2:19" ht="15" customHeight="1">
      <c r="B17" s="52"/>
      <c r="C17" s="42"/>
      <c r="D17" s="741" t="s">
        <v>75</v>
      </c>
      <c r="E17" s="742"/>
      <c r="F17" s="743"/>
      <c r="G17" s="725">
        <v>280</v>
      </c>
      <c r="H17" s="726"/>
      <c r="I17" s="731" t="s">
        <v>40</v>
      </c>
      <c r="J17" s="732"/>
      <c r="K17" s="43" t="s">
        <v>41</v>
      </c>
      <c r="L17" s="44">
        <v>1</v>
      </c>
      <c r="M17" s="44">
        <v>0</v>
      </c>
      <c r="N17" s="45"/>
      <c r="O17" s="45"/>
      <c r="P17" s="43" t="s">
        <v>76</v>
      </c>
      <c r="Q17" s="713"/>
      <c r="R17" s="714"/>
      <c r="S17" s="715"/>
    </row>
    <row r="18" spans="2:19" ht="15" customHeight="1">
      <c r="B18" s="52"/>
      <c r="C18" s="42"/>
      <c r="D18" s="741" t="s">
        <v>75</v>
      </c>
      <c r="E18" s="742"/>
      <c r="F18" s="743"/>
      <c r="G18" s="725"/>
      <c r="H18" s="726"/>
      <c r="I18" s="731" t="s">
        <v>40</v>
      </c>
      <c r="J18" s="732"/>
      <c r="K18" s="43" t="s">
        <v>41</v>
      </c>
      <c r="L18" s="44">
        <v>1</v>
      </c>
      <c r="M18" s="44">
        <v>0</v>
      </c>
      <c r="N18" s="45">
        <v>41750</v>
      </c>
      <c r="O18" s="45">
        <v>41761</v>
      </c>
      <c r="P18" s="43" t="s">
        <v>76</v>
      </c>
      <c r="Q18" s="713"/>
      <c r="R18" s="714"/>
      <c r="S18" s="715"/>
    </row>
    <row r="19" spans="2:19" ht="15" customHeight="1">
      <c r="B19" s="52"/>
      <c r="C19" s="42"/>
      <c r="D19" s="741" t="s">
        <v>98</v>
      </c>
      <c r="E19" s="742"/>
      <c r="F19" s="743"/>
      <c r="G19" s="725"/>
      <c r="H19" s="726"/>
      <c r="I19" s="731" t="s">
        <v>40</v>
      </c>
      <c r="J19" s="732"/>
      <c r="K19" s="43" t="s">
        <v>41</v>
      </c>
      <c r="L19" s="44">
        <v>1</v>
      </c>
      <c r="M19" s="44">
        <v>0</v>
      </c>
      <c r="N19" s="45">
        <v>41752</v>
      </c>
      <c r="O19" s="45">
        <v>41772</v>
      </c>
      <c r="P19" s="43" t="s">
        <v>76</v>
      </c>
      <c r="Q19" s="713"/>
      <c r="R19" s="714"/>
      <c r="S19" s="715"/>
    </row>
    <row r="20" spans="2:19" ht="15" customHeight="1">
      <c r="B20" s="52"/>
      <c r="C20" s="42"/>
      <c r="D20" s="738" t="s">
        <v>74</v>
      </c>
      <c r="E20" s="739"/>
      <c r="F20" s="740"/>
      <c r="G20" s="725"/>
      <c r="H20" s="726"/>
      <c r="I20" s="731" t="s">
        <v>40</v>
      </c>
      <c r="J20" s="732"/>
      <c r="K20" s="43" t="s">
        <v>41</v>
      </c>
      <c r="L20" s="44">
        <v>1</v>
      </c>
      <c r="M20" s="44">
        <v>0</v>
      </c>
      <c r="N20" s="45">
        <v>41840</v>
      </c>
      <c r="O20" s="45">
        <v>41881</v>
      </c>
      <c r="P20" s="43" t="s">
        <v>39</v>
      </c>
      <c r="Q20" s="713"/>
      <c r="R20" s="714"/>
      <c r="S20" s="715"/>
    </row>
    <row r="21" spans="2:19" ht="15" customHeight="1">
      <c r="B21" s="52"/>
      <c r="C21" s="42"/>
      <c r="D21" s="760"/>
      <c r="E21" s="761"/>
      <c r="F21" s="762"/>
      <c r="G21" s="725"/>
      <c r="H21" s="726"/>
      <c r="I21" s="731"/>
      <c r="J21" s="732"/>
      <c r="K21" s="43"/>
      <c r="L21" s="44"/>
      <c r="M21" s="44"/>
      <c r="N21" s="45"/>
      <c r="O21" s="45"/>
      <c r="P21" s="43"/>
      <c r="Q21" s="713"/>
      <c r="R21" s="714"/>
      <c r="S21" s="715"/>
    </row>
    <row r="22" spans="2:19" ht="15" customHeight="1">
      <c r="B22" s="52"/>
      <c r="C22" s="42"/>
      <c r="D22" s="760"/>
      <c r="E22" s="761"/>
      <c r="F22" s="762"/>
      <c r="G22" s="725"/>
      <c r="H22" s="726"/>
      <c r="I22" s="731"/>
      <c r="J22" s="732"/>
      <c r="K22" s="43"/>
      <c r="L22" s="44"/>
      <c r="M22" s="44"/>
      <c r="N22" s="45"/>
      <c r="O22" s="45"/>
      <c r="P22" s="43"/>
      <c r="Q22" s="713"/>
      <c r="R22" s="714"/>
      <c r="S22" s="715"/>
    </row>
    <row r="23" spans="2:19" ht="15" customHeight="1">
      <c r="B23" s="52"/>
      <c r="C23" s="42"/>
      <c r="D23" s="760"/>
      <c r="E23" s="761"/>
      <c r="F23" s="762"/>
      <c r="G23" s="725"/>
      <c r="H23" s="726"/>
      <c r="I23" s="731"/>
      <c r="J23" s="732"/>
      <c r="K23" s="43"/>
      <c r="L23" s="44"/>
      <c r="M23" s="44"/>
      <c r="N23" s="45"/>
      <c r="O23" s="45"/>
      <c r="P23" s="43"/>
      <c r="Q23" s="713"/>
      <c r="R23" s="714"/>
      <c r="S23" s="715"/>
    </row>
    <row r="24" spans="2:19" ht="15" customHeight="1" thickBot="1">
      <c r="B24" s="53"/>
      <c r="C24" s="54"/>
      <c r="D24" s="781"/>
      <c r="E24" s="782"/>
      <c r="F24" s="783"/>
      <c r="G24" s="727"/>
      <c r="H24" s="728"/>
      <c r="I24" s="733"/>
      <c r="J24" s="734"/>
      <c r="K24" s="55"/>
      <c r="L24" s="56"/>
      <c r="M24" s="56"/>
      <c r="N24" s="57"/>
      <c r="O24" s="57"/>
      <c r="P24" s="55"/>
      <c r="Q24" s="716"/>
      <c r="R24" s="717"/>
      <c r="S24" s="718"/>
    </row>
    <row r="25" spans="2:19" ht="9" customHeight="1" thickBot="1">
      <c r="B25" s="59"/>
      <c r="C25" s="60"/>
      <c r="D25" s="61"/>
      <c r="E25" s="61"/>
      <c r="F25" s="61"/>
      <c r="G25" s="62"/>
      <c r="H25" s="62"/>
      <c r="I25" s="60"/>
      <c r="J25" s="60"/>
      <c r="K25" s="60"/>
      <c r="L25" s="63"/>
      <c r="M25" s="63"/>
      <c r="N25" s="64"/>
      <c r="O25" s="64"/>
      <c r="P25" s="60"/>
      <c r="Q25" s="65"/>
      <c r="R25" s="65"/>
      <c r="S25" s="66"/>
    </row>
    <row r="26" spans="2:19" ht="45" customHeight="1" thickBot="1">
      <c r="B26" s="746" t="s">
        <v>42</v>
      </c>
      <c r="C26" s="747"/>
      <c r="D26" s="747"/>
      <c r="E26" s="747"/>
      <c r="F26" s="747"/>
      <c r="G26" s="747"/>
      <c r="H26" s="747"/>
      <c r="I26" s="747"/>
      <c r="J26" s="747"/>
      <c r="K26" s="747"/>
      <c r="L26" s="747"/>
      <c r="M26" s="747"/>
      <c r="N26" s="747"/>
      <c r="O26" s="747"/>
      <c r="P26" s="747"/>
      <c r="Q26" s="747"/>
      <c r="R26" s="747"/>
      <c r="S26" s="748"/>
    </row>
    <row r="27" spans="2:19" ht="15" customHeight="1">
      <c r="B27" s="779" t="s">
        <v>242</v>
      </c>
      <c r="C27" s="778" t="s">
        <v>243</v>
      </c>
      <c r="D27" s="719" t="s">
        <v>244</v>
      </c>
      <c r="E27" s="755"/>
      <c r="F27" s="720"/>
      <c r="G27" s="719" t="s">
        <v>245</v>
      </c>
      <c r="H27" s="720"/>
      <c r="I27" s="719" t="s">
        <v>246</v>
      </c>
      <c r="J27" s="720"/>
      <c r="K27" s="752" t="s">
        <v>247</v>
      </c>
      <c r="L27" s="752" t="s">
        <v>248</v>
      </c>
      <c r="M27" s="752"/>
      <c r="N27" s="752" t="s">
        <v>249</v>
      </c>
      <c r="O27" s="752"/>
      <c r="P27" s="752" t="s">
        <v>250</v>
      </c>
      <c r="Q27" s="752" t="s">
        <v>251</v>
      </c>
      <c r="R27" s="752"/>
      <c r="S27" s="753"/>
    </row>
    <row r="28" spans="2:19" ht="30" customHeight="1">
      <c r="B28" s="780"/>
      <c r="C28" s="778"/>
      <c r="D28" s="721"/>
      <c r="E28" s="756"/>
      <c r="F28" s="722"/>
      <c r="G28" s="721"/>
      <c r="H28" s="722"/>
      <c r="I28" s="721"/>
      <c r="J28" s="722"/>
      <c r="K28" s="752"/>
      <c r="L28" s="41" t="s">
        <v>254</v>
      </c>
      <c r="M28" s="41" t="s">
        <v>255</v>
      </c>
      <c r="N28" s="41" t="s">
        <v>252</v>
      </c>
      <c r="O28" s="41" t="s">
        <v>253</v>
      </c>
      <c r="P28" s="752"/>
      <c r="Q28" s="752"/>
      <c r="R28" s="752"/>
      <c r="S28" s="753"/>
    </row>
    <row r="29" spans="2:19">
      <c r="B29" s="58"/>
      <c r="C29" s="40"/>
      <c r="D29" s="735"/>
      <c r="E29" s="736"/>
      <c r="F29" s="737"/>
      <c r="G29" s="729">
        <f>SUM(G30:H33)</f>
        <v>0</v>
      </c>
      <c r="H29" s="730"/>
      <c r="I29" s="735"/>
      <c r="J29" s="737"/>
      <c r="K29" s="40"/>
      <c r="L29" s="40"/>
      <c r="M29" s="40"/>
      <c r="N29" s="40"/>
      <c r="O29" s="40"/>
      <c r="P29" s="40"/>
      <c r="Q29" s="735"/>
      <c r="R29" s="736"/>
      <c r="S29" s="754"/>
    </row>
    <row r="30" spans="2:19" ht="15" customHeight="1">
      <c r="B30" s="52"/>
      <c r="C30" s="42"/>
      <c r="D30" s="738" t="s">
        <v>96</v>
      </c>
      <c r="E30" s="739"/>
      <c r="F30" s="740"/>
      <c r="G30" s="725"/>
      <c r="H30" s="726"/>
      <c r="I30" s="731" t="s">
        <v>43</v>
      </c>
      <c r="J30" s="732"/>
      <c r="K30" s="43" t="s">
        <v>41</v>
      </c>
      <c r="L30" s="44"/>
      <c r="M30" s="44"/>
      <c r="N30" s="45"/>
      <c r="O30" s="45"/>
      <c r="P30" s="46"/>
      <c r="Q30" s="713"/>
      <c r="R30" s="714"/>
      <c r="S30" s="715"/>
    </row>
    <row r="31" spans="2:19" ht="15" customHeight="1">
      <c r="B31" s="52"/>
      <c r="C31" s="42"/>
      <c r="D31" s="741" t="s">
        <v>97</v>
      </c>
      <c r="E31" s="742"/>
      <c r="F31" s="743"/>
      <c r="G31" s="725"/>
      <c r="H31" s="726"/>
      <c r="I31" s="731"/>
      <c r="J31" s="732"/>
      <c r="K31" s="43"/>
      <c r="L31" s="44"/>
      <c r="M31" s="44"/>
      <c r="N31" s="45"/>
      <c r="O31" s="45"/>
      <c r="P31" s="43"/>
      <c r="Q31" s="713"/>
      <c r="R31" s="714"/>
      <c r="S31" s="715"/>
    </row>
    <row r="32" spans="2:19" ht="15" customHeight="1">
      <c r="B32" s="52"/>
      <c r="C32" s="42"/>
      <c r="D32" s="731"/>
      <c r="E32" s="744"/>
      <c r="F32" s="732"/>
      <c r="G32" s="725"/>
      <c r="H32" s="726"/>
      <c r="I32" s="731"/>
      <c r="J32" s="732"/>
      <c r="K32" s="43"/>
      <c r="L32" s="44"/>
      <c r="M32" s="44"/>
      <c r="N32" s="45"/>
      <c r="O32" s="45"/>
      <c r="P32" s="43"/>
      <c r="Q32" s="713"/>
      <c r="R32" s="714"/>
      <c r="S32" s="715"/>
    </row>
    <row r="33" spans="2:19" ht="15" customHeight="1" thickBot="1">
      <c r="B33" s="53"/>
      <c r="C33" s="54"/>
      <c r="D33" s="733"/>
      <c r="E33" s="745"/>
      <c r="F33" s="734"/>
      <c r="G33" s="727"/>
      <c r="H33" s="728"/>
      <c r="I33" s="733"/>
      <c r="J33" s="734"/>
      <c r="K33" s="55"/>
      <c r="L33" s="56"/>
      <c r="M33" s="56"/>
      <c r="N33" s="57"/>
      <c r="O33" s="57"/>
      <c r="P33" s="55"/>
      <c r="Q33" s="716"/>
      <c r="R33" s="717"/>
      <c r="S33" s="718"/>
    </row>
  </sheetData>
  <mergeCells count="98">
    <mergeCell ref="B27:B28"/>
    <mergeCell ref="C27:C28"/>
    <mergeCell ref="K27:K28"/>
    <mergeCell ref="M6:N6"/>
    <mergeCell ref="P6:Q6"/>
    <mergeCell ref="B13:B14"/>
    <mergeCell ref="L27:M27"/>
    <mergeCell ref="N27:O27"/>
    <mergeCell ref="P27:P28"/>
    <mergeCell ref="I16:J16"/>
    <mergeCell ref="I17:J17"/>
    <mergeCell ref="D22:F22"/>
    <mergeCell ref="D23:F23"/>
    <mergeCell ref="D24:F24"/>
    <mergeCell ref="I18:J18"/>
    <mergeCell ref="I19:J19"/>
    <mergeCell ref="R6:S6"/>
    <mergeCell ref="K13:K14"/>
    <mergeCell ref="L13:M13"/>
    <mergeCell ref="N13:O13"/>
    <mergeCell ref="P13:P14"/>
    <mergeCell ref="P8:Q8"/>
    <mergeCell ref="R8:S8"/>
    <mergeCell ref="Q13:S14"/>
    <mergeCell ref="B12:S12"/>
    <mergeCell ref="B8:C8"/>
    <mergeCell ref="F8:G8"/>
    <mergeCell ref="H8:I8"/>
    <mergeCell ref="K8:L8"/>
    <mergeCell ref="M8:N8"/>
    <mergeCell ref="C13:C14"/>
    <mergeCell ref="D13:F14"/>
    <mergeCell ref="B4:C4"/>
    <mergeCell ref="B6:C6"/>
    <mergeCell ref="F6:G6"/>
    <mergeCell ref="H6:I6"/>
    <mergeCell ref="K6:L6"/>
    <mergeCell ref="D15:F15"/>
    <mergeCell ref="D21:F21"/>
    <mergeCell ref="I13:J14"/>
    <mergeCell ref="I15:J15"/>
    <mergeCell ref="D16:F16"/>
    <mergeCell ref="D17:F17"/>
    <mergeCell ref="D18:F18"/>
    <mergeCell ref="I20:J20"/>
    <mergeCell ref="I21:J21"/>
    <mergeCell ref="D19:F19"/>
    <mergeCell ref="D20:F20"/>
    <mergeCell ref="Q17:S17"/>
    <mergeCell ref="Q18:S18"/>
    <mergeCell ref="Q19:S19"/>
    <mergeCell ref="I23:J23"/>
    <mergeCell ref="I24:J24"/>
    <mergeCell ref="I22:J22"/>
    <mergeCell ref="B26:S26"/>
    <mergeCell ref="B2:S2"/>
    <mergeCell ref="I27:J28"/>
    <mergeCell ref="I29:J29"/>
    <mergeCell ref="I30:J30"/>
    <mergeCell ref="Q27:S28"/>
    <mergeCell ref="Q29:S29"/>
    <mergeCell ref="Q30:S30"/>
    <mergeCell ref="D27:F28"/>
    <mergeCell ref="Q20:S20"/>
    <mergeCell ref="Q21:S21"/>
    <mergeCell ref="Q22:S22"/>
    <mergeCell ref="Q23:S23"/>
    <mergeCell ref="Q24:S24"/>
    <mergeCell ref="Q15:S15"/>
    <mergeCell ref="Q16:S16"/>
    <mergeCell ref="I31:J31"/>
    <mergeCell ref="I32:J32"/>
    <mergeCell ref="I33:J33"/>
    <mergeCell ref="D29:F29"/>
    <mergeCell ref="D30:F30"/>
    <mergeCell ref="D31:F31"/>
    <mergeCell ref="D32:F32"/>
    <mergeCell ref="D33:F33"/>
    <mergeCell ref="G30:H30"/>
    <mergeCell ref="G31:H31"/>
    <mergeCell ref="G32:H32"/>
    <mergeCell ref="G33:H33"/>
    <mergeCell ref="Q31:S31"/>
    <mergeCell ref="Q32:S32"/>
    <mergeCell ref="Q33:S33"/>
    <mergeCell ref="G13:H14"/>
    <mergeCell ref="G15:H15"/>
    <mergeCell ref="G16:H16"/>
    <mergeCell ref="G17:H17"/>
    <mergeCell ref="G18:H18"/>
    <mergeCell ref="G19:H19"/>
    <mergeCell ref="G20:H20"/>
    <mergeCell ref="G21:H21"/>
    <mergeCell ref="G22:H22"/>
    <mergeCell ref="G23:H23"/>
    <mergeCell ref="G24:H24"/>
    <mergeCell ref="G27:H28"/>
    <mergeCell ref="G29:H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3</vt:i4>
      </vt:variant>
    </vt:vector>
  </HeadingPairs>
  <TitlesOfParts>
    <vt:vector size="15" baseType="lpstr">
      <vt:lpstr>Marco Lógico</vt:lpstr>
      <vt:lpstr>Plan de Act.</vt:lpstr>
      <vt:lpstr>POA Costeo por Actividad </vt:lpstr>
      <vt:lpstr>Dic 2013</vt:lpstr>
      <vt:lpstr>Ene, Feb, Marz 2014</vt:lpstr>
      <vt:lpstr>Abril 2014</vt:lpstr>
      <vt:lpstr>Costo por Act. Gestión del Fond</vt:lpstr>
      <vt:lpstr>Mayo 2014</vt:lpstr>
      <vt:lpstr>Plan de Aquisiciones</vt:lpstr>
      <vt:lpstr>Junio 2014</vt:lpstr>
      <vt:lpstr>Gastos a la fecha </vt:lpstr>
      <vt:lpstr>Resumen a la fecha</vt:lpstr>
      <vt:lpstr>'Abril 2014'!Print_Area</vt:lpstr>
      <vt:lpstr>'Ene, Feb, Marz 2014'!Print_Area</vt:lpstr>
      <vt:lpstr>'Mayo 2014'!Print_Area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Acosta</dc:creator>
  <cp:lastModifiedBy>Carolina Vidal</cp:lastModifiedBy>
  <cp:lastPrinted>2014-06-11T20:53:41Z</cp:lastPrinted>
  <dcterms:created xsi:type="dcterms:W3CDTF">2014-04-07T13:46:16Z</dcterms:created>
  <dcterms:modified xsi:type="dcterms:W3CDTF">2014-06-13T19:36:45Z</dcterms:modified>
</cp:coreProperties>
</file>