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3d64c24e009e97/Documentos/Trabajo de investigación/"/>
    </mc:Choice>
  </mc:AlternateContent>
  <xr:revisionPtr revIDLastSave="64" documentId="14_{67C898AA-E3FE-4AE5-B03D-7C4C5ABCD07A}" xr6:coauthVersionLast="47" xr6:coauthVersionMax="47" xr10:uidLastSave="{F4A324CA-7C47-4B33-925E-4D0213BF510B}"/>
  <bookViews>
    <workbookView xWindow="-110" yWindow="-110" windowWidth="19420" windowHeight="10420" tabRatio="781" xr2:uid="{00000000-000D-0000-FFFF-FFFF00000000}"/>
  </bookViews>
  <sheets>
    <sheet name="Costos Capital" sheetId="1" r:id="rId1"/>
    <sheet name="Costos Fijos" sheetId="17" r:id="rId2"/>
    <sheet name="Costos Variables" sheetId="18" r:id="rId3"/>
    <sheet name="Factor de Emisión" sheetId="25" r:id="rId4"/>
    <sheet name="CCS" sheetId="26" r:id="rId5"/>
    <sheet name="Factor de capacidad" sheetId="19" r:id="rId6"/>
    <sheet name="Vida Operacional" sheetId="6" r:id="rId7"/>
    <sheet name="Capacidad residual" sheetId="4" r:id="rId8"/>
    <sheet name="Eficiencia" sheetId="11" r:id="rId9"/>
    <sheet name="Potencial producción anual" sheetId="10" r:id="rId10"/>
    <sheet name="Reservas Potencial" sheetId="9" r:id="rId11"/>
    <sheet name="Precios importación" sheetId="28" r:id="rId12"/>
    <sheet name="Demandas" sheetId="3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8" i="1" l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G128" i="1"/>
  <c r="Q28" i="4" l="1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P28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P26" i="4"/>
  <c r="G22" i="25" l="1"/>
  <c r="G26" i="25"/>
  <c r="G25" i="25"/>
  <c r="G24" i="25"/>
  <c r="G23" i="25"/>
  <c r="H104" i="4" l="1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G144" i="4"/>
  <c r="G143" i="4"/>
  <c r="G142" i="4"/>
  <c r="G140" i="4"/>
  <c r="G139" i="4"/>
  <c r="G138" i="4"/>
  <c r="G137" i="4"/>
  <c r="G135" i="4"/>
  <c r="G134" i="4"/>
  <c r="G133" i="4"/>
  <c r="G132" i="4"/>
  <c r="G130" i="4"/>
  <c r="G129" i="4"/>
  <c r="G128" i="4"/>
  <c r="G127" i="4"/>
  <c r="G124" i="4"/>
  <c r="G123" i="4"/>
  <c r="G122" i="4"/>
  <c r="G121" i="4"/>
  <c r="G119" i="4"/>
  <c r="G118" i="4"/>
  <c r="G117" i="4"/>
  <c r="G116" i="4"/>
  <c r="G114" i="4"/>
  <c r="G113" i="4"/>
  <c r="G112" i="4"/>
  <c r="G111" i="4"/>
  <c r="G110" i="4"/>
  <c r="G108" i="4"/>
  <c r="G107" i="4"/>
  <c r="G106" i="4"/>
  <c r="G105" i="4"/>
  <c r="G104" i="4"/>
  <c r="G109" i="25" l="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05" i="11"/>
  <c r="E4" i="26" l="1"/>
  <c r="E5" i="26"/>
  <c r="E6" i="26"/>
  <c r="E7" i="26"/>
  <c r="E3" i="26"/>
  <c r="G149" i="25"/>
  <c r="P10" i="25" l="1"/>
  <c r="O10" i="25"/>
  <c r="L10" i="25"/>
  <c r="K10" i="25"/>
  <c r="L11" i="25" l="1"/>
  <c r="K11" i="25"/>
  <c r="O11" i="25"/>
  <c r="P11" i="25"/>
  <c r="G115" i="25"/>
  <c r="H108" i="25"/>
  <c r="H109" i="25"/>
  <c r="H110" i="25"/>
  <c r="H114" i="25"/>
  <c r="H115" i="25"/>
  <c r="H116" i="25"/>
  <c r="H120" i="25"/>
  <c r="H121" i="25"/>
  <c r="H125" i="25"/>
  <c r="H126" i="25"/>
  <c r="H127" i="25"/>
  <c r="H131" i="25"/>
  <c r="H132" i="25"/>
  <c r="H136" i="25"/>
  <c r="H137" i="25"/>
  <c r="H141" i="25"/>
  <c r="H142" i="25"/>
  <c r="H146" i="25"/>
  <c r="H147" i="25"/>
  <c r="H150" i="25"/>
  <c r="G32" i="25"/>
  <c r="G34" i="25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D104" i="17"/>
  <c r="AE104" i="17"/>
  <c r="AF104" i="17"/>
  <c r="AG104" i="17"/>
  <c r="AH104" i="17"/>
  <c r="AI104" i="17"/>
  <c r="AJ104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AF105" i="17"/>
  <c r="AG105" i="17"/>
  <c r="AH105" i="17"/>
  <c r="AI105" i="17"/>
  <c r="AJ105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W110" i="17"/>
  <c r="X110" i="17"/>
  <c r="Y110" i="17"/>
  <c r="Z110" i="17"/>
  <c r="AA110" i="17"/>
  <c r="AB110" i="17"/>
  <c r="AC110" i="17"/>
  <c r="AD110" i="17"/>
  <c r="AE110" i="17"/>
  <c r="AF110" i="17"/>
  <c r="AG110" i="17"/>
  <c r="AH110" i="17"/>
  <c r="AI110" i="17"/>
  <c r="AJ110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Z111" i="17"/>
  <c r="AA111" i="17"/>
  <c r="AB111" i="17"/>
  <c r="AC111" i="17"/>
  <c r="AD111" i="17"/>
  <c r="AE111" i="17"/>
  <c r="AF111" i="17"/>
  <c r="AG111" i="17"/>
  <c r="AH111" i="17"/>
  <c r="AI111" i="17"/>
  <c r="AJ111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T116" i="17"/>
  <c r="U116" i="17"/>
  <c r="V116" i="17"/>
  <c r="W116" i="17"/>
  <c r="X116" i="17"/>
  <c r="Y116" i="17"/>
  <c r="Z116" i="17"/>
  <c r="AA116" i="17"/>
  <c r="AB116" i="17"/>
  <c r="AC116" i="17"/>
  <c r="AD116" i="17"/>
  <c r="AE116" i="17"/>
  <c r="AF116" i="17"/>
  <c r="AG116" i="17"/>
  <c r="AH116" i="17"/>
  <c r="AI116" i="17"/>
  <c r="AJ116" i="17"/>
  <c r="H117" i="17"/>
  <c r="I117" i="17"/>
  <c r="J117" i="17"/>
  <c r="K117" i="17"/>
  <c r="L117" i="17"/>
  <c r="M117" i="17"/>
  <c r="N117" i="17"/>
  <c r="O117" i="17"/>
  <c r="P117" i="17"/>
  <c r="Q117" i="17"/>
  <c r="R117" i="17"/>
  <c r="S117" i="17"/>
  <c r="T117" i="17"/>
  <c r="U117" i="17"/>
  <c r="V117" i="17"/>
  <c r="W117" i="17"/>
  <c r="X117" i="17"/>
  <c r="Y117" i="17"/>
  <c r="Z117" i="17"/>
  <c r="AA117" i="17"/>
  <c r="AB117" i="17"/>
  <c r="AC117" i="17"/>
  <c r="AD117" i="17"/>
  <c r="AE117" i="17"/>
  <c r="AF117" i="17"/>
  <c r="AG117" i="17"/>
  <c r="AH117" i="17"/>
  <c r="AI117" i="17"/>
  <c r="AJ117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Z121" i="17"/>
  <c r="AA121" i="17"/>
  <c r="AB121" i="17"/>
  <c r="AC121" i="17"/>
  <c r="AD121" i="17"/>
  <c r="AE121" i="17"/>
  <c r="AF121" i="17"/>
  <c r="AG121" i="17"/>
  <c r="AH121" i="17"/>
  <c r="AI121" i="17"/>
  <c r="AJ121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Z122" i="17"/>
  <c r="AA122" i="17"/>
  <c r="AB122" i="17"/>
  <c r="AC122" i="17"/>
  <c r="AD122" i="17"/>
  <c r="AE122" i="17"/>
  <c r="AF122" i="17"/>
  <c r="AG122" i="17"/>
  <c r="AH122" i="17"/>
  <c r="AI122" i="17"/>
  <c r="AJ122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Z127" i="17"/>
  <c r="AA127" i="17"/>
  <c r="AB127" i="17"/>
  <c r="AC127" i="17"/>
  <c r="AD127" i="17"/>
  <c r="AE127" i="17"/>
  <c r="AF127" i="17"/>
  <c r="AG127" i="17"/>
  <c r="AH127" i="17"/>
  <c r="AI127" i="17"/>
  <c r="AJ127" i="17"/>
  <c r="H128" i="17"/>
  <c r="I128" i="17"/>
  <c r="J128" i="17"/>
  <c r="K128" i="17"/>
  <c r="L128" i="17"/>
  <c r="M128" i="17"/>
  <c r="N128" i="17"/>
  <c r="O128" i="17"/>
  <c r="P128" i="17"/>
  <c r="Q128" i="17"/>
  <c r="R128" i="17"/>
  <c r="S128" i="17"/>
  <c r="T128" i="17"/>
  <c r="U128" i="17"/>
  <c r="V128" i="17"/>
  <c r="W128" i="17"/>
  <c r="X128" i="17"/>
  <c r="Y128" i="17"/>
  <c r="Z128" i="17"/>
  <c r="AA128" i="17"/>
  <c r="AB128" i="17"/>
  <c r="AC128" i="17"/>
  <c r="AD128" i="17"/>
  <c r="AE128" i="17"/>
  <c r="AF128" i="17"/>
  <c r="AG128" i="17"/>
  <c r="AH128" i="17"/>
  <c r="AI128" i="17"/>
  <c r="AJ128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V132" i="17"/>
  <c r="W132" i="17"/>
  <c r="X132" i="17"/>
  <c r="Y132" i="17"/>
  <c r="Z132" i="17"/>
  <c r="AA132" i="17"/>
  <c r="AB132" i="17"/>
  <c r="AC132" i="17"/>
  <c r="AD132" i="17"/>
  <c r="AE132" i="17"/>
  <c r="AF132" i="17"/>
  <c r="AG132" i="17"/>
  <c r="AH132" i="17"/>
  <c r="AI132" i="17"/>
  <c r="AJ132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Z133" i="17"/>
  <c r="AA133" i="17"/>
  <c r="AB133" i="17"/>
  <c r="AC133" i="17"/>
  <c r="AD133" i="17"/>
  <c r="AE133" i="17"/>
  <c r="AF133" i="17"/>
  <c r="AG133" i="17"/>
  <c r="AH133" i="17"/>
  <c r="AI133" i="17"/>
  <c r="AJ133" i="17"/>
  <c r="H137" i="17"/>
  <c r="I137" i="17"/>
  <c r="J137" i="17"/>
  <c r="K137" i="17"/>
  <c r="L137" i="17"/>
  <c r="M137" i="17"/>
  <c r="N137" i="17"/>
  <c r="O137" i="17"/>
  <c r="P137" i="17"/>
  <c r="Q137" i="17"/>
  <c r="R137" i="17"/>
  <c r="S137" i="17"/>
  <c r="T137" i="17"/>
  <c r="U137" i="17"/>
  <c r="V137" i="17"/>
  <c r="W137" i="17"/>
  <c r="X137" i="17"/>
  <c r="Y137" i="17"/>
  <c r="Z137" i="17"/>
  <c r="AA137" i="17"/>
  <c r="AB137" i="17"/>
  <c r="AC137" i="17"/>
  <c r="AD137" i="17"/>
  <c r="AE137" i="17"/>
  <c r="AF137" i="17"/>
  <c r="AG137" i="17"/>
  <c r="AH137" i="17"/>
  <c r="AI137" i="17"/>
  <c r="AJ137" i="17"/>
  <c r="H138" i="17"/>
  <c r="I138" i="17"/>
  <c r="J138" i="17"/>
  <c r="K138" i="17"/>
  <c r="L138" i="17"/>
  <c r="M138" i="17"/>
  <c r="N138" i="17"/>
  <c r="O138" i="17"/>
  <c r="P138" i="17"/>
  <c r="Q138" i="17"/>
  <c r="R138" i="17"/>
  <c r="S138" i="17"/>
  <c r="T138" i="17"/>
  <c r="U138" i="17"/>
  <c r="V138" i="17"/>
  <c r="W138" i="17"/>
  <c r="X138" i="17"/>
  <c r="Y138" i="17"/>
  <c r="Z138" i="17"/>
  <c r="AA138" i="17"/>
  <c r="AB138" i="17"/>
  <c r="AC138" i="17"/>
  <c r="AD138" i="17"/>
  <c r="AE138" i="17"/>
  <c r="AF138" i="17"/>
  <c r="AG138" i="17"/>
  <c r="AH138" i="17"/>
  <c r="AI138" i="17"/>
  <c r="AJ138" i="17"/>
  <c r="H142" i="17"/>
  <c r="I142" i="17"/>
  <c r="J142" i="17"/>
  <c r="K142" i="17"/>
  <c r="L142" i="17"/>
  <c r="M142" i="17"/>
  <c r="N142" i="17"/>
  <c r="O142" i="17"/>
  <c r="P142" i="17"/>
  <c r="Q142" i="17"/>
  <c r="R142" i="17"/>
  <c r="S142" i="17"/>
  <c r="T142" i="17"/>
  <c r="U142" i="17"/>
  <c r="V142" i="17"/>
  <c r="W142" i="17"/>
  <c r="X142" i="17"/>
  <c r="Y142" i="17"/>
  <c r="Z142" i="17"/>
  <c r="AA142" i="17"/>
  <c r="AB142" i="17"/>
  <c r="AC142" i="17"/>
  <c r="AD142" i="17"/>
  <c r="AE142" i="17"/>
  <c r="AF142" i="17"/>
  <c r="AG142" i="17"/>
  <c r="AH142" i="17"/>
  <c r="AI142" i="17"/>
  <c r="AJ142" i="17"/>
  <c r="H143" i="17"/>
  <c r="I143" i="17"/>
  <c r="J143" i="17"/>
  <c r="K143" i="17"/>
  <c r="L143" i="17"/>
  <c r="M143" i="17"/>
  <c r="N143" i="17"/>
  <c r="O143" i="17"/>
  <c r="P143" i="17"/>
  <c r="Q143" i="17"/>
  <c r="R143" i="17"/>
  <c r="S143" i="17"/>
  <c r="T143" i="17"/>
  <c r="U143" i="17"/>
  <c r="V143" i="17"/>
  <c r="W143" i="17"/>
  <c r="X143" i="17"/>
  <c r="Y143" i="17"/>
  <c r="Z143" i="17"/>
  <c r="AA143" i="17"/>
  <c r="AB143" i="17"/>
  <c r="AC143" i="17"/>
  <c r="AD143" i="17"/>
  <c r="AE143" i="17"/>
  <c r="AF143" i="17"/>
  <c r="AG143" i="17"/>
  <c r="AH143" i="17"/>
  <c r="AI143" i="17"/>
  <c r="AJ143" i="17"/>
  <c r="H147" i="17"/>
  <c r="I147" i="17"/>
  <c r="J147" i="17"/>
  <c r="K147" i="17"/>
  <c r="L147" i="17"/>
  <c r="M147" i="17"/>
  <c r="N147" i="17"/>
  <c r="O147" i="17"/>
  <c r="P147" i="17"/>
  <c r="Q147" i="17"/>
  <c r="R147" i="17"/>
  <c r="S147" i="17"/>
  <c r="T147" i="17"/>
  <c r="U147" i="17"/>
  <c r="V147" i="17"/>
  <c r="W147" i="17"/>
  <c r="X147" i="17"/>
  <c r="Y147" i="17"/>
  <c r="Z147" i="17"/>
  <c r="AA147" i="17"/>
  <c r="AB147" i="17"/>
  <c r="AC147" i="17"/>
  <c r="AD147" i="17"/>
  <c r="AE147" i="17"/>
  <c r="AF147" i="17"/>
  <c r="AG147" i="17"/>
  <c r="AH147" i="17"/>
  <c r="AI147" i="17"/>
  <c r="AJ147" i="17"/>
  <c r="H148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AJ148" i="17"/>
  <c r="H149" i="17"/>
  <c r="I149" i="17"/>
  <c r="J149" i="17"/>
  <c r="K149" i="17"/>
  <c r="L149" i="17"/>
  <c r="M149" i="17"/>
  <c r="N149" i="17"/>
  <c r="O149" i="17"/>
  <c r="P149" i="17"/>
  <c r="Q149" i="17"/>
  <c r="R149" i="17"/>
  <c r="S149" i="17"/>
  <c r="T149" i="17"/>
  <c r="U149" i="17"/>
  <c r="V149" i="17"/>
  <c r="W149" i="17"/>
  <c r="X149" i="17"/>
  <c r="Y149" i="17"/>
  <c r="Z149" i="17"/>
  <c r="AA149" i="17"/>
  <c r="AB149" i="17"/>
  <c r="AC149" i="17"/>
  <c r="AD149" i="17"/>
  <c r="AE149" i="17"/>
  <c r="AF149" i="17"/>
  <c r="AG149" i="17"/>
  <c r="AH149" i="17"/>
  <c r="AI149" i="17"/>
  <c r="AJ149" i="17"/>
  <c r="G149" i="17"/>
  <c r="G148" i="17"/>
  <c r="G147" i="17"/>
  <c r="G143" i="17"/>
  <c r="G142" i="17"/>
  <c r="G138" i="17"/>
  <c r="G137" i="17"/>
  <c r="G133" i="17"/>
  <c r="G132" i="17"/>
  <c r="G128" i="17"/>
  <c r="G127" i="17"/>
  <c r="G122" i="17"/>
  <c r="G121" i="17"/>
  <c r="G117" i="17"/>
  <c r="G116" i="17"/>
  <c r="G111" i="17"/>
  <c r="G110" i="17"/>
  <c r="G105" i="17"/>
  <c r="G104" i="17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G149" i="1"/>
  <c r="G148" i="1"/>
  <c r="G147" i="1"/>
  <c r="G143" i="1"/>
  <c r="G142" i="1"/>
  <c r="G138" i="1"/>
  <c r="G137" i="1"/>
  <c r="G133" i="1"/>
  <c r="G132" i="1"/>
  <c r="G127" i="1"/>
  <c r="G122" i="1"/>
  <c r="G121" i="1"/>
  <c r="G118" i="1"/>
  <c r="G117" i="1"/>
  <c r="G116" i="1"/>
  <c r="G111" i="1"/>
  <c r="G110" i="1"/>
  <c r="G105" i="1"/>
  <c r="G10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G88" i="1"/>
  <c r="G87" i="1"/>
  <c r="G86" i="1"/>
  <c r="G85" i="1"/>
  <c r="O13" i="25" l="1"/>
  <c r="K13" i="25"/>
  <c r="G105" i="25" s="1"/>
  <c r="G144" i="25" l="1"/>
  <c r="G134" i="25"/>
  <c r="G129" i="25"/>
  <c r="G118" i="25"/>
  <c r="G106" i="25"/>
  <c r="G139" i="25"/>
  <c r="G123" i="25"/>
  <c r="G112" i="25"/>
  <c r="G143" i="25"/>
  <c r="G111" i="25"/>
  <c r="G138" i="25"/>
  <c r="E105" i="25"/>
  <c r="G133" i="25"/>
  <c r="G128" i="25"/>
  <c r="G122" i="25"/>
  <c r="G117" i="25"/>
  <c r="F88" i="31"/>
  <c r="G88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T88" i="31"/>
  <c r="U88" i="31"/>
  <c r="V88" i="31"/>
  <c r="W88" i="31"/>
  <c r="X88" i="31"/>
  <c r="Y88" i="31"/>
  <c r="Z88" i="31"/>
  <c r="AA88" i="31"/>
  <c r="AB88" i="31"/>
  <c r="AC88" i="31"/>
  <c r="AD88" i="31"/>
  <c r="AE88" i="31"/>
  <c r="AF88" i="31"/>
  <c r="AG88" i="31"/>
  <c r="AH88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F90" i="31"/>
  <c r="G90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T90" i="31"/>
  <c r="U90" i="31"/>
  <c r="V90" i="31"/>
  <c r="W90" i="31"/>
  <c r="X90" i="31"/>
  <c r="Y90" i="31"/>
  <c r="Z90" i="31"/>
  <c r="AA90" i="31"/>
  <c r="AB90" i="31"/>
  <c r="AC90" i="31"/>
  <c r="AD90" i="31"/>
  <c r="AE90" i="31"/>
  <c r="AF90" i="31"/>
  <c r="AG90" i="31"/>
  <c r="AH90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F92" i="31"/>
  <c r="G92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T92" i="3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F93" i="31"/>
  <c r="G93" i="31"/>
  <c r="H93" i="31"/>
  <c r="I93" i="31"/>
  <c r="J93" i="31"/>
  <c r="K93" i="31"/>
  <c r="L93" i="31"/>
  <c r="M93" i="31"/>
  <c r="N93" i="31"/>
  <c r="O93" i="31"/>
  <c r="P93" i="31"/>
  <c r="Q93" i="31"/>
  <c r="R93" i="31"/>
  <c r="S93" i="31"/>
  <c r="T93" i="31"/>
  <c r="U93" i="31"/>
  <c r="V93" i="31"/>
  <c r="W93" i="31"/>
  <c r="X93" i="31"/>
  <c r="Y93" i="31"/>
  <c r="Z93" i="31"/>
  <c r="AA93" i="31"/>
  <c r="AB93" i="31"/>
  <c r="AC93" i="31"/>
  <c r="AD93" i="31"/>
  <c r="AE93" i="31"/>
  <c r="AF93" i="31"/>
  <c r="AG93" i="31"/>
  <c r="AH93" i="31"/>
  <c r="F94" i="31"/>
  <c r="G94" i="31"/>
  <c r="H94" i="31"/>
  <c r="I94" i="31"/>
  <c r="J94" i="31"/>
  <c r="K94" i="31"/>
  <c r="L94" i="31"/>
  <c r="M94" i="31"/>
  <c r="N94" i="31"/>
  <c r="O94" i="31"/>
  <c r="P94" i="31"/>
  <c r="Q94" i="31"/>
  <c r="R94" i="31"/>
  <c r="S94" i="31"/>
  <c r="T94" i="31"/>
  <c r="U94" i="31"/>
  <c r="V94" i="31"/>
  <c r="W94" i="31"/>
  <c r="X94" i="31"/>
  <c r="Y94" i="31"/>
  <c r="Z94" i="31"/>
  <c r="AA94" i="31"/>
  <c r="AB94" i="31"/>
  <c r="AC94" i="31"/>
  <c r="AD94" i="31"/>
  <c r="AE94" i="31"/>
  <c r="AF94" i="31"/>
  <c r="AG94" i="31"/>
  <c r="AH94" i="31"/>
  <c r="F95" i="31"/>
  <c r="G95" i="31"/>
  <c r="H95" i="31"/>
  <c r="I95" i="31"/>
  <c r="J95" i="31"/>
  <c r="K95" i="31"/>
  <c r="L95" i="31"/>
  <c r="M95" i="31"/>
  <c r="N95" i="31"/>
  <c r="O95" i="31"/>
  <c r="P95" i="31"/>
  <c r="Q95" i="31"/>
  <c r="R95" i="31"/>
  <c r="S95" i="31"/>
  <c r="T95" i="31"/>
  <c r="U95" i="31"/>
  <c r="V95" i="31"/>
  <c r="W95" i="31"/>
  <c r="X95" i="31"/>
  <c r="Y95" i="31"/>
  <c r="Z95" i="31"/>
  <c r="AA95" i="31"/>
  <c r="AB95" i="31"/>
  <c r="AC95" i="31"/>
  <c r="AD95" i="31"/>
  <c r="AE95" i="31"/>
  <c r="AF95" i="31"/>
  <c r="AG95" i="31"/>
  <c r="AH95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F99" i="31"/>
  <c r="G99" i="31"/>
  <c r="H99" i="31"/>
  <c r="I99" i="31"/>
  <c r="J99" i="31"/>
  <c r="K99" i="31"/>
  <c r="L99" i="31"/>
  <c r="M99" i="31"/>
  <c r="N99" i="31"/>
  <c r="O99" i="31"/>
  <c r="P99" i="31"/>
  <c r="Q99" i="31"/>
  <c r="R99" i="31"/>
  <c r="S99" i="31"/>
  <c r="T99" i="31"/>
  <c r="U99" i="31"/>
  <c r="V99" i="31"/>
  <c r="W99" i="31"/>
  <c r="X99" i="31"/>
  <c r="Y99" i="31"/>
  <c r="Z99" i="31"/>
  <c r="AA99" i="31"/>
  <c r="AB99" i="31"/>
  <c r="AC99" i="31"/>
  <c r="AD99" i="31"/>
  <c r="AE99" i="31"/>
  <c r="AF99" i="31"/>
  <c r="AG99" i="31"/>
  <c r="AH99" i="31"/>
  <c r="F100" i="31"/>
  <c r="G100" i="31"/>
  <c r="H100" i="31"/>
  <c r="I100" i="31"/>
  <c r="J100" i="31"/>
  <c r="K100" i="31"/>
  <c r="L100" i="31"/>
  <c r="M100" i="31"/>
  <c r="N100" i="31"/>
  <c r="O100" i="31"/>
  <c r="P100" i="31"/>
  <c r="Q100" i="31"/>
  <c r="R100" i="31"/>
  <c r="S100" i="31"/>
  <c r="T100" i="31"/>
  <c r="U100" i="31"/>
  <c r="V100" i="31"/>
  <c r="W100" i="31"/>
  <c r="X100" i="31"/>
  <c r="Y100" i="31"/>
  <c r="Z100" i="31"/>
  <c r="AA100" i="31"/>
  <c r="AB100" i="31"/>
  <c r="AC100" i="31"/>
  <c r="AD100" i="31"/>
  <c r="AE100" i="31"/>
  <c r="AF100" i="31"/>
  <c r="AG100" i="31"/>
  <c r="AH100" i="31"/>
  <c r="F101" i="31"/>
  <c r="G101" i="31"/>
  <c r="H101" i="31"/>
  <c r="I101" i="31"/>
  <c r="J101" i="31"/>
  <c r="K101" i="31"/>
  <c r="L101" i="31"/>
  <c r="M101" i="31"/>
  <c r="N101" i="31"/>
  <c r="O101" i="31"/>
  <c r="P101" i="31"/>
  <c r="Q101" i="31"/>
  <c r="R101" i="31"/>
  <c r="S101" i="31"/>
  <c r="T101" i="31"/>
  <c r="U101" i="31"/>
  <c r="V101" i="31"/>
  <c r="W101" i="31"/>
  <c r="X101" i="31"/>
  <c r="Y101" i="31"/>
  <c r="Z101" i="31"/>
  <c r="AA101" i="31"/>
  <c r="AB101" i="31"/>
  <c r="AC101" i="31"/>
  <c r="AD101" i="31"/>
  <c r="AE101" i="31"/>
  <c r="AF101" i="31"/>
  <c r="AG101" i="31"/>
  <c r="AH101" i="31"/>
  <c r="F102" i="31"/>
  <c r="G102" i="31"/>
  <c r="H102" i="31"/>
  <c r="I102" i="31"/>
  <c r="J102" i="31"/>
  <c r="K102" i="31"/>
  <c r="L102" i="31"/>
  <c r="M102" i="31"/>
  <c r="N102" i="31"/>
  <c r="O102" i="31"/>
  <c r="P102" i="31"/>
  <c r="Q102" i="31"/>
  <c r="R102" i="31"/>
  <c r="S102" i="31"/>
  <c r="T102" i="31"/>
  <c r="U102" i="31"/>
  <c r="V102" i="31"/>
  <c r="W102" i="31"/>
  <c r="X102" i="31"/>
  <c r="Y102" i="31"/>
  <c r="Z102" i="31"/>
  <c r="AA102" i="31"/>
  <c r="AB102" i="31"/>
  <c r="AC102" i="31"/>
  <c r="AD102" i="31"/>
  <c r="AE102" i="31"/>
  <c r="AF102" i="31"/>
  <c r="AG102" i="31"/>
  <c r="AH102" i="31"/>
  <c r="F103" i="31"/>
  <c r="G103" i="31"/>
  <c r="H103" i="31"/>
  <c r="I103" i="31"/>
  <c r="J103" i="31"/>
  <c r="K103" i="31"/>
  <c r="L103" i="31"/>
  <c r="M103" i="31"/>
  <c r="N103" i="31"/>
  <c r="O103" i="31"/>
  <c r="P103" i="31"/>
  <c r="Q103" i="31"/>
  <c r="R103" i="31"/>
  <c r="S103" i="31"/>
  <c r="T103" i="31"/>
  <c r="U103" i="31"/>
  <c r="V103" i="31"/>
  <c r="W103" i="31"/>
  <c r="X103" i="31"/>
  <c r="Y103" i="31"/>
  <c r="Z103" i="31"/>
  <c r="AA103" i="31"/>
  <c r="AB103" i="31"/>
  <c r="AC103" i="31"/>
  <c r="AD103" i="31"/>
  <c r="AE103" i="31"/>
  <c r="AF103" i="31"/>
  <c r="AG103" i="31"/>
  <c r="AH103" i="31"/>
  <c r="F104" i="31"/>
  <c r="G104" i="31"/>
  <c r="H104" i="31"/>
  <c r="I104" i="31"/>
  <c r="J104" i="31"/>
  <c r="K104" i="31"/>
  <c r="L104" i="31"/>
  <c r="M104" i="31"/>
  <c r="N104" i="31"/>
  <c r="O104" i="31"/>
  <c r="P104" i="31"/>
  <c r="Q104" i="31"/>
  <c r="R104" i="31"/>
  <c r="S104" i="31"/>
  <c r="T104" i="31"/>
  <c r="U104" i="31"/>
  <c r="V104" i="31"/>
  <c r="W104" i="31"/>
  <c r="X104" i="31"/>
  <c r="Y104" i="31"/>
  <c r="Z104" i="31"/>
  <c r="AA104" i="31"/>
  <c r="AB104" i="31"/>
  <c r="AC104" i="31"/>
  <c r="AD104" i="31"/>
  <c r="AE104" i="31"/>
  <c r="AF104" i="31"/>
  <c r="AG104" i="31"/>
  <c r="AH104" i="31"/>
  <c r="F105" i="31"/>
  <c r="G105" i="31"/>
  <c r="H105" i="31"/>
  <c r="I105" i="31"/>
  <c r="J105" i="31"/>
  <c r="K105" i="31"/>
  <c r="L105" i="31"/>
  <c r="M105" i="31"/>
  <c r="N105" i="31"/>
  <c r="O105" i="31"/>
  <c r="P105" i="31"/>
  <c r="Q105" i="31"/>
  <c r="R105" i="31"/>
  <c r="S105" i="31"/>
  <c r="T105" i="31"/>
  <c r="U105" i="31"/>
  <c r="V105" i="31"/>
  <c r="W105" i="31"/>
  <c r="X105" i="31"/>
  <c r="Y105" i="31"/>
  <c r="Z105" i="31"/>
  <c r="AA105" i="31"/>
  <c r="AB105" i="31"/>
  <c r="AC105" i="31"/>
  <c r="AD105" i="31"/>
  <c r="AE105" i="31"/>
  <c r="AF105" i="31"/>
  <c r="AG105" i="31"/>
  <c r="AH105" i="31"/>
  <c r="F106" i="31"/>
  <c r="G106" i="31"/>
  <c r="H106" i="31"/>
  <c r="I106" i="31"/>
  <c r="J106" i="31"/>
  <c r="K106" i="31"/>
  <c r="L106" i="31"/>
  <c r="M106" i="31"/>
  <c r="N106" i="31"/>
  <c r="O106" i="31"/>
  <c r="P106" i="31"/>
  <c r="Q106" i="31"/>
  <c r="R106" i="31"/>
  <c r="S106" i="31"/>
  <c r="T106" i="31"/>
  <c r="U106" i="31"/>
  <c r="V106" i="31"/>
  <c r="W106" i="31"/>
  <c r="X106" i="31"/>
  <c r="Y106" i="31"/>
  <c r="Z106" i="31"/>
  <c r="AA106" i="31"/>
  <c r="AB106" i="31"/>
  <c r="AC106" i="31"/>
  <c r="AD106" i="31"/>
  <c r="AE106" i="31"/>
  <c r="AF106" i="31"/>
  <c r="AG106" i="31"/>
  <c r="AH106" i="31"/>
  <c r="F107" i="31"/>
  <c r="G107" i="31"/>
  <c r="H107" i="31"/>
  <c r="I107" i="31"/>
  <c r="J107" i="31"/>
  <c r="K107" i="31"/>
  <c r="L107" i="31"/>
  <c r="M107" i="31"/>
  <c r="N107" i="31"/>
  <c r="O107" i="31"/>
  <c r="P107" i="31"/>
  <c r="Q107" i="31"/>
  <c r="R107" i="31"/>
  <c r="S107" i="31"/>
  <c r="T107" i="31"/>
  <c r="U107" i="31"/>
  <c r="V107" i="31"/>
  <c r="W107" i="31"/>
  <c r="X107" i="31"/>
  <c r="Y107" i="31"/>
  <c r="Z107" i="31"/>
  <c r="AA107" i="31"/>
  <c r="AB107" i="31"/>
  <c r="AC107" i="31"/>
  <c r="AD107" i="31"/>
  <c r="AE107" i="31"/>
  <c r="AF107" i="31"/>
  <c r="AG107" i="31"/>
  <c r="AH107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Z110" i="31"/>
  <c r="AA110" i="31"/>
  <c r="AB110" i="31"/>
  <c r="AC110" i="31"/>
  <c r="AD110" i="31"/>
  <c r="AE110" i="31"/>
  <c r="AF110" i="31"/>
  <c r="AG110" i="31"/>
  <c r="AH110" i="31"/>
  <c r="E109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AH62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F67" i="31"/>
  <c r="G67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T67" i="31"/>
  <c r="U67" i="31"/>
  <c r="V67" i="31"/>
  <c r="W67" i="31"/>
  <c r="X67" i="31"/>
  <c r="Y67" i="31"/>
  <c r="Z67" i="31"/>
  <c r="AA67" i="31"/>
  <c r="AB67" i="31"/>
  <c r="AC67" i="31"/>
  <c r="AD67" i="31"/>
  <c r="AE67" i="31"/>
  <c r="AF67" i="31"/>
  <c r="AG67" i="31"/>
  <c r="AH67" i="31"/>
  <c r="F68" i="31"/>
  <c r="G68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T68" i="31"/>
  <c r="U68" i="31"/>
  <c r="V68" i="31"/>
  <c r="W68" i="31"/>
  <c r="X68" i="31"/>
  <c r="Y68" i="31"/>
  <c r="Z68" i="31"/>
  <c r="AA68" i="31"/>
  <c r="AB68" i="31"/>
  <c r="AC68" i="31"/>
  <c r="AD68" i="31"/>
  <c r="AE68" i="31"/>
  <c r="AF68" i="31"/>
  <c r="AG68" i="31"/>
  <c r="AH68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E81" i="31"/>
  <c r="E80" i="31"/>
  <c r="E79" i="31"/>
  <c r="E77" i="31"/>
  <c r="E76" i="31"/>
  <c r="E75" i="31"/>
  <c r="E74" i="31"/>
  <c r="E73" i="31"/>
  <c r="E72" i="31"/>
  <c r="E71" i="31"/>
  <c r="E70" i="31"/>
  <c r="E69" i="31"/>
  <c r="E68" i="31"/>
  <c r="E67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Z37" i="31"/>
  <c r="AA37" i="31"/>
  <c r="AB37" i="31"/>
  <c r="AC37" i="31"/>
  <c r="AD37" i="31"/>
  <c r="AE37" i="31"/>
  <c r="AF37" i="31"/>
  <c r="AG37" i="31"/>
  <c r="AH37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Z38" i="31"/>
  <c r="AA38" i="31"/>
  <c r="AB38" i="31"/>
  <c r="AC38" i="31"/>
  <c r="AD38" i="31"/>
  <c r="AE38" i="31"/>
  <c r="AF38" i="31"/>
  <c r="AG38" i="31"/>
  <c r="AH38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Z44" i="31"/>
  <c r="AA44" i="31"/>
  <c r="AB44" i="31"/>
  <c r="AC44" i="31"/>
  <c r="AD44" i="31"/>
  <c r="AE44" i="31"/>
  <c r="AF44" i="31"/>
  <c r="AG44" i="31"/>
  <c r="AH44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H46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Z48" i="31"/>
  <c r="AA48" i="31"/>
  <c r="AB48" i="31"/>
  <c r="AC48" i="31"/>
  <c r="AD48" i="31"/>
  <c r="AE48" i="31"/>
  <c r="AF48" i="31"/>
  <c r="AG48" i="31"/>
  <c r="AH48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Z50" i="31"/>
  <c r="AA50" i="31"/>
  <c r="AB50" i="31"/>
  <c r="AC50" i="31"/>
  <c r="AD50" i="31"/>
  <c r="AE50" i="31"/>
  <c r="AF50" i="31"/>
  <c r="AG50" i="31"/>
  <c r="AH50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T52" i="31"/>
  <c r="U52" i="31"/>
  <c r="V52" i="31"/>
  <c r="W52" i="31"/>
  <c r="X52" i="31"/>
  <c r="Y52" i="31"/>
  <c r="Z52" i="31"/>
  <c r="AA52" i="31"/>
  <c r="AB52" i="31"/>
  <c r="AC52" i="31"/>
  <c r="AD52" i="31"/>
  <c r="AE52" i="31"/>
  <c r="AF52" i="31"/>
  <c r="AG52" i="31"/>
  <c r="AH52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AD53" i="31"/>
  <c r="AE53" i="31"/>
  <c r="AF53" i="31"/>
  <c r="AG53" i="31"/>
  <c r="AH53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E53" i="31"/>
  <c r="E51" i="31"/>
  <c r="E49" i="31"/>
  <c r="E48" i="31"/>
  <c r="E47" i="31"/>
  <c r="E46" i="31"/>
  <c r="E45" i="31"/>
  <c r="E44" i="31"/>
  <c r="E43" i="31"/>
  <c r="E42" i="31"/>
  <c r="E41" i="31"/>
  <c r="E40" i="31"/>
  <c r="E39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AG26" i="31"/>
  <c r="AH26" i="31"/>
  <c r="E25" i="31"/>
  <c r="E23" i="31"/>
  <c r="E21" i="31"/>
  <c r="E20" i="31"/>
  <c r="E19" i="31"/>
  <c r="E18" i="31"/>
  <c r="E17" i="31"/>
  <c r="E16" i="31"/>
  <c r="E15" i="31"/>
  <c r="E14" i="31"/>
  <c r="E13" i="31"/>
  <c r="E12" i="31"/>
  <c r="E11" i="31"/>
  <c r="E111" i="31"/>
  <c r="E110" i="31"/>
  <c r="E108" i="31"/>
  <c r="E94" i="31"/>
  <c r="E93" i="31"/>
  <c r="E92" i="31"/>
  <c r="E91" i="31"/>
  <c r="E90" i="31"/>
  <c r="E89" i="31"/>
  <c r="E88" i="31"/>
  <c r="E82" i="31"/>
  <c r="E78" i="31"/>
  <c r="E66" i="31"/>
  <c r="E65" i="31"/>
  <c r="E64" i="31"/>
  <c r="E63" i="31"/>
  <c r="E62" i="31"/>
  <c r="E61" i="31"/>
  <c r="E60" i="31"/>
  <c r="E83" i="31"/>
  <c r="E54" i="31"/>
  <c r="E52" i="31"/>
  <c r="E50" i="31"/>
  <c r="E38" i="31"/>
  <c r="E37" i="31"/>
  <c r="E36" i="31"/>
  <c r="E35" i="31"/>
  <c r="E34" i="31"/>
  <c r="E33" i="31"/>
  <c r="E32" i="31"/>
  <c r="E55" i="31"/>
  <c r="E27" i="31"/>
  <c r="F27" i="31" s="1"/>
  <c r="E26" i="31"/>
  <c r="E24" i="31"/>
  <c r="E22" i="31"/>
  <c r="E10" i="31"/>
  <c r="E9" i="31"/>
  <c r="E8" i="31"/>
  <c r="E7" i="31"/>
  <c r="E6" i="31"/>
  <c r="E5" i="31"/>
  <c r="E4" i="31"/>
  <c r="F55" i="31" l="1"/>
  <c r="G27" i="31"/>
  <c r="F111" i="31"/>
  <c r="F83" i="31"/>
  <c r="G83" i="31" l="1"/>
  <c r="G111" i="31"/>
  <c r="H27" i="31"/>
  <c r="G55" i="31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O149" i="4"/>
  <c r="N149" i="4"/>
  <c r="H55" i="31" l="1"/>
  <c r="I27" i="31"/>
  <c r="H111" i="31"/>
  <c r="H83" i="31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E32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V43" i="28"/>
  <c r="W21" i="28"/>
  <c r="W32" i="28" s="1"/>
  <c r="X21" i="28"/>
  <c r="Y21" i="28"/>
  <c r="Z21" i="28"/>
  <c r="AA21" i="28"/>
  <c r="AA32" i="28" s="1"/>
  <c r="AB21" i="28"/>
  <c r="AC21" i="28"/>
  <c r="AD21" i="28"/>
  <c r="AE21" i="28"/>
  <c r="AE32" i="28" s="1"/>
  <c r="AF21" i="28"/>
  <c r="AG21" i="28"/>
  <c r="AH21" i="28"/>
  <c r="AI21" i="28"/>
  <c r="AI32" i="28" s="1"/>
  <c r="V21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V9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V42" i="28"/>
  <c r="AI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V20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V8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E31" i="28"/>
  <c r="W19" i="28"/>
  <c r="X19" i="28"/>
  <c r="Y19" i="28"/>
  <c r="Z19" i="28"/>
  <c r="AA19" i="28"/>
  <c r="AB19" i="28"/>
  <c r="AC19" i="28"/>
  <c r="AD19" i="28"/>
  <c r="AE19" i="28"/>
  <c r="AE30" i="28" s="1"/>
  <c r="AF19" i="28"/>
  <c r="AG19" i="28"/>
  <c r="AH19" i="28"/>
  <c r="AI19" i="28"/>
  <c r="V19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V41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V7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E3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V40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I18" i="28"/>
  <c r="V18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V6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E2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V39" i="28"/>
  <c r="W17" i="28"/>
  <c r="X17" i="28"/>
  <c r="Y17" i="28"/>
  <c r="Z17" i="28"/>
  <c r="AA17" i="28"/>
  <c r="AB17" i="28"/>
  <c r="AB28" i="28" s="1"/>
  <c r="AC17" i="28"/>
  <c r="AD17" i="28"/>
  <c r="AE17" i="28"/>
  <c r="AF17" i="28"/>
  <c r="AG17" i="28"/>
  <c r="AH17" i="28"/>
  <c r="AI17" i="28"/>
  <c r="V17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V5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E28" i="28"/>
  <c r="W38" i="28"/>
  <c r="X38" i="28"/>
  <c r="Y38" i="28"/>
  <c r="Z38" i="28"/>
  <c r="AA38" i="28"/>
  <c r="AB38" i="28"/>
  <c r="AC38" i="28"/>
  <c r="AD38" i="28"/>
  <c r="AE38" i="28"/>
  <c r="AF38" i="28"/>
  <c r="AG38" i="28"/>
  <c r="AH38" i="28"/>
  <c r="AI38" i="28"/>
  <c r="V38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V16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V4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E2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V37" i="28"/>
  <c r="W15" i="28"/>
  <c r="X15" i="28"/>
  <c r="X26" i="28" s="1"/>
  <c r="Y15" i="28"/>
  <c r="Z15" i="28"/>
  <c r="AA15" i="28"/>
  <c r="AB15" i="28"/>
  <c r="AC15" i="28"/>
  <c r="AD15" i="28"/>
  <c r="AE15" i="28"/>
  <c r="AF15" i="28"/>
  <c r="AG15" i="28"/>
  <c r="AH15" i="28"/>
  <c r="AI15" i="28"/>
  <c r="V15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E26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V3" i="28"/>
  <c r="W30" i="28" l="1"/>
  <c r="AE26" i="28"/>
  <c r="AA30" i="28"/>
  <c r="I83" i="31"/>
  <c r="I111" i="31"/>
  <c r="J27" i="31"/>
  <c r="I55" i="31"/>
  <c r="AI29" i="28"/>
  <c r="AF27" i="28"/>
  <c r="AE27" i="28"/>
  <c r="AI30" i="28"/>
  <c r="W26" i="28"/>
  <c r="V28" i="28"/>
  <c r="V29" i="28"/>
  <c r="V31" i="28"/>
  <c r="W31" i="28"/>
  <c r="AH32" i="28"/>
  <c r="AD32" i="28"/>
  <c r="Z32" i="28"/>
  <c r="AI28" i="28"/>
  <c r="AE28" i="28"/>
  <c r="AA28" i="28"/>
  <c r="W28" i="28"/>
  <c r="V30" i="28"/>
  <c r="AB30" i="28"/>
  <c r="W27" i="28"/>
  <c r="AI31" i="28"/>
  <c r="AD31" i="28"/>
  <c r="Z31" i="28"/>
  <c r="V32" i="28"/>
  <c r="AF26" i="28"/>
  <c r="AB26" i="28"/>
  <c r="AG28" i="28"/>
  <c r="AC28" i="28"/>
  <c r="Y28" i="28"/>
  <c r="AG31" i="28"/>
  <c r="AC31" i="28"/>
  <c r="Y31" i="28"/>
  <c r="X27" i="28"/>
  <c r="AF29" i="28"/>
  <c r="AB29" i="28"/>
  <c r="X29" i="28"/>
  <c r="AE31" i="28"/>
  <c r="AA26" i="28"/>
  <c r="AB27" i="28"/>
  <c r="AD27" i="28"/>
  <c r="AA31" i="28"/>
  <c r="Y26" i="28"/>
  <c r="AI26" i="28"/>
  <c r="AH27" i="28"/>
  <c r="Z27" i="28"/>
  <c r="AF28" i="28"/>
  <c r="X28" i="28"/>
  <c r="AG32" i="28"/>
  <c r="AC32" i="28"/>
  <c r="Y32" i="28"/>
  <c r="AI27" i="28"/>
  <c r="AA27" i="28"/>
  <c r="AG27" i="28"/>
  <c r="AC27" i="28"/>
  <c r="Y27" i="28"/>
  <c r="AE29" i="28"/>
  <c r="AA29" i="28"/>
  <c r="W29" i="28"/>
  <c r="AG29" i="28"/>
  <c r="AC29" i="28"/>
  <c r="Y29" i="28"/>
  <c r="AF32" i="28"/>
  <c r="AB32" i="28"/>
  <c r="X32" i="28"/>
  <c r="AF30" i="28"/>
  <c r="X30" i="28"/>
  <c r="AF31" i="28"/>
  <c r="AB31" i="28"/>
  <c r="X31" i="28"/>
  <c r="AG26" i="28"/>
  <c r="AC26" i="28"/>
  <c r="AH31" i="28"/>
  <c r="AH30" i="28"/>
  <c r="AD30" i="28"/>
  <c r="Z30" i="28"/>
  <c r="AG30" i="28"/>
  <c r="AC30" i="28"/>
  <c r="Y30" i="28"/>
  <c r="AH29" i="28"/>
  <c r="AD29" i="28"/>
  <c r="Z29" i="28"/>
  <c r="AH28" i="28"/>
  <c r="AD28" i="28"/>
  <c r="Z28" i="28"/>
  <c r="V27" i="28"/>
  <c r="AH26" i="28"/>
  <c r="AD26" i="28"/>
  <c r="Z26" i="28"/>
  <c r="V26" i="28"/>
  <c r="J55" i="31" l="1"/>
  <c r="K27" i="31"/>
  <c r="J111" i="31"/>
  <c r="J83" i="31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G155" i="4"/>
  <c r="G154" i="4"/>
  <c r="G153" i="4"/>
  <c r="G152" i="4"/>
  <c r="G151" i="4"/>
  <c r="G150" i="4"/>
  <c r="K83" i="31" l="1"/>
  <c r="K111" i="31"/>
  <c r="L27" i="31"/>
  <c r="K55" i="31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G148" i="4"/>
  <c r="G147" i="4"/>
  <c r="L55" i="31" l="1"/>
  <c r="M27" i="31"/>
  <c r="L111" i="31"/>
  <c r="L83" i="31"/>
  <c r="H99" i="4"/>
  <c r="I99" i="4"/>
  <c r="J99" i="4"/>
  <c r="K99" i="4"/>
  <c r="L99" i="4"/>
  <c r="M99" i="4"/>
  <c r="N99" i="4"/>
  <c r="O99" i="4"/>
  <c r="P99" i="4"/>
  <c r="Q99" i="4"/>
  <c r="R99" i="4"/>
  <c r="G99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H91" i="4"/>
  <c r="H92" i="4"/>
  <c r="I92" i="4"/>
  <c r="J92" i="4"/>
  <c r="K92" i="4"/>
  <c r="L92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H95" i="4"/>
  <c r="I95" i="4"/>
  <c r="J95" i="4"/>
  <c r="K95" i="4"/>
  <c r="L95" i="4"/>
  <c r="M95" i="4"/>
  <c r="N95" i="4"/>
  <c r="H96" i="4"/>
  <c r="I96" i="4"/>
  <c r="J96" i="4"/>
  <c r="K96" i="4"/>
  <c r="L96" i="4"/>
  <c r="M96" i="4"/>
  <c r="N96" i="4"/>
  <c r="H97" i="4"/>
  <c r="I97" i="4"/>
  <c r="J97" i="4"/>
  <c r="K97" i="4"/>
  <c r="H98" i="4"/>
  <c r="I98" i="4"/>
  <c r="J98" i="4"/>
  <c r="K98" i="4"/>
  <c r="H100" i="4"/>
  <c r="I100" i="4"/>
  <c r="J100" i="4"/>
  <c r="K100" i="4"/>
  <c r="L100" i="4"/>
  <c r="M100" i="4"/>
  <c r="N100" i="4"/>
  <c r="O100" i="4"/>
  <c r="P100" i="4"/>
  <c r="Q100" i="4"/>
  <c r="R100" i="4"/>
  <c r="H101" i="4"/>
  <c r="I101" i="4"/>
  <c r="J101" i="4"/>
  <c r="K101" i="4"/>
  <c r="L101" i="4"/>
  <c r="M101" i="4"/>
  <c r="N101" i="4"/>
  <c r="O101" i="4"/>
  <c r="P101" i="4"/>
  <c r="Q101" i="4"/>
  <c r="R101" i="4"/>
  <c r="H102" i="4"/>
  <c r="I102" i="4"/>
  <c r="J102" i="4"/>
  <c r="K102" i="4"/>
  <c r="L102" i="4"/>
  <c r="M102" i="4"/>
  <c r="N102" i="4"/>
  <c r="O102" i="4"/>
  <c r="P102" i="4"/>
  <c r="Q102" i="4"/>
  <c r="R102" i="4"/>
  <c r="H103" i="4"/>
  <c r="I103" i="4"/>
  <c r="J103" i="4"/>
  <c r="K103" i="4"/>
  <c r="G103" i="4"/>
  <c r="G102" i="4"/>
  <c r="G101" i="4"/>
  <c r="G100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63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G83" i="4"/>
  <c r="G82" i="4"/>
  <c r="G81" i="4"/>
  <c r="G79" i="4"/>
  <c r="G78" i="4"/>
  <c r="G77" i="4"/>
  <c r="G76" i="4"/>
  <c r="G74" i="4"/>
  <c r="G72" i="4"/>
  <c r="G71" i="4"/>
  <c r="G70" i="4"/>
  <c r="G68" i="4"/>
  <c r="G66" i="4"/>
  <c r="G65" i="4"/>
  <c r="G62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G61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G60" i="4"/>
  <c r="M83" i="31" l="1"/>
  <c r="M111" i="31"/>
  <c r="N27" i="31"/>
  <c r="M55" i="31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G7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G8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G6" i="4"/>
  <c r="N55" i="31" l="1"/>
  <c r="AH83" i="31"/>
  <c r="V83" i="31"/>
  <c r="Y55" i="31"/>
  <c r="AG27" i="31"/>
  <c r="T27" i="31"/>
  <c r="AH111" i="31"/>
  <c r="X55" i="31"/>
  <c r="U27" i="31"/>
  <c r="AE111" i="31"/>
  <c r="U55" i="31"/>
  <c r="AA111" i="31"/>
  <c r="U83" i="31"/>
  <c r="AB55" i="31"/>
  <c r="AG111" i="31"/>
  <c r="AF83" i="31"/>
  <c r="T83" i="31"/>
  <c r="W55" i="31"/>
  <c r="AA27" i="31"/>
  <c r="V27" i="31"/>
  <c r="AF111" i="31"/>
  <c r="AE83" i="31"/>
  <c r="AH55" i="31"/>
  <c r="V55" i="31"/>
  <c r="AB27" i="31"/>
  <c r="W27" i="31"/>
  <c r="AG55" i="31"/>
  <c r="Y83" i="31"/>
  <c r="P55" i="31"/>
  <c r="Q27" i="31"/>
  <c r="AD111" i="31"/>
  <c r="AC83" i="31"/>
  <c r="AF55" i="31"/>
  <c r="T55" i="31"/>
  <c r="AD27" i="31"/>
  <c r="Y27" i="31"/>
  <c r="P27" i="31"/>
  <c r="AC111" i="31"/>
  <c r="AB83" i="31"/>
  <c r="AE55" i="31"/>
  <c r="S55" i="31"/>
  <c r="AE27" i="31"/>
  <c r="Z27" i="31"/>
  <c r="Q55" i="31"/>
  <c r="AB111" i="31"/>
  <c r="AA83" i="31"/>
  <c r="AD55" i="31"/>
  <c r="R55" i="31"/>
  <c r="AF27" i="31"/>
  <c r="O27" i="31"/>
  <c r="AC55" i="31"/>
  <c r="Y111" i="31"/>
  <c r="X83" i="31"/>
  <c r="AA55" i="31"/>
  <c r="O55" i="31"/>
  <c r="R27" i="31"/>
  <c r="X27" i="31"/>
  <c r="X111" i="31"/>
  <c r="W83" i="31"/>
  <c r="Z55" i="31"/>
  <c r="S27" i="31"/>
  <c r="AG83" i="31"/>
  <c r="AH27" i="31"/>
  <c r="AD83" i="31"/>
  <c r="AC27" i="31"/>
  <c r="Z83" i="31"/>
  <c r="Z111" i="31"/>
  <c r="N111" i="31"/>
  <c r="N83" i="31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G5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G58" i="4"/>
  <c r="E152" i="25"/>
  <c r="H152" i="25" s="1"/>
  <c r="E153" i="25"/>
  <c r="H153" i="25" s="1"/>
  <c r="E154" i="25"/>
  <c r="H154" i="25" s="1"/>
  <c r="E155" i="25"/>
  <c r="H155" i="25" s="1"/>
  <c r="E156" i="25"/>
  <c r="H156" i="25" s="1"/>
  <c r="E151" i="25"/>
  <c r="H151" i="25" s="1"/>
  <c r="E87" i="25"/>
  <c r="H87" i="25" s="1"/>
  <c r="E88" i="25"/>
  <c r="H88" i="25" s="1"/>
  <c r="E89" i="25"/>
  <c r="H89" i="25" s="1"/>
  <c r="E90" i="25"/>
  <c r="H90" i="25" s="1"/>
  <c r="E91" i="25"/>
  <c r="H91" i="25" s="1"/>
  <c r="E92" i="25"/>
  <c r="H92" i="25" s="1"/>
  <c r="E93" i="25"/>
  <c r="H93" i="25" s="1"/>
  <c r="E94" i="25"/>
  <c r="H94" i="25" s="1"/>
  <c r="E95" i="25"/>
  <c r="H95" i="25" s="1"/>
  <c r="E96" i="25"/>
  <c r="H96" i="25" s="1"/>
  <c r="E97" i="25"/>
  <c r="H97" i="25" s="1"/>
  <c r="E98" i="25"/>
  <c r="H98" i="25" s="1"/>
  <c r="E99" i="25"/>
  <c r="H99" i="25" s="1"/>
  <c r="E100" i="25"/>
  <c r="H100" i="25" s="1"/>
  <c r="E101" i="25"/>
  <c r="H101" i="25" s="1"/>
  <c r="E102" i="25"/>
  <c r="H102" i="25" s="1"/>
  <c r="E103" i="25"/>
  <c r="H103" i="25" s="1"/>
  <c r="E104" i="25"/>
  <c r="H104" i="25" s="1"/>
  <c r="E86" i="25"/>
  <c r="H86" i="25" s="1"/>
  <c r="E29" i="25"/>
  <c r="H29" i="25" s="1"/>
  <c r="E31" i="25"/>
  <c r="H31" i="25" s="1"/>
  <c r="E33" i="25"/>
  <c r="H33" i="25" s="1"/>
  <c r="E35" i="25"/>
  <c r="H35" i="25" s="1"/>
  <c r="E36" i="25"/>
  <c r="H36" i="25" s="1"/>
  <c r="E37" i="25"/>
  <c r="H37" i="25" s="1"/>
  <c r="E38" i="25"/>
  <c r="H38" i="25" s="1"/>
  <c r="E39" i="25"/>
  <c r="H39" i="25" s="1"/>
  <c r="E40" i="25"/>
  <c r="H40" i="25" s="1"/>
  <c r="E41" i="25"/>
  <c r="H41" i="25" s="1"/>
  <c r="E42" i="25"/>
  <c r="H42" i="25" s="1"/>
  <c r="E43" i="25"/>
  <c r="H43" i="25" s="1"/>
  <c r="E44" i="25"/>
  <c r="H44" i="25" s="1"/>
  <c r="E45" i="25"/>
  <c r="H45" i="25" s="1"/>
  <c r="E46" i="25"/>
  <c r="H46" i="25" s="1"/>
  <c r="E47" i="25"/>
  <c r="H47" i="25" s="1"/>
  <c r="E48" i="25"/>
  <c r="H48" i="25" s="1"/>
  <c r="E49" i="25"/>
  <c r="H49" i="25" s="1"/>
  <c r="E50" i="25"/>
  <c r="H50" i="25" s="1"/>
  <c r="E51" i="25"/>
  <c r="H51" i="25" s="1"/>
  <c r="E52" i="25"/>
  <c r="H52" i="25" s="1"/>
  <c r="E54" i="25"/>
  <c r="H54" i="25" s="1"/>
  <c r="E55" i="25"/>
  <c r="H55" i="25" s="1"/>
  <c r="E56" i="25"/>
  <c r="H56" i="25" s="1"/>
  <c r="E57" i="25"/>
  <c r="H57" i="25" s="1"/>
  <c r="E58" i="25"/>
  <c r="H58" i="25" s="1"/>
  <c r="E59" i="25"/>
  <c r="H59" i="25" s="1"/>
  <c r="E60" i="25"/>
  <c r="H60" i="25" s="1"/>
  <c r="E61" i="25"/>
  <c r="H61" i="25" s="1"/>
  <c r="E62" i="25"/>
  <c r="H62" i="25" s="1"/>
  <c r="E63" i="25"/>
  <c r="H63" i="25" s="1"/>
  <c r="E64" i="25"/>
  <c r="H64" i="25" s="1"/>
  <c r="E65" i="25"/>
  <c r="H65" i="25" s="1"/>
  <c r="E66" i="25"/>
  <c r="H66" i="25" s="1"/>
  <c r="E67" i="25"/>
  <c r="H67" i="25" s="1"/>
  <c r="E68" i="25"/>
  <c r="H68" i="25" s="1"/>
  <c r="E69" i="25"/>
  <c r="H69" i="25" s="1"/>
  <c r="E70" i="25"/>
  <c r="H70" i="25" s="1"/>
  <c r="E71" i="25"/>
  <c r="H71" i="25" s="1"/>
  <c r="E72" i="25"/>
  <c r="H72" i="25" s="1"/>
  <c r="E73" i="25"/>
  <c r="H73" i="25" s="1"/>
  <c r="E74" i="25"/>
  <c r="H74" i="25" s="1"/>
  <c r="E75" i="25"/>
  <c r="H75" i="25" s="1"/>
  <c r="E76" i="25"/>
  <c r="H76" i="25" s="1"/>
  <c r="E77" i="25"/>
  <c r="H77" i="25" s="1"/>
  <c r="E78" i="25"/>
  <c r="H78" i="25" s="1"/>
  <c r="E79" i="25"/>
  <c r="H79" i="25" s="1"/>
  <c r="E80" i="25"/>
  <c r="H80" i="25" s="1"/>
  <c r="E81" i="25"/>
  <c r="H81" i="25" s="1"/>
  <c r="E82" i="25"/>
  <c r="H82" i="25" s="1"/>
  <c r="E83" i="25"/>
  <c r="H83" i="25" s="1"/>
  <c r="E84" i="25"/>
  <c r="H84" i="25" s="1"/>
  <c r="E85" i="25"/>
  <c r="H85" i="25" s="1"/>
  <c r="E27" i="25"/>
  <c r="H27" i="25" s="1"/>
  <c r="E4" i="25"/>
  <c r="H4" i="25" s="1"/>
  <c r="E5" i="25"/>
  <c r="H5" i="25" s="1"/>
  <c r="E6" i="25"/>
  <c r="H6" i="25" s="1"/>
  <c r="E7" i="25"/>
  <c r="H7" i="25" s="1"/>
  <c r="E8" i="25"/>
  <c r="H8" i="25" s="1"/>
  <c r="E9" i="25"/>
  <c r="H9" i="25" s="1"/>
  <c r="E10" i="25"/>
  <c r="H10" i="25" s="1"/>
  <c r="E11" i="25"/>
  <c r="H11" i="25" s="1"/>
  <c r="E12" i="25"/>
  <c r="H12" i="25" s="1"/>
  <c r="E13" i="25"/>
  <c r="H13" i="25" s="1"/>
  <c r="E14" i="25"/>
  <c r="H14" i="25" s="1"/>
  <c r="E15" i="25"/>
  <c r="H15" i="25" s="1"/>
  <c r="E16" i="25"/>
  <c r="H16" i="25" s="1"/>
  <c r="E17" i="25"/>
  <c r="H17" i="25" s="1"/>
  <c r="E18" i="25"/>
  <c r="H18" i="25" s="1"/>
  <c r="E19" i="25"/>
  <c r="H19" i="25" s="1"/>
  <c r="E20" i="25"/>
  <c r="H20" i="25" s="1"/>
  <c r="E21" i="25"/>
  <c r="H21" i="25" s="1"/>
  <c r="E22" i="25"/>
  <c r="H22" i="25" s="1"/>
  <c r="E23" i="25"/>
  <c r="H23" i="25" s="1"/>
  <c r="E24" i="25"/>
  <c r="H24" i="25" s="1"/>
  <c r="E25" i="25"/>
  <c r="H25" i="25" s="1"/>
  <c r="E26" i="25"/>
  <c r="H26" i="25" s="1"/>
  <c r="E3" i="25"/>
  <c r="H3" i="25" s="1"/>
  <c r="G148" i="25"/>
  <c r="G126" i="25"/>
  <c r="G145" i="25"/>
  <c r="G140" i="25"/>
  <c r="G135" i="25"/>
  <c r="G130" i="25"/>
  <c r="G124" i="25"/>
  <c r="G119" i="25"/>
  <c r="E119" i="25" s="1"/>
  <c r="H119" i="25" s="1"/>
  <c r="G113" i="25"/>
  <c r="G107" i="25"/>
  <c r="G53" i="25"/>
  <c r="G30" i="25"/>
  <c r="G28" i="25"/>
  <c r="O83" i="31" l="1"/>
  <c r="O111" i="31"/>
  <c r="E128" i="25"/>
  <c r="H128" i="25" s="1"/>
  <c r="E133" i="25"/>
  <c r="H133" i="25" s="1"/>
  <c r="E112" i="25"/>
  <c r="H112" i="25" s="1"/>
  <c r="E113" i="25"/>
  <c r="H113" i="25" s="1"/>
  <c r="E28" i="25"/>
  <c r="H28" i="25" s="1"/>
  <c r="E118" i="25"/>
  <c r="H118" i="25" s="1"/>
  <c r="E32" i="25"/>
  <c r="H32" i="25" s="1"/>
  <c r="E34" i="25"/>
  <c r="H34" i="25" s="1"/>
  <c r="E53" i="25"/>
  <c r="H53" i="25" s="1"/>
  <c r="E124" i="25"/>
  <c r="H124" i="25" s="1"/>
  <c r="H105" i="25"/>
  <c r="E106" i="25"/>
  <c r="H106" i="25" s="1"/>
  <c r="E129" i="25"/>
  <c r="H129" i="25" s="1"/>
  <c r="E111" i="25"/>
  <c r="H111" i="25" s="1"/>
  <c r="E134" i="25"/>
  <c r="H134" i="25" s="1"/>
  <c r="E117" i="25"/>
  <c r="H117" i="25" s="1"/>
  <c r="E30" i="25"/>
  <c r="H30" i="25" s="1"/>
  <c r="E122" i="25"/>
  <c r="H122" i="25" s="1"/>
  <c r="E123" i="25"/>
  <c r="H123" i="25" s="1"/>
  <c r="E107" i="25"/>
  <c r="H107" i="25" s="1"/>
  <c r="E130" i="25"/>
  <c r="H130" i="25" s="1"/>
  <c r="E148" i="25"/>
  <c r="H148" i="25" s="1"/>
  <c r="E149" i="25"/>
  <c r="H149" i="25" s="1"/>
  <c r="E135" i="25"/>
  <c r="H135" i="25" s="1"/>
  <c r="E138" i="25"/>
  <c r="H138" i="25" s="1"/>
  <c r="E139" i="25"/>
  <c r="H139" i="25" s="1"/>
  <c r="E140" i="25"/>
  <c r="H140" i="25" s="1"/>
  <c r="E143" i="25"/>
  <c r="H143" i="25" s="1"/>
  <c r="E144" i="25"/>
  <c r="H144" i="25" s="1"/>
  <c r="E145" i="25"/>
  <c r="H145" i="25" s="1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AJ51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AJ52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AJ53" i="18"/>
  <c r="G53" i="18"/>
  <c r="G52" i="18"/>
  <c r="G51" i="18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G49" i="17"/>
  <c r="G50" i="17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G50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G49" i="1"/>
  <c r="G51" i="1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G48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G34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G8" i="18"/>
  <c r="G109" i="1"/>
  <c r="P111" i="31" l="1"/>
  <c r="P83" i="31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G53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H52" i="17"/>
  <c r="AI52" i="17"/>
  <c r="AJ52" i="17"/>
  <c r="G52" i="17"/>
  <c r="AJ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G51" i="17"/>
  <c r="Q83" i="31" l="1"/>
  <c r="Q111" i="31"/>
  <c r="R111" i="31" l="1"/>
  <c r="R83" i="31"/>
  <c r="S83" i="31" l="1"/>
  <c r="S111" i="31"/>
  <c r="G146" i="1"/>
  <c r="G145" i="1"/>
  <c r="G144" i="1"/>
  <c r="G141" i="1"/>
  <c r="G140" i="1"/>
  <c r="G139" i="1"/>
  <c r="G136" i="1"/>
  <c r="G135" i="1"/>
  <c r="G134" i="1"/>
  <c r="G131" i="1"/>
  <c r="G130" i="1"/>
  <c r="G129" i="1"/>
  <c r="G126" i="1"/>
  <c r="G125" i="1"/>
  <c r="G124" i="1"/>
  <c r="G123" i="1"/>
  <c r="G120" i="1"/>
  <c r="G119" i="1"/>
  <c r="G115" i="1"/>
  <c r="G114" i="1"/>
  <c r="G113" i="1"/>
  <c r="G112" i="1"/>
  <c r="G108" i="1"/>
  <c r="G106" i="1"/>
  <c r="G107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G53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G52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G33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J31" i="17"/>
  <c r="G31" i="17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G33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G31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G55" i="1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G55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G56" i="17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G56" i="1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G34" i="17"/>
  <c r="AJ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G34" i="1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G27" i="17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G27" i="1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G45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AI44" i="17"/>
  <c r="AJ44" i="17"/>
  <c r="G44" i="17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G45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G44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G43" i="1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G43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G42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AJ41" i="17"/>
  <c r="G41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G40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G39" i="17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G42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G41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G40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G39" i="1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G37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G32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G30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J29" i="17"/>
  <c r="G29" i="17"/>
  <c r="AJ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G37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G32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G30" i="1"/>
  <c r="AJ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G29" i="1"/>
  <c r="T111" i="31" l="1"/>
  <c r="U111" i="31" l="1"/>
  <c r="V111" i="31" l="1"/>
  <c r="W111" i="31" l="1"/>
</calcChain>
</file>

<file path=xl/sharedStrings.xml><?xml version="1.0" encoding="utf-8"?>
<sst xmlns="http://schemas.openxmlformats.org/spreadsheetml/2006/main" count="5417" uniqueCount="572">
  <si>
    <t>Extracción de carbón</t>
  </si>
  <si>
    <t>EXTCAR</t>
  </si>
  <si>
    <t>Extracción de petróleo</t>
  </si>
  <si>
    <t>EXTPET</t>
  </si>
  <si>
    <t>Importación de petróleo</t>
  </si>
  <si>
    <t>IMPPET</t>
  </si>
  <si>
    <t>Extracción de gas natural</t>
  </si>
  <si>
    <t>EXTGAS</t>
  </si>
  <si>
    <t>Importación de gas natural</t>
  </si>
  <si>
    <t>IMPGAS</t>
  </si>
  <si>
    <t>Producción de bagazo</t>
  </si>
  <si>
    <t>EXTBAG</t>
  </si>
  <si>
    <t>Producción de caña de azúcar (para bioetanol)</t>
  </si>
  <si>
    <t>EXTCAN</t>
  </si>
  <si>
    <t>Producción de aceite de palma (para biodiesel)</t>
  </si>
  <si>
    <t>EXTACE</t>
  </si>
  <si>
    <t>Producción de leña</t>
  </si>
  <si>
    <t>EXTLEN</t>
  </si>
  <si>
    <t>Producción de otros residuos agrícolas y forestales</t>
  </si>
  <si>
    <t>EXTRAF</t>
  </si>
  <si>
    <t>Producción de residuos sólidos</t>
  </si>
  <si>
    <t>EXTRES</t>
  </si>
  <si>
    <t>Recursos geotérmicos</t>
  </si>
  <si>
    <t>EXTGEO</t>
  </si>
  <si>
    <t>Recursos nucleares</t>
  </si>
  <si>
    <t>EXTNUC</t>
  </si>
  <si>
    <t>EXTSOL</t>
  </si>
  <si>
    <t>Importación GLP</t>
  </si>
  <si>
    <t>IMPGLP</t>
  </si>
  <si>
    <t>Importación de diesel</t>
  </si>
  <si>
    <t>IMPDIE</t>
  </si>
  <si>
    <t>Importación de gasolina</t>
  </si>
  <si>
    <t>IMPGAL</t>
  </si>
  <si>
    <t>Importación de keroseno y jet fuel</t>
  </si>
  <si>
    <t>IMPJET</t>
  </si>
  <si>
    <t>Importación de Fuel Oil</t>
  </si>
  <si>
    <t>IMPFOI</t>
  </si>
  <si>
    <t>Térmica a carbón</t>
  </si>
  <si>
    <t>TERCAR</t>
  </si>
  <si>
    <t>Térmica a carbón + CCS</t>
  </si>
  <si>
    <t>TCACCS</t>
  </si>
  <si>
    <t xml:space="preserve">Térmica a gas natural </t>
  </si>
  <si>
    <t>TERGAS</t>
  </si>
  <si>
    <t>Térmica a gas natural + CCS</t>
  </si>
  <si>
    <t>TGACCS</t>
  </si>
  <si>
    <t>Térmica a biomasa (leña)</t>
  </si>
  <si>
    <t>TERLEN</t>
  </si>
  <si>
    <t>Térmica a biomasa (leña) + CCS</t>
  </si>
  <si>
    <t>TLECCS</t>
  </si>
  <si>
    <t>Térmica a biomasa (residuos)</t>
  </si>
  <si>
    <t>TERRAF</t>
  </si>
  <si>
    <t>Térmica a biomasa (residuos) + CCS</t>
  </si>
  <si>
    <t>TAFCCS</t>
  </si>
  <si>
    <t>Planta de biogas (electricidad)</t>
  </si>
  <si>
    <t>BIOGAS</t>
  </si>
  <si>
    <t>Refinería</t>
  </si>
  <si>
    <t>REFINE</t>
  </si>
  <si>
    <t>Planta de GLP</t>
  </si>
  <si>
    <t>PLAGLP</t>
  </si>
  <si>
    <t>Destilería</t>
  </si>
  <si>
    <t>DESTIL</t>
  </si>
  <si>
    <t>Planta de biodiesel</t>
  </si>
  <si>
    <t>PLBDIE</t>
  </si>
  <si>
    <t>Hidroeléctrica de embalse</t>
  </si>
  <si>
    <t>HIDEMB</t>
  </si>
  <si>
    <t>Hidroelétrica de filo de agua</t>
  </si>
  <si>
    <t>HIDFIL</t>
  </si>
  <si>
    <t>Planta nuclear</t>
  </si>
  <si>
    <t>PLNUCL</t>
  </si>
  <si>
    <t>Planta fotovoltaica</t>
  </si>
  <si>
    <t>PFOTOV</t>
  </si>
  <si>
    <t>Planta fotovoltaica + batería</t>
  </si>
  <si>
    <t>PFOTBA</t>
  </si>
  <si>
    <t>Planta CSP + batería</t>
  </si>
  <si>
    <t>PCSPBA</t>
  </si>
  <si>
    <t>Planta eólica onshore</t>
  </si>
  <si>
    <t>PEOLON</t>
  </si>
  <si>
    <t>Planta eólica onshore + batería</t>
  </si>
  <si>
    <t>PEONBA</t>
  </si>
  <si>
    <t>Planta eólica offshore</t>
  </si>
  <si>
    <t>PEOLOF</t>
  </si>
  <si>
    <t>Planta eólica offshore + batería</t>
  </si>
  <si>
    <t>PEOFBA</t>
  </si>
  <si>
    <t>Pumped Hydro Storage PHS</t>
  </si>
  <si>
    <t>PLAPHS</t>
  </si>
  <si>
    <t>Reformador de metano</t>
  </si>
  <si>
    <t>REFMET</t>
  </si>
  <si>
    <t>Reformador de metano + CCS</t>
  </si>
  <si>
    <t>METCCS</t>
  </si>
  <si>
    <t>Electrolizador</t>
  </si>
  <si>
    <t>ELECTR</t>
  </si>
  <si>
    <t>Microred</t>
  </si>
  <si>
    <t>MICRED</t>
  </si>
  <si>
    <t>Solución fotovoltaica individual</t>
  </si>
  <si>
    <t>SFOTIN</t>
  </si>
  <si>
    <t>Planta a diesel pequeña</t>
  </si>
  <si>
    <t>PLDIEP</t>
  </si>
  <si>
    <t>Tecnología de transmisión (SIN)</t>
  </si>
  <si>
    <t>TECTRA</t>
  </si>
  <si>
    <t>Tecnología de distribución</t>
  </si>
  <si>
    <t>TECDIS</t>
  </si>
  <si>
    <t>TALBAG</t>
  </si>
  <si>
    <t>TALCAR</t>
  </si>
  <si>
    <t>TALGAS</t>
  </si>
  <si>
    <t>TALHID</t>
  </si>
  <si>
    <t>Tecnología Minerales NM - Carbón</t>
  </si>
  <si>
    <t>TMICAR</t>
  </si>
  <si>
    <t>Tecnología Minerales NM - Gas Natural</t>
  </si>
  <si>
    <t>TMIGAS</t>
  </si>
  <si>
    <t xml:space="preserve"> Tecnología Minerales NM -Hidrógeno</t>
  </si>
  <si>
    <t>TMIHID</t>
  </si>
  <si>
    <t>Tecnología Coquización Refinería - Gas Natural</t>
  </si>
  <si>
    <t>TREGAS</t>
  </si>
  <si>
    <t>Tecnología Coquización Refinería - Hidrógeno</t>
  </si>
  <si>
    <t>TREHID</t>
  </si>
  <si>
    <t>Tecnología Papel y cartón - Carbón</t>
  </si>
  <si>
    <t>TPCCAR</t>
  </si>
  <si>
    <t>Tecnología Papel y cartón - Gas Natural</t>
  </si>
  <si>
    <t>TPCGAS</t>
  </si>
  <si>
    <t>Tecnología Papel y cartón - Electricidad</t>
  </si>
  <si>
    <t>TPCELE</t>
  </si>
  <si>
    <t>Tecnología Papel y cartón - Hidrógeno</t>
  </si>
  <si>
    <t>TPCHID</t>
  </si>
  <si>
    <t>Tecnología Metalúrgicos básicos - Gas Natural</t>
  </si>
  <si>
    <t>TMBGAS</t>
  </si>
  <si>
    <t>Tecnología Metalúrgicos básicos - Hidrógeno</t>
  </si>
  <si>
    <t>TMBHID</t>
  </si>
  <si>
    <t>Tecnología Productos Químicos - Bagazo</t>
  </si>
  <si>
    <t>TPQBAG</t>
  </si>
  <si>
    <t>Tecnología Productos Químicos - Carbón</t>
  </si>
  <si>
    <t>TPQCAR</t>
  </si>
  <si>
    <t>Tecnología Productos Químicos - Gas Natural</t>
  </si>
  <si>
    <t>TPQGAS</t>
  </si>
  <si>
    <t>Tecnología Productos Químicos - Electricidad</t>
  </si>
  <si>
    <t>TPQELE</t>
  </si>
  <si>
    <t>Tecnología Productos Químicos - Hidrógeno</t>
  </si>
  <si>
    <t>TPQHID</t>
  </si>
  <si>
    <t>Tecnología Otros sectores - Carbón</t>
  </si>
  <si>
    <t>TOSCAR</t>
  </si>
  <si>
    <t>Tecnología Otros sectores - Gas Natural</t>
  </si>
  <si>
    <t>TOSGAS</t>
  </si>
  <si>
    <t>Tecnología Otros sectores - Electricidad</t>
  </si>
  <si>
    <t>TOSELE</t>
  </si>
  <si>
    <t>Tecnología Otros sectores - Hidrógeno</t>
  </si>
  <si>
    <t>TOSHID</t>
  </si>
  <si>
    <t>Estufa a leña</t>
  </si>
  <si>
    <t>ESTLEN</t>
  </si>
  <si>
    <t>Estufa con gas natural</t>
  </si>
  <si>
    <t>ESTGAS</t>
  </si>
  <si>
    <t>Estufa eléctrica</t>
  </si>
  <si>
    <t>ESTELE</t>
  </si>
  <si>
    <t>Estufa GLP</t>
  </si>
  <si>
    <t>ESTGLP</t>
  </si>
  <si>
    <t>Neveras de baja eficiencia</t>
  </si>
  <si>
    <t>REFRIB</t>
  </si>
  <si>
    <t>Neveras de alta eficiencia</t>
  </si>
  <si>
    <t>REFRIA</t>
  </si>
  <si>
    <t>Iluminación de baja eficiencia</t>
  </si>
  <si>
    <t>ILUMIB</t>
  </si>
  <si>
    <t>Iluminación de alta eficiencia</t>
  </si>
  <si>
    <t>ILUMIA</t>
  </si>
  <si>
    <t>Aire acondicionado de baja eficiencia</t>
  </si>
  <si>
    <t>AIRACB</t>
  </si>
  <si>
    <t>Aire acondicionado de alta eficiencia</t>
  </si>
  <si>
    <t>AIRACA</t>
  </si>
  <si>
    <t>Calentador de agua con gas natural</t>
  </si>
  <si>
    <t>CALGAS</t>
  </si>
  <si>
    <t>Calentador de agua eléctrico</t>
  </si>
  <si>
    <t>CALELE</t>
  </si>
  <si>
    <t>TV de baja eficiencia</t>
  </si>
  <si>
    <t>TVBAJA</t>
  </si>
  <si>
    <t>TV de alta eficiencia</t>
  </si>
  <si>
    <t>TVALTA</t>
  </si>
  <si>
    <t>Lavadora de baja eficiencia</t>
  </si>
  <si>
    <t>LAVADB</t>
  </si>
  <si>
    <t>Lavadora de alta eficiencia</t>
  </si>
  <si>
    <t>LAVADA</t>
  </si>
  <si>
    <t>Ventilador de baja eficiencia</t>
  </si>
  <si>
    <t>VENTILB</t>
  </si>
  <si>
    <t>Ventilador de alta eficiencia</t>
  </si>
  <si>
    <t>VENTILA</t>
  </si>
  <si>
    <t>OTROSB</t>
  </si>
  <si>
    <t>BUSDIE</t>
  </si>
  <si>
    <t>BUSELE</t>
  </si>
  <si>
    <t>BUSGAS</t>
  </si>
  <si>
    <t>BUSHID</t>
  </si>
  <si>
    <t>Avión a jet fuel</t>
  </si>
  <si>
    <t>AVIDIE</t>
  </si>
  <si>
    <t>Barco a diesel</t>
  </si>
  <si>
    <t>BARDIE</t>
  </si>
  <si>
    <t>Metro eléctrico</t>
  </si>
  <si>
    <t>METROE</t>
  </si>
  <si>
    <t>Tecnología con gas natural</t>
  </si>
  <si>
    <t>TECGAS</t>
  </si>
  <si>
    <t>Tecnología con leña</t>
  </si>
  <si>
    <t>TECLEN</t>
  </si>
  <si>
    <t>Tecnología con diesel</t>
  </si>
  <si>
    <t>TECDIE</t>
  </si>
  <si>
    <t>Tecnología con electricidad</t>
  </si>
  <si>
    <t>TECELE</t>
  </si>
  <si>
    <t>Tecnología con Fuel Oil</t>
  </si>
  <si>
    <t>TECFUE</t>
  </si>
  <si>
    <t>Tecnología con gasolina</t>
  </si>
  <si>
    <t>TECGAL</t>
  </si>
  <si>
    <t xml:space="preserve">Tecnología </t>
  </si>
  <si>
    <t>Codificación</t>
  </si>
  <si>
    <t>TALELE</t>
  </si>
  <si>
    <t>Fuentes de energía primaria</t>
  </si>
  <si>
    <t>Importaciones de energía</t>
  </si>
  <si>
    <t>Generación de energía eléctrica (SIN)</t>
  </si>
  <si>
    <t>Otras tecnologías de conversión</t>
  </si>
  <si>
    <t>Generación ZNI</t>
  </si>
  <si>
    <t>Transmisión y distribución</t>
  </si>
  <si>
    <t>Tecnología Alimentos y bebidas - Bagazo</t>
  </si>
  <si>
    <t>Tecnología Alimentos y bebidas - Carbón</t>
  </si>
  <si>
    <t>Tecnología Alimentos y bebidas - Gas Natural</t>
  </si>
  <si>
    <t>Tecnología Alimentos y bebidas - Electricidad</t>
  </si>
  <si>
    <t>Tecnología Alimentos y bebidas- Hidrógeno</t>
  </si>
  <si>
    <t>Demanda Alimentos y bebidas</t>
  </si>
  <si>
    <t>Demanda Minerales NM</t>
  </si>
  <si>
    <t>Demanda Coquización y Refinería</t>
  </si>
  <si>
    <t>Demanda Papel y cartón</t>
  </si>
  <si>
    <t>Demanda Metalúrgicos básicos</t>
  </si>
  <si>
    <t>Demanda productos químicos</t>
  </si>
  <si>
    <t>Demanda otros sectores</t>
  </si>
  <si>
    <t>Demanda cocción</t>
  </si>
  <si>
    <t>Demanda neveras</t>
  </si>
  <si>
    <t>Demanda iluminación</t>
  </si>
  <si>
    <t>Demanda aire acondicionado</t>
  </si>
  <si>
    <t>Demanda calentador de agua</t>
  </si>
  <si>
    <t>Demanda TV</t>
  </si>
  <si>
    <t>Demanda Lavadora</t>
  </si>
  <si>
    <t>Demanda Ventilador</t>
  </si>
  <si>
    <t>Demanda otros electrónicos</t>
  </si>
  <si>
    <t>Demanda transporte carretero privado</t>
  </si>
  <si>
    <t>Demanda transporte carretero público</t>
  </si>
  <si>
    <t>Demanda transporte aéreo</t>
  </si>
  <si>
    <t>Demanda transporte marítimo</t>
  </si>
  <si>
    <t>Demanda transporte ferreoviario</t>
  </si>
  <si>
    <t>Unidad</t>
  </si>
  <si>
    <t>Fuente</t>
  </si>
  <si>
    <t>Planta geotérmica</t>
  </si>
  <si>
    <t>PLAGEO</t>
  </si>
  <si>
    <t>GW</t>
  </si>
  <si>
    <t>XM,2022 | SIEL, 2022</t>
  </si>
  <si>
    <t>Vida operacional (años)</t>
  </si>
  <si>
    <t>Cannone &amp; Allington, 2021</t>
  </si>
  <si>
    <t>de Moura et al., 2018</t>
  </si>
  <si>
    <t>Younis et al., 2020</t>
  </si>
  <si>
    <t>Recursos solares fotovoltaicos</t>
  </si>
  <si>
    <t>Recursos termosolares</t>
  </si>
  <si>
    <t>EXTTSO</t>
  </si>
  <si>
    <t>Recursos eólicos onshore</t>
  </si>
  <si>
    <t>Recursos eólicos offshore</t>
  </si>
  <si>
    <t>EXTEOF</t>
  </si>
  <si>
    <t>EXTEON</t>
  </si>
  <si>
    <t>Recursos hídricos - embalse</t>
  </si>
  <si>
    <t>Recursos hídricos - filo de agua</t>
  </si>
  <si>
    <t>EXTHIE</t>
  </si>
  <si>
    <t>EXTHIF</t>
  </si>
  <si>
    <t>Categoría</t>
  </si>
  <si>
    <t>PJ</t>
  </si>
  <si>
    <t>Mton</t>
  </si>
  <si>
    <t>Reservas</t>
  </si>
  <si>
    <t>MME, 2021</t>
  </si>
  <si>
    <t>MBls</t>
  </si>
  <si>
    <t>Gpc</t>
  </si>
  <si>
    <t>ANH, 2021</t>
  </si>
  <si>
    <t>Mton/año</t>
  </si>
  <si>
    <t>MBls/año</t>
  </si>
  <si>
    <t>Gpc/año</t>
  </si>
  <si>
    <t>Mbls/año</t>
  </si>
  <si>
    <t>UPME, 2021</t>
  </si>
  <si>
    <t>BECO</t>
  </si>
  <si>
    <t>Millón barriles Bioetanol</t>
  </si>
  <si>
    <t>Millón barriles biodiésel</t>
  </si>
  <si>
    <t>Millón barriles de diésel</t>
  </si>
  <si>
    <t>Millón barriles de gasolina</t>
  </si>
  <si>
    <t>UPME, 2019</t>
  </si>
  <si>
    <t>Eficiencia</t>
  </si>
  <si>
    <t>Automóvil Gasolina</t>
  </si>
  <si>
    <t>Automóvil Diésel</t>
  </si>
  <si>
    <t>Automóvil GNV</t>
  </si>
  <si>
    <t>Automóvil Eléctrico</t>
  </si>
  <si>
    <t>Automóvil Híbrido</t>
  </si>
  <si>
    <t>Camioneta Gasolina</t>
  </si>
  <si>
    <t>Camioneta Diésel</t>
  </si>
  <si>
    <t>Camioneta GNV</t>
  </si>
  <si>
    <t>Camioneta Eléctrico</t>
  </si>
  <si>
    <t>Camioneta Híbrido</t>
  </si>
  <si>
    <t>Camioneta Hidrógeno</t>
  </si>
  <si>
    <t>Automóvil Hidrógeno</t>
  </si>
  <si>
    <t>Motocicleta Gasolina</t>
  </si>
  <si>
    <t>Motocicleta Diésel</t>
  </si>
  <si>
    <t>Motocicleta GNV</t>
  </si>
  <si>
    <t>Motocicleta Eléctrica</t>
  </si>
  <si>
    <t>Motocicleta Hidrógeno</t>
  </si>
  <si>
    <t>Demanda tranporte carretero privado</t>
  </si>
  <si>
    <t>Taxi Gasolina</t>
  </si>
  <si>
    <t>Taxi Diésel</t>
  </si>
  <si>
    <t>Taxi GNV</t>
  </si>
  <si>
    <t>Taxi Eléctrico</t>
  </si>
  <si>
    <t>Taxi Híbrido</t>
  </si>
  <si>
    <t>Taxi Hidrógeno</t>
  </si>
  <si>
    <t>Microbus Gasolina</t>
  </si>
  <si>
    <t>Microbus Diésel</t>
  </si>
  <si>
    <t>Microbus GNV</t>
  </si>
  <si>
    <t>Microbus Hidrógeno</t>
  </si>
  <si>
    <t>Bus Diésel</t>
  </si>
  <si>
    <t>Bus GNV</t>
  </si>
  <si>
    <t>Bus Hidrógeno</t>
  </si>
  <si>
    <t>Microbus Eléctrico</t>
  </si>
  <si>
    <t>Bus Eléctrico</t>
  </si>
  <si>
    <t>Transporte carretero público</t>
  </si>
  <si>
    <t>Camión Diésel</t>
  </si>
  <si>
    <t>Camión GNV</t>
  </si>
  <si>
    <t>Camión Gasolina</t>
  </si>
  <si>
    <t>Camión Eléctrico</t>
  </si>
  <si>
    <t>Camión Hidrógeno</t>
  </si>
  <si>
    <t>Tractocamión Diésel</t>
  </si>
  <si>
    <t>Tractocamión GNV</t>
  </si>
  <si>
    <t>Tractocamión Gasolina</t>
  </si>
  <si>
    <t>Tractocamión Eléctrico</t>
  </si>
  <si>
    <t>Tractocamión Hidrógeno</t>
  </si>
  <si>
    <t>Transporte carretero de carga</t>
  </si>
  <si>
    <t>AUTOGA</t>
  </si>
  <si>
    <t>AUTODI</t>
  </si>
  <si>
    <t>AUTOGN</t>
  </si>
  <si>
    <t>AUTOEL</t>
  </si>
  <si>
    <t>AUTOHB</t>
  </si>
  <si>
    <t>AUTOHD</t>
  </si>
  <si>
    <t>CAMIGA</t>
  </si>
  <si>
    <t>CAMIDI</t>
  </si>
  <si>
    <t>CAMIGN</t>
  </si>
  <si>
    <t>CAMIEL</t>
  </si>
  <si>
    <t>CAMIHB</t>
  </si>
  <si>
    <t>CAMIHD</t>
  </si>
  <si>
    <t>MOTOGA</t>
  </si>
  <si>
    <t>MOTODI</t>
  </si>
  <si>
    <t>MOTOGN</t>
  </si>
  <si>
    <t>MOTOEL</t>
  </si>
  <si>
    <t>MOTOHD</t>
  </si>
  <si>
    <t>TAXIGA</t>
  </si>
  <si>
    <t>TAXIDI</t>
  </si>
  <si>
    <t>TAXIGN</t>
  </si>
  <si>
    <t>TAXIEL</t>
  </si>
  <si>
    <t>TAXIHB</t>
  </si>
  <si>
    <t>TAXIHD</t>
  </si>
  <si>
    <t>MIBUGA</t>
  </si>
  <si>
    <t>MIBUDI</t>
  </si>
  <si>
    <t>MIBUGN</t>
  </si>
  <si>
    <t>MIBUEL</t>
  </si>
  <si>
    <t>MIBUHD</t>
  </si>
  <si>
    <t>BUSGNV</t>
  </si>
  <si>
    <t>CAONGA</t>
  </si>
  <si>
    <t>CAONDI</t>
  </si>
  <si>
    <t>CAONGN</t>
  </si>
  <si>
    <t>CAONEL</t>
  </si>
  <si>
    <t>CAONHD</t>
  </si>
  <si>
    <t>TRACGA</t>
  </si>
  <si>
    <t>TRACDI</t>
  </si>
  <si>
    <t>TRACGN</t>
  </si>
  <si>
    <t>TRACEL</t>
  </si>
  <si>
    <t>TRACHD</t>
  </si>
  <si>
    <t>Tecnología</t>
  </si>
  <si>
    <t>PEN, 2021</t>
  </si>
  <si>
    <t>Supuesto</t>
  </si>
  <si>
    <t>Bus Gasolina</t>
  </si>
  <si>
    <t>BEU Transporte, 2019</t>
  </si>
  <si>
    <t>Vito, 2020</t>
  </si>
  <si>
    <t>Demanda sector alimentos</t>
  </si>
  <si>
    <t>Demanda sector minerales no metálicos</t>
  </si>
  <si>
    <t>Demanda sector coquización y refinerías</t>
  </si>
  <si>
    <t>Demanda sector papel y cartón</t>
  </si>
  <si>
    <t>Demanda sector metalurgicos básicos</t>
  </si>
  <si>
    <t>Demanda sector productos químicos</t>
  </si>
  <si>
    <t>Demanda sector otras industrias</t>
  </si>
  <si>
    <t>BECO, 2021</t>
  </si>
  <si>
    <t>Demanda refrigeración (neveras)</t>
  </si>
  <si>
    <t>Demanda lavadoras</t>
  </si>
  <si>
    <t>Demanda ventiladores</t>
  </si>
  <si>
    <t>Otros electrónicos</t>
  </si>
  <si>
    <t>Demanda Alimentos</t>
  </si>
  <si>
    <t>BEU Industria, 2019</t>
  </si>
  <si>
    <t>Demanda transporte carretero carga</t>
  </si>
  <si>
    <t>Demanda transporte aereo</t>
  </si>
  <si>
    <t>Demanda transporte maritimo</t>
  </si>
  <si>
    <t>Demanda transporte ferroviario</t>
  </si>
  <si>
    <t>Superintendencia de Servicios Públicos Domiciliarios, 2021</t>
  </si>
  <si>
    <t>USD/PJ</t>
  </si>
  <si>
    <t>USD/kW</t>
  </si>
  <si>
    <t>EIA, 2020</t>
  </si>
  <si>
    <t>USD/Kw-año</t>
  </si>
  <si>
    <t>USD/MWh</t>
  </si>
  <si>
    <t>Tsiropoulos et al., 2018</t>
  </si>
  <si>
    <t>Joint Research Centre &amp; Institute for Energy and Transport, 2014</t>
  </si>
  <si>
    <t>De Moura, 2018</t>
  </si>
  <si>
    <t>Cannone et al., 2021</t>
  </si>
  <si>
    <t>USD/GJ</t>
  </si>
  <si>
    <t>Factor de capacidad</t>
  </si>
  <si>
    <t>De Moura et al., 2018</t>
  </si>
  <si>
    <t>PJ/año</t>
  </si>
  <si>
    <t>Portafolio, 2021</t>
  </si>
  <si>
    <t>Potencial</t>
  </si>
  <si>
    <t>USD/ton</t>
  </si>
  <si>
    <t>UPME, 2020</t>
  </si>
  <si>
    <t>USD/barril</t>
  </si>
  <si>
    <t>ACP, 2018</t>
  </si>
  <si>
    <t>Estimado a partir de EIA, 2020</t>
  </si>
  <si>
    <t>De Vos et al., 2018</t>
  </si>
  <si>
    <t>De Vos et al., 2019</t>
  </si>
  <si>
    <t>De Vos et al., 2020</t>
  </si>
  <si>
    <t>De Vos et al., 2021</t>
  </si>
  <si>
    <t>De Vos et al., 2022</t>
  </si>
  <si>
    <t>De Vos et al., 2023</t>
  </si>
  <si>
    <t>Element Energy and Jacobs, 2018</t>
  </si>
  <si>
    <t>USD/km*pax</t>
  </si>
  <si>
    <t>USD/km*ton</t>
  </si>
  <si>
    <t>Según escenario</t>
  </si>
  <si>
    <t>MME,2021</t>
  </si>
  <si>
    <t>IEA, 2013</t>
  </si>
  <si>
    <t>-</t>
  </si>
  <si>
    <t>USD/(B/D)</t>
  </si>
  <si>
    <t>EIA, 2013</t>
  </si>
  <si>
    <t>BEU Residencial, 2018</t>
  </si>
  <si>
    <t>MW</t>
  </si>
  <si>
    <t>Mercado colombiano, 2022</t>
  </si>
  <si>
    <t>kJ/km/pax</t>
  </si>
  <si>
    <t>Demanda transporte marítimo y fluvial</t>
  </si>
  <si>
    <t>Calculado</t>
  </si>
  <si>
    <t>Planta de regasificación</t>
  </si>
  <si>
    <t>PLAREG</t>
  </si>
  <si>
    <t>INERCO, 2018</t>
  </si>
  <si>
    <t>Producción de residuos sólidos urbanos</t>
  </si>
  <si>
    <t>Jones et al, 2009</t>
  </si>
  <si>
    <t>Colombia explora sus reservas de uranio | Negocios | Portafolio</t>
  </si>
  <si>
    <t>ton</t>
  </si>
  <si>
    <t>USD/kg</t>
  </si>
  <si>
    <t>Carlson et al., 2020</t>
  </si>
  <si>
    <t>NREL, 2009</t>
  </si>
  <si>
    <t>Lap et al., 2019</t>
  </si>
  <si>
    <t>Lap eta al., 2019</t>
  </si>
  <si>
    <t>Condición del estudio</t>
  </si>
  <si>
    <t>Estimado a partir de Younis et al., 2020</t>
  </si>
  <si>
    <t>Supuesto a partir de Cannone et al., 2021</t>
  </si>
  <si>
    <t>Godinez et al, 2020</t>
  </si>
  <si>
    <t>Eficiencia Tecnología</t>
  </si>
  <si>
    <t>Subcategoría</t>
  </si>
  <si>
    <t>Factor emisión energético entrada (ton CO2/PJ)</t>
  </si>
  <si>
    <t>Factor emisión tecnología</t>
  </si>
  <si>
    <t>ton CO2/PJ</t>
  </si>
  <si>
    <t>ton CO2/km*pax</t>
  </si>
  <si>
    <t>ton CO2/km*ton</t>
  </si>
  <si>
    <t>Factor CCS (ton CO2/PJ)</t>
  </si>
  <si>
    <t>Límite CCS (Mton CO2)</t>
  </si>
  <si>
    <t>Yañez et al., 2020</t>
  </si>
  <si>
    <t>SIMCO, 2022</t>
  </si>
  <si>
    <t>kton/año</t>
  </si>
  <si>
    <t>Hoja de ruta del hidrogeno, 2021</t>
  </si>
  <si>
    <t>SPE LNG, 2022</t>
  </si>
  <si>
    <t>IPSE, 2022</t>
  </si>
  <si>
    <t>Calculado a partir de BEU Residencial 2018</t>
  </si>
  <si>
    <t>Estimado a partir de BECO, 2021</t>
  </si>
  <si>
    <t>Gkm*pax</t>
  </si>
  <si>
    <t>Gkm*ton</t>
  </si>
  <si>
    <t>Calculado a partir de MinTransporte, 2021</t>
  </si>
  <si>
    <t>Calculado a partir de MinTransporte, 2022</t>
  </si>
  <si>
    <t>Calculado a partir de MinTransporte, 2023</t>
  </si>
  <si>
    <t>Calculado a partir de MinTransporte, 2024</t>
  </si>
  <si>
    <t>Calculado a partir de MinTransporte, 2025</t>
  </si>
  <si>
    <t>Calculado a partir de MinTransporte, 2026</t>
  </si>
  <si>
    <t>Calculado a partir de MinTransporte, 2027</t>
  </si>
  <si>
    <t>Calculado a partir de MinTransporte, 2028</t>
  </si>
  <si>
    <t>Calculado a partir de MinTransporte, 2029</t>
  </si>
  <si>
    <t>Calculado a partir de MinTransporte, 2030</t>
  </si>
  <si>
    <t>Calculado a partir de MinTransporte, 2031</t>
  </si>
  <si>
    <t>Calculado a partir de MinTransporte, 2032</t>
  </si>
  <si>
    <t>Calculado a partir de MinTransporte, 2033</t>
  </si>
  <si>
    <t>Calculado a partir de MinTransporte, 2034</t>
  </si>
  <si>
    <t>Calculado a partir de MinTransporte, 2035</t>
  </si>
  <si>
    <t>Calculado a partir de MinTransporte, 2036</t>
  </si>
  <si>
    <t>Calculado a partir de MinTransporte, 2037</t>
  </si>
  <si>
    <t>Calculado a partir de MinTransporte, 2038</t>
  </si>
  <si>
    <t>Calculado a partir de MinTransporte, 2039</t>
  </si>
  <si>
    <t>Calculado a partir de MinTransporte, 2040</t>
  </si>
  <si>
    <t>Calculado a partir de MinTransporte, 2041</t>
  </si>
  <si>
    <t>Calculado a partir de MinTransporte, 2042</t>
  </si>
  <si>
    <t>Calculado a partir de MinTransporte, 2043</t>
  </si>
  <si>
    <t>Calculado a partir de MinTransporte, 2044</t>
  </si>
  <si>
    <t>Calculado a partir de MinTransporte, 2045</t>
  </si>
  <si>
    <t>Calculado a partir de MinTransporte, 2046</t>
  </si>
  <si>
    <t>Calculado a partir de MinTransporte, 2047</t>
  </si>
  <si>
    <t>Calculado a partir de MinTransporte, 2048</t>
  </si>
  <si>
    <t>Calculado a partir de MinTransporte, 2049</t>
  </si>
  <si>
    <t>Calculado a partir de MinTransporte, 2050</t>
  </si>
  <si>
    <t>Calculado a partir de MinTransporte, 2051</t>
  </si>
  <si>
    <t>Calculado a partir de MinTransporte, 2052</t>
  </si>
  <si>
    <t>Calculado a partir de MinTransporte, 2053</t>
  </si>
  <si>
    <t>Calculado a partir de MinTransporte, 2054</t>
  </si>
  <si>
    <t>Calculado a partir de MinTransporte, 2055</t>
  </si>
  <si>
    <t>Calculado a partir de MinTransporte, 2056</t>
  </si>
  <si>
    <t>Calculado a partir de MinTransporte, 2057</t>
  </si>
  <si>
    <t>Calculado a partir de MinTransporte, 2058</t>
  </si>
  <si>
    <t>Calculado a partir de MinTransporte, 2059</t>
  </si>
  <si>
    <t>Calculado a partir de MinTransporte, 2060</t>
  </si>
  <si>
    <t>Calculado a partir de MinTransporte, 2061</t>
  </si>
  <si>
    <t>Calculado a partir de MinTransporte, 2062</t>
  </si>
  <si>
    <t>Calculado a partir de MinTransporte, 2063</t>
  </si>
  <si>
    <t>Calculado a partir de MinTransporte, 2064</t>
  </si>
  <si>
    <t>Calculado a partir de MinTransporte, 2065</t>
  </si>
  <si>
    <t>SSP1</t>
  </si>
  <si>
    <t>SSP2</t>
  </si>
  <si>
    <t>SSP3</t>
  </si>
  <si>
    <t>Caso base</t>
  </si>
  <si>
    <t>USD/bl</t>
  </si>
  <si>
    <t>USD/Mbtu</t>
  </si>
  <si>
    <t>Demanda Industria</t>
  </si>
  <si>
    <t>Demanda Residencial</t>
  </si>
  <si>
    <t>Demanda Otros sectores</t>
  </si>
  <si>
    <t>Demanda ZNI</t>
  </si>
  <si>
    <t>DALIME</t>
  </si>
  <si>
    <t>DMINER</t>
  </si>
  <si>
    <t>DREFIN</t>
  </si>
  <si>
    <t>DPAPEL</t>
  </si>
  <si>
    <t>DMETAL</t>
  </si>
  <si>
    <t>DQUIMI</t>
  </si>
  <si>
    <t>DOTIND</t>
  </si>
  <si>
    <t>DEMZNI</t>
  </si>
  <si>
    <t>DCOCCI</t>
  </si>
  <si>
    <t>DREFRI</t>
  </si>
  <si>
    <t>DILUMI</t>
  </si>
  <si>
    <t>DAIREA</t>
  </si>
  <si>
    <t>DCALAG</t>
  </si>
  <si>
    <t>DEMDTV</t>
  </si>
  <si>
    <t>DLAVAD</t>
  </si>
  <si>
    <t>DVENTI</t>
  </si>
  <si>
    <t>DOTELE</t>
  </si>
  <si>
    <t>DTCAPR</t>
  </si>
  <si>
    <t>DTCAPU</t>
  </si>
  <si>
    <t>DTCACR</t>
  </si>
  <si>
    <t>DTAERE</t>
  </si>
  <si>
    <t>DTMARI</t>
  </si>
  <si>
    <t>DTFERR</t>
  </si>
  <si>
    <t>DOTROS</t>
  </si>
  <si>
    <t>Otros</t>
  </si>
  <si>
    <t>Demanda Transporte</t>
  </si>
  <si>
    <t>Demanda</t>
  </si>
  <si>
    <t>VENTIB</t>
  </si>
  <si>
    <t>VENTIA</t>
  </si>
  <si>
    <t>ton CO2/TJ</t>
  </si>
  <si>
    <t>ton CO2/Mkm*pax</t>
  </si>
  <si>
    <t>ton CO2/Mkm*ton</t>
  </si>
  <si>
    <t>Porcentajes en energía</t>
  </si>
  <si>
    <t>Bioetanol-Gasolina</t>
  </si>
  <si>
    <t>Mezcla</t>
  </si>
  <si>
    <t>Energía</t>
  </si>
  <si>
    <t>Factores de emisión</t>
  </si>
  <si>
    <t>Factor combinado</t>
  </si>
  <si>
    <t>Biodiesel-Diesel</t>
  </si>
  <si>
    <t>Factor CCS (ton CO2/TJ)</t>
  </si>
  <si>
    <t>TJ/Mkm-pax</t>
  </si>
  <si>
    <t>Supuesto: 0,04 de gasolina(mezcla) y 0.15 de EDD - esto es cerca de 20/80</t>
  </si>
  <si>
    <t>Supuesto: 0.06 de gasolina (mezcla) y 0.26 de EDD</t>
  </si>
  <si>
    <t>Supuesto: 0.1 de gasolina (mezcla) y 0.4 de EDD</t>
  </si>
  <si>
    <t>IPCC</t>
  </si>
  <si>
    <t>30% de las reservas totales (el resto se exporta</t>
  </si>
  <si>
    <t>Adaptado a partir Godinez et al., 2020</t>
  </si>
  <si>
    <t>Fuente: Vito, 2020</t>
  </si>
  <si>
    <t>ESCENARIO CASO BASE (PJ)</t>
  </si>
  <si>
    <t>ESCENARIO SSP1 (PJ)</t>
  </si>
  <si>
    <t>ESCENARIO SSP2 (PJ)</t>
  </si>
  <si>
    <t>ESCENARIO SSP3 (PJ)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</si>
</sst>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165" formatCode="0.0"/>
    <numFmt numFmtId="167" formatCode="0.000"/>
    <numFmt numFmtId="168" formatCode="0.0000"/>
    <numFmt numFmtId="169" formatCode="0.0000000"/>
  </numFmts>
  <fonts count="6" x14ac:knownFonts="1"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8"/>
      <name val="Segoe UI"/>
      <family val="2"/>
    </font>
    <font>
      <sz val="12"/>
      <color rgb="FF000000"/>
      <name val="Segoe UI"/>
      <family val="2"/>
    </font>
    <font>
      <sz val="11"/>
      <color theme="1"/>
      <name val="Calibri"/>
      <family val="2"/>
    </font>
    <font>
      <u/>
      <sz val="12"/>
      <color theme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1" xfId="0" applyNumberFormat="1" applyBorder="1"/>
    <xf numFmtId="2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5" fillId="0" borderId="1" xfId="1" applyBorder="1"/>
    <xf numFmtId="2" fontId="0" fillId="0" borderId="1" xfId="0" applyNumberFormat="1" applyBorder="1" applyAlignment="1">
      <alignment horizontal="center" vertical="center" wrapText="1"/>
    </xf>
    <xf numFmtId="168" fontId="0" fillId="0" borderId="1" xfId="0" applyNumberFormat="1" applyBorder="1"/>
    <xf numFmtId="167" fontId="0" fillId="0" borderId="1" xfId="0" applyNumberForma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8" fontId="0" fillId="0" borderId="0" xfId="0" applyNumberFormat="1"/>
    <xf numFmtId="2" fontId="0" fillId="0" borderId="0" xfId="0" applyNumberFormat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165" fontId="0" fillId="0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tafolio.co/negocios/colombia-explora-sus-reservas-de-uranio-5032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55"/>
  <sheetViews>
    <sheetView tabSelected="1" zoomScale="70" zoomScaleNormal="70" workbookViewId="0">
      <pane ySplit="1" topLeftCell="A2" activePane="bottomLeft" state="frozen"/>
      <selection activeCell="AP1" sqref="AP1"/>
      <selection pane="bottomLeft" activeCell="AK11" sqref="AK11"/>
    </sheetView>
  </sheetViews>
  <sheetFormatPr baseColWidth="10" defaultRowHeight="17.5" x14ac:dyDescent="0.45"/>
  <cols>
    <col min="2" max="2" width="40.53515625" bestFit="1" customWidth="1"/>
    <col min="6" max="6" width="18.84375" bestFit="1" customWidth="1"/>
    <col min="7" max="36" width="13.3046875" bestFit="1" customWidth="1"/>
  </cols>
  <sheetData>
    <row r="1" spans="1:36" s="1" customFormat="1" ht="35" x14ac:dyDescent="0.45">
      <c r="A1" s="12" t="s">
        <v>260</v>
      </c>
      <c r="B1" s="12" t="s">
        <v>204</v>
      </c>
      <c r="C1" s="12" t="s">
        <v>205</v>
      </c>
      <c r="D1" s="12" t="s">
        <v>239</v>
      </c>
      <c r="E1" s="12">
        <v>2020</v>
      </c>
      <c r="F1" s="12" t="s">
        <v>240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</row>
    <row r="2" spans="1:36" x14ac:dyDescent="0.45">
      <c r="A2" s="34" t="s">
        <v>207</v>
      </c>
      <c r="B2" s="4" t="s">
        <v>0</v>
      </c>
      <c r="C2" s="4" t="s">
        <v>1</v>
      </c>
      <c r="D2" s="4" t="s">
        <v>389</v>
      </c>
      <c r="E2" s="4">
        <v>0</v>
      </c>
      <c r="F2" s="4" t="s">
        <v>366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</row>
    <row r="3" spans="1:36" x14ac:dyDescent="0.45">
      <c r="A3" s="34"/>
      <c r="B3" s="4" t="s">
        <v>2</v>
      </c>
      <c r="C3" s="4" t="s">
        <v>3</v>
      </c>
      <c r="D3" s="4" t="s">
        <v>389</v>
      </c>
      <c r="E3" s="4">
        <v>0</v>
      </c>
      <c r="F3" s="4" t="s">
        <v>366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s="34"/>
      <c r="B4" s="4" t="s">
        <v>6</v>
      </c>
      <c r="C4" s="4" t="s">
        <v>7</v>
      </c>
      <c r="D4" s="4" t="s">
        <v>389</v>
      </c>
      <c r="E4" s="4">
        <v>0</v>
      </c>
      <c r="F4" s="4" t="s">
        <v>366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45">
      <c r="A5" s="34"/>
      <c r="B5" s="4" t="s">
        <v>10</v>
      </c>
      <c r="C5" s="4" t="s">
        <v>11</v>
      </c>
      <c r="D5" s="4" t="s">
        <v>389</v>
      </c>
      <c r="E5" s="4">
        <v>0</v>
      </c>
      <c r="F5" s="4" t="s">
        <v>366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s="34"/>
      <c r="B6" s="4" t="s">
        <v>12</v>
      </c>
      <c r="C6" s="4" t="s">
        <v>13</v>
      </c>
      <c r="D6" s="4" t="s">
        <v>389</v>
      </c>
      <c r="E6" s="4">
        <v>0</v>
      </c>
      <c r="F6" s="4" t="s">
        <v>366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</row>
    <row r="7" spans="1:36" x14ac:dyDescent="0.45">
      <c r="A7" s="34"/>
      <c r="B7" s="4" t="s">
        <v>14</v>
      </c>
      <c r="C7" s="4" t="s">
        <v>15</v>
      </c>
      <c r="D7" s="4" t="s">
        <v>389</v>
      </c>
      <c r="E7" s="4">
        <v>0</v>
      </c>
      <c r="F7" s="4" t="s">
        <v>366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</row>
    <row r="8" spans="1:36" x14ac:dyDescent="0.45">
      <c r="A8" s="34"/>
      <c r="B8" s="4" t="s">
        <v>16</v>
      </c>
      <c r="C8" s="4" t="s">
        <v>17</v>
      </c>
      <c r="D8" s="4" t="s">
        <v>389</v>
      </c>
      <c r="E8" s="4">
        <v>0</v>
      </c>
      <c r="F8" s="4" t="s">
        <v>366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</row>
    <row r="9" spans="1:36" ht="35" x14ac:dyDescent="0.45">
      <c r="A9" s="34"/>
      <c r="B9" s="4" t="s">
        <v>18</v>
      </c>
      <c r="C9" s="4" t="s">
        <v>19</v>
      </c>
      <c r="D9" s="4" t="s">
        <v>389</v>
      </c>
      <c r="E9" s="4">
        <v>0</v>
      </c>
      <c r="F9" s="4" t="s">
        <v>366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</row>
    <row r="10" spans="1:36" x14ac:dyDescent="0.45">
      <c r="A10" s="34"/>
      <c r="B10" s="4" t="s">
        <v>20</v>
      </c>
      <c r="C10" s="4" t="s">
        <v>21</v>
      </c>
      <c r="D10" s="4" t="s">
        <v>389</v>
      </c>
      <c r="E10" s="4">
        <v>0</v>
      </c>
      <c r="F10" s="4" t="s">
        <v>366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</row>
    <row r="11" spans="1:36" x14ac:dyDescent="0.45">
      <c r="A11" s="34"/>
      <c r="B11" s="4" t="s">
        <v>256</v>
      </c>
      <c r="C11" s="4" t="s">
        <v>258</v>
      </c>
      <c r="D11" s="4" t="s">
        <v>389</v>
      </c>
      <c r="E11" s="4">
        <v>0</v>
      </c>
      <c r="F11" s="4" t="s">
        <v>366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</row>
    <row r="12" spans="1:36" x14ac:dyDescent="0.45">
      <c r="A12" s="34"/>
      <c r="B12" s="4" t="s">
        <v>257</v>
      </c>
      <c r="C12" s="4" t="s">
        <v>259</v>
      </c>
      <c r="D12" s="4" t="s">
        <v>389</v>
      </c>
      <c r="E12" s="4">
        <v>0</v>
      </c>
      <c r="F12" s="4" t="s">
        <v>366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</row>
    <row r="13" spans="1:36" x14ac:dyDescent="0.45">
      <c r="A13" s="34"/>
      <c r="B13" s="4" t="s">
        <v>22</v>
      </c>
      <c r="C13" s="4" t="s">
        <v>23</v>
      </c>
      <c r="D13" s="4" t="s">
        <v>389</v>
      </c>
      <c r="E13" s="4">
        <v>0</v>
      </c>
      <c r="F13" s="4" t="s">
        <v>366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</row>
    <row r="14" spans="1:36" x14ac:dyDescent="0.45">
      <c r="A14" s="34"/>
      <c r="B14" s="4" t="s">
        <v>24</v>
      </c>
      <c r="C14" s="4" t="s">
        <v>25</v>
      </c>
      <c r="D14" s="4" t="s">
        <v>389</v>
      </c>
      <c r="E14" s="4">
        <v>0</v>
      </c>
      <c r="F14" s="4" t="s">
        <v>366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</row>
    <row r="15" spans="1:36" x14ac:dyDescent="0.45">
      <c r="A15" s="34"/>
      <c r="B15" s="4" t="s">
        <v>249</v>
      </c>
      <c r="C15" s="4" t="s">
        <v>26</v>
      </c>
      <c r="D15" s="4" t="s">
        <v>389</v>
      </c>
      <c r="E15" s="4">
        <v>0</v>
      </c>
      <c r="F15" s="4" t="s">
        <v>366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</row>
    <row r="16" spans="1:36" x14ac:dyDescent="0.45">
      <c r="A16" s="34"/>
      <c r="B16" s="4" t="s">
        <v>250</v>
      </c>
      <c r="C16" s="4" t="s">
        <v>251</v>
      </c>
      <c r="D16" s="4" t="s">
        <v>389</v>
      </c>
      <c r="E16" s="4">
        <v>0</v>
      </c>
      <c r="F16" s="4" t="s">
        <v>366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</row>
    <row r="17" spans="1:36" x14ac:dyDescent="0.45">
      <c r="A17" s="34"/>
      <c r="B17" s="4" t="s">
        <v>252</v>
      </c>
      <c r="C17" s="4" t="s">
        <v>255</v>
      </c>
      <c r="D17" s="4" t="s">
        <v>389</v>
      </c>
      <c r="E17" s="4">
        <v>0</v>
      </c>
      <c r="F17" s="4" t="s">
        <v>366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</row>
    <row r="18" spans="1:36" x14ac:dyDescent="0.45">
      <c r="A18" s="34"/>
      <c r="B18" s="4" t="s">
        <v>253</v>
      </c>
      <c r="C18" s="4" t="s">
        <v>254</v>
      </c>
      <c r="D18" s="4" t="s">
        <v>389</v>
      </c>
      <c r="E18" s="4">
        <v>0</v>
      </c>
      <c r="F18" s="4" t="s">
        <v>366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</row>
    <row r="19" spans="1:36" x14ac:dyDescent="0.45">
      <c r="A19" s="34" t="s">
        <v>208</v>
      </c>
      <c r="B19" s="4" t="s">
        <v>4</v>
      </c>
      <c r="C19" s="4" t="s">
        <v>5</v>
      </c>
      <c r="D19" s="4" t="s">
        <v>389</v>
      </c>
      <c r="E19" s="4">
        <v>0</v>
      </c>
      <c r="F19" s="4" t="s">
        <v>366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</row>
    <row r="20" spans="1:36" x14ac:dyDescent="0.45">
      <c r="A20" s="34"/>
      <c r="B20" s="4" t="s">
        <v>8</v>
      </c>
      <c r="C20" s="4" t="s">
        <v>9</v>
      </c>
      <c r="D20" s="4" t="s">
        <v>389</v>
      </c>
      <c r="E20" s="4">
        <v>0</v>
      </c>
      <c r="F20" s="4" t="s">
        <v>366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</row>
    <row r="21" spans="1:36" x14ac:dyDescent="0.45">
      <c r="A21" s="34"/>
      <c r="B21" s="4" t="s">
        <v>27</v>
      </c>
      <c r="C21" s="4" t="s">
        <v>28</v>
      </c>
      <c r="D21" s="4" t="s">
        <v>389</v>
      </c>
      <c r="E21" s="4">
        <v>0</v>
      </c>
      <c r="F21" s="4" t="s">
        <v>366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</row>
    <row r="22" spans="1:36" x14ac:dyDescent="0.45">
      <c r="A22" s="34"/>
      <c r="B22" s="4" t="s">
        <v>29</v>
      </c>
      <c r="C22" s="4" t="s">
        <v>30</v>
      </c>
      <c r="D22" s="4" t="s">
        <v>389</v>
      </c>
      <c r="E22" s="4">
        <v>0</v>
      </c>
      <c r="F22" s="4" t="s">
        <v>366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</row>
    <row r="23" spans="1:36" x14ac:dyDescent="0.45">
      <c r="A23" s="34"/>
      <c r="B23" s="4" t="s">
        <v>31</v>
      </c>
      <c r="C23" s="4" t="s">
        <v>32</v>
      </c>
      <c r="D23" s="4" t="s">
        <v>389</v>
      </c>
      <c r="E23" s="4">
        <v>0</v>
      </c>
      <c r="F23" s="4" t="s">
        <v>366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</row>
    <row r="24" spans="1:36" x14ac:dyDescent="0.45">
      <c r="A24" s="34"/>
      <c r="B24" s="4" t="s">
        <v>33</v>
      </c>
      <c r="C24" s="4" t="s">
        <v>34</v>
      </c>
      <c r="D24" s="4" t="s">
        <v>389</v>
      </c>
      <c r="E24" s="4">
        <v>0</v>
      </c>
      <c r="F24" s="4" t="s">
        <v>366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</row>
    <row r="25" spans="1:36" x14ac:dyDescent="0.45">
      <c r="A25" s="34"/>
      <c r="B25" s="4" t="s">
        <v>35</v>
      </c>
      <c r="C25" s="4" t="s">
        <v>36</v>
      </c>
      <c r="D25" s="4" t="s">
        <v>389</v>
      </c>
      <c r="E25" s="4">
        <v>0</v>
      </c>
      <c r="F25" s="4" t="s">
        <v>366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</row>
    <row r="26" spans="1:36" x14ac:dyDescent="0.45">
      <c r="A26" s="34" t="s">
        <v>209</v>
      </c>
      <c r="B26" s="4" t="s">
        <v>37</v>
      </c>
      <c r="C26" s="4" t="s">
        <v>38</v>
      </c>
      <c r="D26" s="4" t="s">
        <v>390</v>
      </c>
      <c r="E26" s="4">
        <v>3676</v>
      </c>
      <c r="F26" s="4" t="s">
        <v>391</v>
      </c>
      <c r="G26" s="32">
        <v>3676</v>
      </c>
      <c r="H26" s="32">
        <v>3676</v>
      </c>
      <c r="I26" s="32">
        <v>3676</v>
      </c>
      <c r="J26" s="32">
        <v>3676</v>
      </c>
      <c r="K26" s="32">
        <v>3676</v>
      </c>
      <c r="L26" s="32">
        <v>3676</v>
      </c>
      <c r="M26" s="32">
        <v>3676</v>
      </c>
      <c r="N26" s="32">
        <v>3676</v>
      </c>
      <c r="O26" s="32">
        <v>3676</v>
      </c>
      <c r="P26" s="32">
        <v>3676</v>
      </c>
      <c r="Q26" s="32">
        <v>3676</v>
      </c>
      <c r="R26" s="32">
        <v>3676</v>
      </c>
      <c r="S26" s="32">
        <v>3676</v>
      </c>
      <c r="T26" s="32">
        <v>3676</v>
      </c>
      <c r="U26" s="32">
        <v>3676</v>
      </c>
      <c r="V26" s="32">
        <v>3676</v>
      </c>
      <c r="W26" s="32">
        <v>3676</v>
      </c>
      <c r="X26" s="32">
        <v>3676</v>
      </c>
      <c r="Y26" s="32">
        <v>3676</v>
      </c>
      <c r="Z26" s="32">
        <v>3676</v>
      </c>
      <c r="AA26" s="32">
        <v>3676</v>
      </c>
      <c r="AB26" s="32">
        <v>3676</v>
      </c>
      <c r="AC26" s="32">
        <v>3676</v>
      </c>
      <c r="AD26" s="32">
        <v>3676</v>
      </c>
      <c r="AE26" s="32">
        <v>3676</v>
      </c>
      <c r="AF26" s="32">
        <v>3676</v>
      </c>
      <c r="AG26" s="32">
        <v>3676</v>
      </c>
      <c r="AH26" s="32">
        <v>3676</v>
      </c>
      <c r="AI26" s="32">
        <v>3676</v>
      </c>
      <c r="AJ26" s="32">
        <v>3676</v>
      </c>
    </row>
    <row r="27" spans="1:36" x14ac:dyDescent="0.45">
      <c r="A27" s="34"/>
      <c r="B27" s="4" t="s">
        <v>39</v>
      </c>
      <c r="C27" s="4" t="s">
        <v>40</v>
      </c>
      <c r="D27" s="4" t="s">
        <v>390</v>
      </c>
      <c r="E27" s="4">
        <v>5876</v>
      </c>
      <c r="F27" s="4" t="s">
        <v>391</v>
      </c>
      <c r="G27" s="32">
        <f>$E$27*0.9959^(G1-2020)</f>
        <v>5851.9084000000003</v>
      </c>
      <c r="H27" s="32">
        <f t="shared" ref="H27:AJ27" si="0">$E$27*0.9959^(H1-2020)</f>
        <v>5827.9155755599995</v>
      </c>
      <c r="I27" s="32">
        <f t="shared" si="0"/>
        <v>5804.0211217002043</v>
      </c>
      <c r="J27" s="32">
        <f t="shared" si="0"/>
        <v>5780.2246351012336</v>
      </c>
      <c r="K27" s="32">
        <f t="shared" si="0"/>
        <v>5756.5257140973181</v>
      </c>
      <c r="L27" s="32">
        <f t="shared" si="0"/>
        <v>5732.9239586695194</v>
      </c>
      <c r="M27" s="32">
        <f t="shared" si="0"/>
        <v>5709.4189704389746</v>
      </c>
      <c r="N27" s="32">
        <f t="shared" si="0"/>
        <v>5686.0103526601742</v>
      </c>
      <c r="O27" s="32">
        <f t="shared" si="0"/>
        <v>5662.6977102142682</v>
      </c>
      <c r="P27" s="32">
        <f t="shared" si="0"/>
        <v>5639.4806496023893</v>
      </c>
      <c r="Q27" s="32">
        <f t="shared" si="0"/>
        <v>5616.3587789390194</v>
      </c>
      <c r="R27" s="32">
        <f t="shared" si="0"/>
        <v>5593.3317079453691</v>
      </c>
      <c r="S27" s="32">
        <f t="shared" si="0"/>
        <v>5570.399047942793</v>
      </c>
      <c r="T27" s="32">
        <f t="shared" si="0"/>
        <v>5547.5604118462279</v>
      </c>
      <c r="U27" s="32">
        <f t="shared" si="0"/>
        <v>5524.8154141576588</v>
      </c>
      <c r="V27" s="32">
        <f t="shared" si="0"/>
        <v>5502.1636709596123</v>
      </c>
      <c r="W27" s="32">
        <f t="shared" si="0"/>
        <v>5479.6047999086777</v>
      </c>
      <c r="X27" s="32">
        <f t="shared" si="0"/>
        <v>5457.1384202290519</v>
      </c>
      <c r="Y27" s="32">
        <f t="shared" si="0"/>
        <v>5434.7641527061132</v>
      </c>
      <c r="Z27" s="32">
        <f t="shared" si="0"/>
        <v>5412.4816196800175</v>
      </c>
      <c r="AA27" s="32">
        <f t="shared" si="0"/>
        <v>5390.2904450393298</v>
      </c>
      <c r="AB27" s="32">
        <f t="shared" si="0"/>
        <v>5368.190254214669</v>
      </c>
      <c r="AC27" s="32">
        <f t="shared" si="0"/>
        <v>5346.1806741723885</v>
      </c>
      <c r="AD27" s="32">
        <f t="shared" si="0"/>
        <v>5324.2613334082816</v>
      </c>
      <c r="AE27" s="32">
        <f t="shared" si="0"/>
        <v>5302.4318619413079</v>
      </c>
      <c r="AF27" s="32">
        <f t="shared" si="0"/>
        <v>5280.6918913073478</v>
      </c>
      <c r="AG27" s="32">
        <f t="shared" si="0"/>
        <v>5259.0410545529885</v>
      </c>
      <c r="AH27" s="32">
        <f t="shared" si="0"/>
        <v>5237.478986229321</v>
      </c>
      <c r="AI27" s="32">
        <f t="shared" si="0"/>
        <v>5216.0053223857803</v>
      </c>
      <c r="AJ27" s="32">
        <f t="shared" si="0"/>
        <v>5194.6197005639988</v>
      </c>
    </row>
    <row r="28" spans="1:36" x14ac:dyDescent="0.45">
      <c r="A28" s="34"/>
      <c r="B28" s="4" t="s">
        <v>41</v>
      </c>
      <c r="C28" s="4" t="s">
        <v>42</v>
      </c>
      <c r="D28" s="4" t="s">
        <v>390</v>
      </c>
      <c r="E28" s="4">
        <v>1084</v>
      </c>
      <c r="F28" s="4" t="s">
        <v>391</v>
      </c>
      <c r="G28" s="32">
        <v>1084</v>
      </c>
      <c r="H28" s="32">
        <v>1084</v>
      </c>
      <c r="I28" s="32">
        <v>1084</v>
      </c>
      <c r="J28" s="32">
        <v>1084</v>
      </c>
      <c r="K28" s="32">
        <v>1084</v>
      </c>
      <c r="L28" s="32">
        <v>1084</v>
      </c>
      <c r="M28" s="32">
        <v>1084</v>
      </c>
      <c r="N28" s="32">
        <v>1084</v>
      </c>
      <c r="O28" s="32">
        <v>1084</v>
      </c>
      <c r="P28" s="32">
        <v>1084</v>
      </c>
      <c r="Q28" s="32">
        <v>1084</v>
      </c>
      <c r="R28" s="32">
        <v>1084</v>
      </c>
      <c r="S28" s="32">
        <v>1084</v>
      </c>
      <c r="T28" s="32">
        <v>1084</v>
      </c>
      <c r="U28" s="32">
        <v>1084</v>
      </c>
      <c r="V28" s="32">
        <v>1084</v>
      </c>
      <c r="W28" s="32">
        <v>1084</v>
      </c>
      <c r="X28" s="32">
        <v>1084</v>
      </c>
      <c r="Y28" s="32">
        <v>1084</v>
      </c>
      <c r="Z28" s="32">
        <v>1084</v>
      </c>
      <c r="AA28" s="32">
        <v>1084</v>
      </c>
      <c r="AB28" s="32">
        <v>1084</v>
      </c>
      <c r="AC28" s="32">
        <v>1084</v>
      </c>
      <c r="AD28" s="32">
        <v>1084</v>
      </c>
      <c r="AE28" s="32">
        <v>1084</v>
      </c>
      <c r="AF28" s="32">
        <v>1084</v>
      </c>
      <c r="AG28" s="32">
        <v>1084</v>
      </c>
      <c r="AH28" s="32">
        <v>1084</v>
      </c>
      <c r="AI28" s="32">
        <v>1084</v>
      </c>
      <c r="AJ28" s="32">
        <v>1084</v>
      </c>
    </row>
    <row r="29" spans="1:36" x14ac:dyDescent="0.45">
      <c r="A29" s="34"/>
      <c r="B29" s="4" t="s">
        <v>43</v>
      </c>
      <c r="C29" s="4" t="s">
        <v>44</v>
      </c>
      <c r="D29" s="4" t="s">
        <v>390</v>
      </c>
      <c r="E29" s="4">
        <v>2481</v>
      </c>
      <c r="F29" s="4" t="s">
        <v>391</v>
      </c>
      <c r="G29" s="32">
        <f>$E$29*0.9959^(G1-2020)</f>
        <v>2470.8279000000002</v>
      </c>
      <c r="H29" s="32">
        <f t="shared" ref="H29:AI29" si="1">$E$29*0.9959^(H1-2020)</f>
        <v>2460.69750561</v>
      </c>
      <c r="I29" s="32">
        <f t="shared" si="1"/>
        <v>2450.6086458369991</v>
      </c>
      <c r="J29" s="32">
        <f t="shared" si="1"/>
        <v>2440.5611503890673</v>
      </c>
      <c r="K29" s="32">
        <f t="shared" si="1"/>
        <v>2430.5548496724723</v>
      </c>
      <c r="L29" s="32">
        <f t="shared" si="1"/>
        <v>2420.5895747888148</v>
      </c>
      <c r="M29" s="32">
        <f t="shared" si="1"/>
        <v>2410.6651575321807</v>
      </c>
      <c r="N29" s="32">
        <f t="shared" si="1"/>
        <v>2400.7814303862988</v>
      </c>
      <c r="O29" s="32">
        <f t="shared" si="1"/>
        <v>2390.938226521715</v>
      </c>
      <c r="P29" s="32">
        <f t="shared" si="1"/>
        <v>2381.135379792976</v>
      </c>
      <c r="Q29" s="32">
        <f t="shared" si="1"/>
        <v>2371.3727247358252</v>
      </c>
      <c r="R29" s="32">
        <f t="shared" si="1"/>
        <v>2361.6500965644082</v>
      </c>
      <c r="S29" s="32">
        <f t="shared" si="1"/>
        <v>2351.9673311684937</v>
      </c>
      <c r="T29" s="32">
        <f t="shared" si="1"/>
        <v>2342.3242651107034</v>
      </c>
      <c r="U29" s="32">
        <f t="shared" si="1"/>
        <v>2332.7207356237491</v>
      </c>
      <c r="V29" s="32">
        <f t="shared" si="1"/>
        <v>2323.1565806076919</v>
      </c>
      <c r="W29" s="32">
        <f t="shared" si="1"/>
        <v>2313.6316386272006</v>
      </c>
      <c r="X29" s="32">
        <f t="shared" si="1"/>
        <v>2304.1457489088289</v>
      </c>
      <c r="Y29" s="32">
        <f t="shared" si="1"/>
        <v>2294.6987513383028</v>
      </c>
      <c r="Z29" s="32">
        <f t="shared" si="1"/>
        <v>2285.2904864578154</v>
      </c>
      <c r="AA29" s="32">
        <f t="shared" si="1"/>
        <v>2275.9207954633384</v>
      </c>
      <c r="AB29" s="32">
        <f t="shared" si="1"/>
        <v>2266.5895202019387</v>
      </c>
      <c r="AC29" s="32">
        <f t="shared" si="1"/>
        <v>2257.296503169111</v>
      </c>
      <c r="AD29" s="32">
        <f t="shared" si="1"/>
        <v>2248.0415875061176</v>
      </c>
      <c r="AE29" s="32">
        <f t="shared" si="1"/>
        <v>2238.8246169973427</v>
      </c>
      <c r="AF29" s="32">
        <f t="shared" si="1"/>
        <v>2229.6454360676535</v>
      </c>
      <c r="AG29" s="32">
        <f t="shared" si="1"/>
        <v>2220.5038897797763</v>
      </c>
      <c r="AH29" s="32">
        <f t="shared" si="1"/>
        <v>2211.399823831679</v>
      </c>
      <c r="AI29" s="32">
        <f t="shared" si="1"/>
        <v>2202.333084553969</v>
      </c>
      <c r="AJ29" s="32">
        <f>$E$29*0.9959^(AJ1-2020)</f>
        <v>2193.303518907298</v>
      </c>
    </row>
    <row r="30" spans="1:36" x14ac:dyDescent="0.45">
      <c r="A30" s="34"/>
      <c r="B30" s="4" t="s">
        <v>45</v>
      </c>
      <c r="C30" s="4" t="s">
        <v>46</v>
      </c>
      <c r="D30" s="4" t="s">
        <v>390</v>
      </c>
      <c r="E30" s="4">
        <v>4097</v>
      </c>
      <c r="F30" s="4" t="s">
        <v>391</v>
      </c>
      <c r="G30" s="32">
        <f>$E$30*0.9971^(G1-2020)</f>
        <v>4085.1187</v>
      </c>
      <c r="H30" s="32">
        <f t="shared" ref="H30:AJ30" si="2">$E$30*0.9971^(H1-2020)</f>
        <v>4073.2718557699995</v>
      </c>
      <c r="I30" s="32">
        <f t="shared" si="2"/>
        <v>4061.4593673882664</v>
      </c>
      <c r="J30" s="32">
        <f t="shared" si="2"/>
        <v>4049.6811352228406</v>
      </c>
      <c r="K30" s="32">
        <f t="shared" si="2"/>
        <v>4037.9370599306944</v>
      </c>
      <c r="L30" s="32">
        <f t="shared" si="2"/>
        <v>4026.2270424568951</v>
      </c>
      <c r="M30" s="32">
        <f t="shared" si="2"/>
        <v>4014.5509840337695</v>
      </c>
      <c r="N30" s="32">
        <f t="shared" si="2"/>
        <v>4002.9087861800717</v>
      </c>
      <c r="O30" s="32">
        <f t="shared" si="2"/>
        <v>3991.3003507001495</v>
      </c>
      <c r="P30" s="32">
        <f t="shared" si="2"/>
        <v>3979.7255796831187</v>
      </c>
      <c r="Q30" s="32">
        <f t="shared" si="2"/>
        <v>3968.1843755020373</v>
      </c>
      <c r="R30" s="32">
        <f t="shared" si="2"/>
        <v>3956.6766408130811</v>
      </c>
      <c r="S30" s="32">
        <f t="shared" si="2"/>
        <v>3945.2022785547238</v>
      </c>
      <c r="T30" s="32">
        <f t="shared" si="2"/>
        <v>3933.7611919469146</v>
      </c>
      <c r="U30" s="32">
        <f t="shared" si="2"/>
        <v>3922.3532844902679</v>
      </c>
      <c r="V30" s="32">
        <f t="shared" si="2"/>
        <v>3910.9784599652462</v>
      </c>
      <c r="W30" s="32">
        <f t="shared" si="2"/>
        <v>3899.636622431347</v>
      </c>
      <c r="X30" s="32">
        <f t="shared" si="2"/>
        <v>3888.3276762262958</v>
      </c>
      <c r="Y30" s="32">
        <f t="shared" si="2"/>
        <v>3877.0515259652398</v>
      </c>
      <c r="Z30" s="32">
        <f t="shared" si="2"/>
        <v>3865.80807653994</v>
      </c>
      <c r="AA30" s="32">
        <f t="shared" si="2"/>
        <v>3854.5972331179742</v>
      </c>
      <c r="AB30" s="32">
        <f t="shared" si="2"/>
        <v>3843.4189011419317</v>
      </c>
      <c r="AC30" s="32">
        <f t="shared" si="2"/>
        <v>3832.2729863286199</v>
      </c>
      <c r="AD30" s="32">
        <f t="shared" si="2"/>
        <v>3821.1593946682669</v>
      </c>
      <c r="AE30" s="32">
        <f t="shared" si="2"/>
        <v>3810.0780324237289</v>
      </c>
      <c r="AF30" s="32">
        <f t="shared" si="2"/>
        <v>3799.0288061297001</v>
      </c>
      <c r="AG30" s="32">
        <f t="shared" si="2"/>
        <v>3788.0116225919237</v>
      </c>
      <c r="AH30" s="32">
        <f t="shared" si="2"/>
        <v>3777.0263888864069</v>
      </c>
      <c r="AI30" s="32">
        <f t="shared" si="2"/>
        <v>3766.0730123586368</v>
      </c>
      <c r="AJ30" s="32">
        <f t="shared" si="2"/>
        <v>3755.1514006227962</v>
      </c>
    </row>
    <row r="31" spans="1:36" ht="35" x14ac:dyDescent="0.45">
      <c r="A31" s="34"/>
      <c r="B31" s="4" t="s">
        <v>47</v>
      </c>
      <c r="C31" s="4" t="s">
        <v>48</v>
      </c>
      <c r="D31" s="4" t="s">
        <v>390</v>
      </c>
      <c r="E31" s="4">
        <v>6297</v>
      </c>
      <c r="F31" s="4" t="s">
        <v>408</v>
      </c>
      <c r="G31" s="32">
        <f>$E$31*0.9959^(G1-2020)</f>
        <v>6271.1823000000004</v>
      </c>
      <c r="H31" s="32">
        <f t="shared" ref="H31:AJ31" si="3">$E$31*0.9959^(H1-2020)</f>
        <v>6245.4704525699999</v>
      </c>
      <c r="I31" s="32">
        <f t="shared" si="3"/>
        <v>6219.8640237144637</v>
      </c>
      <c r="J31" s="32">
        <f t="shared" si="3"/>
        <v>6194.362581217234</v>
      </c>
      <c r="K31" s="32">
        <f t="shared" si="3"/>
        <v>6168.9656946342429</v>
      </c>
      <c r="L31" s="32">
        <f t="shared" si="3"/>
        <v>6143.672935286243</v>
      </c>
      <c r="M31" s="32">
        <f t="shared" si="3"/>
        <v>6118.4838762515692</v>
      </c>
      <c r="N31" s="32">
        <f t="shared" si="3"/>
        <v>6093.3980923589379</v>
      </c>
      <c r="O31" s="32">
        <f t="shared" si="3"/>
        <v>6068.415160180266</v>
      </c>
      <c r="P31" s="32">
        <f t="shared" si="3"/>
        <v>6043.5346580235273</v>
      </c>
      <c r="Q31" s="32">
        <f t="shared" si="3"/>
        <v>6018.7561659256307</v>
      </c>
      <c r="R31" s="32">
        <f t="shared" si="3"/>
        <v>5994.0792656453359</v>
      </c>
      <c r="S31" s="32">
        <f t="shared" si="3"/>
        <v>5969.5035406561892</v>
      </c>
      <c r="T31" s="32">
        <f t="shared" si="3"/>
        <v>5945.0285761394998</v>
      </c>
      <c r="U31" s="32">
        <f t="shared" si="3"/>
        <v>5920.6539589773274</v>
      </c>
      <c r="V31" s="32">
        <f t="shared" si="3"/>
        <v>5896.3792777455201</v>
      </c>
      <c r="W31" s="32">
        <f t="shared" si="3"/>
        <v>5872.2041227067639</v>
      </c>
      <c r="X31" s="32">
        <f t="shared" si="3"/>
        <v>5848.1280858036662</v>
      </c>
      <c r="Y31" s="32">
        <f t="shared" si="3"/>
        <v>5824.1507606518708</v>
      </c>
      <c r="Z31" s="32">
        <f t="shared" si="3"/>
        <v>5800.2717425331984</v>
      </c>
      <c r="AA31" s="32">
        <f t="shared" si="3"/>
        <v>5776.4906283888122</v>
      </c>
      <c r="AB31" s="32">
        <f t="shared" si="3"/>
        <v>5752.8070168124177</v>
      </c>
      <c r="AC31" s="32">
        <f t="shared" si="3"/>
        <v>5729.2205080434869</v>
      </c>
      <c r="AD31" s="32">
        <f t="shared" si="3"/>
        <v>5705.7307039605093</v>
      </c>
      <c r="AE31" s="32">
        <f t="shared" si="3"/>
        <v>5682.3372080742711</v>
      </c>
      <c r="AF31" s="32">
        <f t="shared" si="3"/>
        <v>5659.0396255211663</v>
      </c>
      <c r="AG31" s="32">
        <f t="shared" si="3"/>
        <v>5635.8375630565297</v>
      </c>
      <c r="AH31" s="32">
        <f t="shared" si="3"/>
        <v>5612.7306290479983</v>
      </c>
      <c r="AI31" s="32">
        <f t="shared" si="3"/>
        <v>5589.7184334689009</v>
      </c>
      <c r="AJ31" s="32">
        <f t="shared" si="3"/>
        <v>5566.8005878916783</v>
      </c>
    </row>
    <row r="32" spans="1:36" x14ac:dyDescent="0.45">
      <c r="A32" s="34"/>
      <c r="B32" s="4" t="s">
        <v>49</v>
      </c>
      <c r="C32" s="4" t="s">
        <v>50</v>
      </c>
      <c r="D32" s="4" t="s">
        <v>390</v>
      </c>
      <c r="E32" s="4">
        <v>4097</v>
      </c>
      <c r="F32" s="4" t="s">
        <v>391</v>
      </c>
      <c r="G32" s="32">
        <f>$E$32*0.9971^(G1-2020)</f>
        <v>4085.1187</v>
      </c>
      <c r="H32" s="32">
        <f t="shared" ref="H32:AJ32" si="4">$E$32*0.9971^(H1-2020)</f>
        <v>4073.2718557699995</v>
      </c>
      <c r="I32" s="32">
        <f t="shared" si="4"/>
        <v>4061.4593673882664</v>
      </c>
      <c r="J32" s="32">
        <f t="shared" si="4"/>
        <v>4049.6811352228406</v>
      </c>
      <c r="K32" s="32">
        <f t="shared" si="4"/>
        <v>4037.9370599306944</v>
      </c>
      <c r="L32" s="32">
        <f t="shared" si="4"/>
        <v>4026.2270424568951</v>
      </c>
      <c r="M32" s="32">
        <f t="shared" si="4"/>
        <v>4014.5509840337695</v>
      </c>
      <c r="N32" s="32">
        <f t="shared" si="4"/>
        <v>4002.9087861800717</v>
      </c>
      <c r="O32" s="32">
        <f t="shared" si="4"/>
        <v>3991.3003507001495</v>
      </c>
      <c r="P32" s="32">
        <f t="shared" si="4"/>
        <v>3979.7255796831187</v>
      </c>
      <c r="Q32" s="32">
        <f t="shared" si="4"/>
        <v>3968.1843755020373</v>
      </c>
      <c r="R32" s="32">
        <f t="shared" si="4"/>
        <v>3956.6766408130811</v>
      </c>
      <c r="S32" s="32">
        <f t="shared" si="4"/>
        <v>3945.2022785547238</v>
      </c>
      <c r="T32" s="32">
        <f t="shared" si="4"/>
        <v>3933.7611919469146</v>
      </c>
      <c r="U32" s="32">
        <f t="shared" si="4"/>
        <v>3922.3532844902679</v>
      </c>
      <c r="V32" s="32">
        <f t="shared" si="4"/>
        <v>3910.9784599652462</v>
      </c>
      <c r="W32" s="32">
        <f t="shared" si="4"/>
        <v>3899.636622431347</v>
      </c>
      <c r="X32" s="32">
        <f t="shared" si="4"/>
        <v>3888.3276762262958</v>
      </c>
      <c r="Y32" s="32">
        <f t="shared" si="4"/>
        <v>3877.0515259652398</v>
      </c>
      <c r="Z32" s="32">
        <f t="shared" si="4"/>
        <v>3865.80807653994</v>
      </c>
      <c r="AA32" s="32">
        <f t="shared" si="4"/>
        <v>3854.5972331179742</v>
      </c>
      <c r="AB32" s="32">
        <f t="shared" si="4"/>
        <v>3843.4189011419317</v>
      </c>
      <c r="AC32" s="32">
        <f t="shared" si="4"/>
        <v>3832.2729863286199</v>
      </c>
      <c r="AD32" s="32">
        <f t="shared" si="4"/>
        <v>3821.1593946682669</v>
      </c>
      <c r="AE32" s="32">
        <f t="shared" si="4"/>
        <v>3810.0780324237289</v>
      </c>
      <c r="AF32" s="32">
        <f t="shared" si="4"/>
        <v>3799.0288061297001</v>
      </c>
      <c r="AG32" s="32">
        <f t="shared" si="4"/>
        <v>3788.0116225919237</v>
      </c>
      <c r="AH32" s="32">
        <f t="shared" si="4"/>
        <v>3777.0263888864069</v>
      </c>
      <c r="AI32" s="32">
        <f t="shared" si="4"/>
        <v>3766.0730123586368</v>
      </c>
      <c r="AJ32" s="32">
        <f t="shared" si="4"/>
        <v>3755.1514006227962</v>
      </c>
    </row>
    <row r="33" spans="1:36" ht="35" x14ac:dyDescent="0.45">
      <c r="A33" s="34"/>
      <c r="B33" s="4" t="s">
        <v>51</v>
      </c>
      <c r="C33" s="4" t="s">
        <v>52</v>
      </c>
      <c r="D33" s="4" t="s">
        <v>390</v>
      </c>
      <c r="E33" s="4">
        <v>6297</v>
      </c>
      <c r="F33" s="4" t="s">
        <v>408</v>
      </c>
      <c r="G33" s="32">
        <f>$E$33*0.9959^(G1-2020)</f>
        <v>6271.1823000000004</v>
      </c>
      <c r="H33" s="32">
        <f t="shared" ref="H33:AJ33" si="5">$E$33*0.9959^(H1-2020)</f>
        <v>6245.4704525699999</v>
      </c>
      <c r="I33" s="32">
        <f t="shared" si="5"/>
        <v>6219.8640237144637</v>
      </c>
      <c r="J33" s="32">
        <f t="shared" si="5"/>
        <v>6194.362581217234</v>
      </c>
      <c r="K33" s="32">
        <f t="shared" si="5"/>
        <v>6168.9656946342429</v>
      </c>
      <c r="L33" s="32">
        <f t="shared" si="5"/>
        <v>6143.672935286243</v>
      </c>
      <c r="M33" s="32">
        <f t="shared" si="5"/>
        <v>6118.4838762515692</v>
      </c>
      <c r="N33" s="32">
        <f t="shared" si="5"/>
        <v>6093.3980923589379</v>
      </c>
      <c r="O33" s="32">
        <f t="shared" si="5"/>
        <v>6068.415160180266</v>
      </c>
      <c r="P33" s="32">
        <f t="shared" si="5"/>
        <v>6043.5346580235273</v>
      </c>
      <c r="Q33" s="32">
        <f t="shared" si="5"/>
        <v>6018.7561659256307</v>
      </c>
      <c r="R33" s="32">
        <f t="shared" si="5"/>
        <v>5994.0792656453359</v>
      </c>
      <c r="S33" s="32">
        <f t="shared" si="5"/>
        <v>5969.5035406561892</v>
      </c>
      <c r="T33" s="32">
        <f t="shared" si="5"/>
        <v>5945.0285761394998</v>
      </c>
      <c r="U33" s="32">
        <f t="shared" si="5"/>
        <v>5920.6539589773274</v>
      </c>
      <c r="V33" s="32">
        <f t="shared" si="5"/>
        <v>5896.3792777455201</v>
      </c>
      <c r="W33" s="32">
        <f t="shared" si="5"/>
        <v>5872.2041227067639</v>
      </c>
      <c r="X33" s="32">
        <f t="shared" si="5"/>
        <v>5848.1280858036662</v>
      </c>
      <c r="Y33" s="32">
        <f t="shared" si="5"/>
        <v>5824.1507606518708</v>
      </c>
      <c r="Z33" s="32">
        <f t="shared" si="5"/>
        <v>5800.2717425331984</v>
      </c>
      <c r="AA33" s="32">
        <f t="shared" si="5"/>
        <v>5776.4906283888122</v>
      </c>
      <c r="AB33" s="32">
        <f t="shared" si="5"/>
        <v>5752.8070168124177</v>
      </c>
      <c r="AC33" s="32">
        <f t="shared" si="5"/>
        <v>5729.2205080434869</v>
      </c>
      <c r="AD33" s="32">
        <f t="shared" si="5"/>
        <v>5705.7307039605093</v>
      </c>
      <c r="AE33" s="32">
        <f t="shared" si="5"/>
        <v>5682.3372080742711</v>
      </c>
      <c r="AF33" s="32">
        <f t="shared" si="5"/>
        <v>5659.0396255211663</v>
      </c>
      <c r="AG33" s="32">
        <f t="shared" si="5"/>
        <v>5635.8375630565297</v>
      </c>
      <c r="AH33" s="32">
        <f t="shared" si="5"/>
        <v>5612.7306290479983</v>
      </c>
      <c r="AI33" s="32">
        <f t="shared" si="5"/>
        <v>5589.7184334689009</v>
      </c>
      <c r="AJ33" s="32">
        <f t="shared" si="5"/>
        <v>5566.8005878916783</v>
      </c>
    </row>
    <row r="34" spans="1:36" x14ac:dyDescent="0.45">
      <c r="A34" s="34"/>
      <c r="B34" s="4" t="s">
        <v>53</v>
      </c>
      <c r="C34" s="4" t="s">
        <v>54</v>
      </c>
      <c r="D34" s="4" t="s">
        <v>390</v>
      </c>
      <c r="E34" s="4">
        <v>2718</v>
      </c>
      <c r="F34" s="4" t="s">
        <v>396</v>
      </c>
      <c r="G34" s="32">
        <f>$E$34*0.997^(G1-2020)</f>
        <v>2709.846</v>
      </c>
      <c r="H34" s="32">
        <f t="shared" ref="H34:AI34" si="6">$E$34*0.997^(H1-2020)</f>
        <v>2701.7164619999999</v>
      </c>
      <c r="I34" s="32">
        <f t="shared" si="6"/>
        <v>2693.6113126139999</v>
      </c>
      <c r="J34" s="32">
        <f t="shared" si="6"/>
        <v>2685.5304786761581</v>
      </c>
      <c r="K34" s="32">
        <f t="shared" si="6"/>
        <v>2677.4738872401294</v>
      </c>
      <c r="L34" s="32">
        <f t="shared" si="6"/>
        <v>2669.4414655784094</v>
      </c>
      <c r="M34" s="32">
        <f t="shared" si="6"/>
        <v>2661.4331411816738</v>
      </c>
      <c r="N34" s="32">
        <f t="shared" si="6"/>
        <v>2653.4488417581292</v>
      </c>
      <c r="O34" s="32">
        <f t="shared" si="6"/>
        <v>2645.4884952328548</v>
      </c>
      <c r="P34" s="32">
        <f t="shared" si="6"/>
        <v>2637.5520297471562</v>
      </c>
      <c r="Q34" s="32">
        <f t="shared" si="6"/>
        <v>2629.6393736579148</v>
      </c>
      <c r="R34" s="32">
        <f t="shared" si="6"/>
        <v>2621.750455536941</v>
      </c>
      <c r="S34" s="32">
        <f t="shared" si="6"/>
        <v>2613.8852041703299</v>
      </c>
      <c r="T34" s="32">
        <f t="shared" si="6"/>
        <v>2606.0435485578191</v>
      </c>
      <c r="U34" s="32">
        <f t="shared" si="6"/>
        <v>2598.225417912146</v>
      </c>
      <c r="V34" s="32">
        <f t="shared" si="6"/>
        <v>2590.4307416584093</v>
      </c>
      <c r="W34" s="32">
        <f t="shared" si="6"/>
        <v>2582.6594494334345</v>
      </c>
      <c r="X34" s="32">
        <f t="shared" si="6"/>
        <v>2574.9114710851341</v>
      </c>
      <c r="Y34" s="32">
        <f t="shared" si="6"/>
        <v>2567.1867366718784</v>
      </c>
      <c r="Z34" s="32">
        <f t="shared" si="6"/>
        <v>2559.4851764618629</v>
      </c>
      <c r="AA34" s="32">
        <f t="shared" si="6"/>
        <v>2551.8067209324772</v>
      </c>
      <c r="AB34" s="32">
        <f t="shared" si="6"/>
        <v>2544.1513007696799</v>
      </c>
      <c r="AC34" s="32">
        <f t="shared" si="6"/>
        <v>2536.5188468673709</v>
      </c>
      <c r="AD34" s="32">
        <f t="shared" si="6"/>
        <v>2528.9092903267688</v>
      </c>
      <c r="AE34" s="32">
        <f t="shared" si="6"/>
        <v>2521.3225624557886</v>
      </c>
      <c r="AF34" s="32">
        <f t="shared" si="6"/>
        <v>2513.7585947684215</v>
      </c>
      <c r="AG34" s="32">
        <f t="shared" si="6"/>
        <v>2506.217318984116</v>
      </c>
      <c r="AH34" s="32">
        <f t="shared" si="6"/>
        <v>2498.6986670271635</v>
      </c>
      <c r="AI34" s="32">
        <f t="shared" si="6"/>
        <v>2491.2025710260823</v>
      </c>
      <c r="AJ34" s="32">
        <f>$E$34*0.997^(AJ1-2020)</f>
        <v>2483.728963313004</v>
      </c>
    </row>
    <row r="35" spans="1:36" ht="35" x14ac:dyDescent="0.45">
      <c r="A35" s="34"/>
      <c r="B35" s="4" t="s">
        <v>63</v>
      </c>
      <c r="C35" s="4" t="s">
        <v>64</v>
      </c>
      <c r="D35" s="4" t="s">
        <v>390</v>
      </c>
      <c r="E35" s="4">
        <v>3850</v>
      </c>
      <c r="F35" s="13" t="s">
        <v>394</v>
      </c>
      <c r="G35" s="32">
        <v>3850</v>
      </c>
      <c r="H35" s="32">
        <v>3850</v>
      </c>
      <c r="I35" s="32">
        <v>3850</v>
      </c>
      <c r="J35" s="32">
        <v>3850</v>
      </c>
      <c r="K35" s="32">
        <v>3850</v>
      </c>
      <c r="L35" s="32">
        <v>3850</v>
      </c>
      <c r="M35" s="32">
        <v>3850</v>
      </c>
      <c r="N35" s="32">
        <v>3850</v>
      </c>
      <c r="O35" s="32">
        <v>3850</v>
      </c>
      <c r="P35" s="32">
        <v>3850</v>
      </c>
      <c r="Q35" s="32">
        <v>3850</v>
      </c>
      <c r="R35" s="32">
        <v>3850</v>
      </c>
      <c r="S35" s="32">
        <v>3850</v>
      </c>
      <c r="T35" s="32">
        <v>3850</v>
      </c>
      <c r="U35" s="32">
        <v>3850</v>
      </c>
      <c r="V35" s="32">
        <v>3850</v>
      </c>
      <c r="W35" s="32">
        <v>3850</v>
      </c>
      <c r="X35" s="32">
        <v>3850</v>
      </c>
      <c r="Y35" s="32">
        <v>3850</v>
      </c>
      <c r="Z35" s="32">
        <v>3850</v>
      </c>
      <c r="AA35" s="32">
        <v>3850</v>
      </c>
      <c r="AB35" s="32">
        <v>3850</v>
      </c>
      <c r="AC35" s="32">
        <v>3850</v>
      </c>
      <c r="AD35" s="32">
        <v>3850</v>
      </c>
      <c r="AE35" s="32">
        <v>3850</v>
      </c>
      <c r="AF35" s="32">
        <v>3850</v>
      </c>
      <c r="AG35" s="32">
        <v>3850</v>
      </c>
      <c r="AH35" s="32">
        <v>3850</v>
      </c>
      <c r="AI35" s="32">
        <v>3850</v>
      </c>
      <c r="AJ35" s="32">
        <v>3850</v>
      </c>
    </row>
    <row r="36" spans="1:36" ht="35" x14ac:dyDescent="0.45">
      <c r="A36" s="34"/>
      <c r="B36" s="4" t="s">
        <v>65</v>
      </c>
      <c r="C36" s="4" t="s">
        <v>66</v>
      </c>
      <c r="D36" s="4" t="s">
        <v>390</v>
      </c>
      <c r="E36" s="4">
        <v>3300</v>
      </c>
      <c r="F36" s="13" t="s">
        <v>394</v>
      </c>
      <c r="G36" s="32">
        <v>3300</v>
      </c>
      <c r="H36" s="32">
        <v>3300</v>
      </c>
      <c r="I36" s="32">
        <v>3300</v>
      </c>
      <c r="J36" s="32">
        <v>3300</v>
      </c>
      <c r="K36" s="32">
        <v>3300</v>
      </c>
      <c r="L36" s="32">
        <v>3300</v>
      </c>
      <c r="M36" s="32">
        <v>3300</v>
      </c>
      <c r="N36" s="32">
        <v>3300</v>
      </c>
      <c r="O36" s="32">
        <v>3300</v>
      </c>
      <c r="P36" s="32">
        <v>3300</v>
      </c>
      <c r="Q36" s="32">
        <v>3300</v>
      </c>
      <c r="R36" s="32">
        <v>3300</v>
      </c>
      <c r="S36" s="32">
        <v>3300</v>
      </c>
      <c r="T36" s="32">
        <v>3300</v>
      </c>
      <c r="U36" s="32">
        <v>3300</v>
      </c>
      <c r="V36" s="32">
        <v>3300</v>
      </c>
      <c r="W36" s="32">
        <v>3300</v>
      </c>
      <c r="X36" s="32">
        <v>3300</v>
      </c>
      <c r="Y36" s="32">
        <v>3300</v>
      </c>
      <c r="Z36" s="32">
        <v>3300</v>
      </c>
      <c r="AA36" s="32">
        <v>3300</v>
      </c>
      <c r="AB36" s="32">
        <v>3300</v>
      </c>
      <c r="AC36" s="32">
        <v>3300</v>
      </c>
      <c r="AD36" s="32">
        <v>3300</v>
      </c>
      <c r="AE36" s="32">
        <v>3300</v>
      </c>
      <c r="AF36" s="32">
        <v>3300</v>
      </c>
      <c r="AG36" s="32">
        <v>3300</v>
      </c>
      <c r="AH36" s="32">
        <v>3300</v>
      </c>
      <c r="AI36" s="32">
        <v>3300</v>
      </c>
      <c r="AJ36" s="32">
        <v>3300</v>
      </c>
    </row>
    <row r="37" spans="1:36" x14ac:dyDescent="0.45">
      <c r="A37" s="34"/>
      <c r="B37" s="4" t="s">
        <v>241</v>
      </c>
      <c r="C37" s="4" t="s">
        <v>242</v>
      </c>
      <c r="D37" s="4" t="s">
        <v>390</v>
      </c>
      <c r="E37" s="4">
        <v>2521</v>
      </c>
      <c r="F37" s="4" t="s">
        <v>391</v>
      </c>
      <c r="G37" s="32">
        <f>$E$37*0.9962^(G1-2020)</f>
        <v>2511.4202</v>
      </c>
      <c r="H37" s="32">
        <f t="shared" ref="H37:AJ37" si="7">$E$37*0.9962^(H1-2020)</f>
        <v>2501.8768032399998</v>
      </c>
      <c r="I37" s="32">
        <f t="shared" si="7"/>
        <v>2492.3696713876875</v>
      </c>
      <c r="J37" s="32">
        <f t="shared" si="7"/>
        <v>2482.898666636414</v>
      </c>
      <c r="K37" s="32">
        <f t="shared" si="7"/>
        <v>2473.4636517031959</v>
      </c>
      <c r="L37" s="32">
        <f t="shared" si="7"/>
        <v>2464.0644898267233</v>
      </c>
      <c r="M37" s="32">
        <f t="shared" si="7"/>
        <v>2454.7010447653815</v>
      </c>
      <c r="N37" s="32">
        <f t="shared" si="7"/>
        <v>2445.3731807952731</v>
      </c>
      <c r="O37" s="32">
        <f t="shared" si="7"/>
        <v>2436.0807627082509</v>
      </c>
      <c r="P37" s="32">
        <f t="shared" si="7"/>
        <v>2426.8236558099593</v>
      </c>
      <c r="Q37" s="32">
        <f t="shared" si="7"/>
        <v>2417.6017259178816</v>
      </c>
      <c r="R37" s="32">
        <f t="shared" si="7"/>
        <v>2408.4148393593932</v>
      </c>
      <c r="S37" s="32">
        <f t="shared" si="7"/>
        <v>2399.2628629698274</v>
      </c>
      <c r="T37" s="32">
        <f t="shared" si="7"/>
        <v>2390.1456640905421</v>
      </c>
      <c r="U37" s="32">
        <f t="shared" si="7"/>
        <v>2381.0631105669977</v>
      </c>
      <c r="V37" s="32">
        <f t="shared" si="7"/>
        <v>2372.0150707468433</v>
      </c>
      <c r="W37" s="32">
        <f t="shared" si="7"/>
        <v>2363.0014134780049</v>
      </c>
      <c r="X37" s="32">
        <f t="shared" si="7"/>
        <v>2354.0220081067882</v>
      </c>
      <c r="Y37" s="32">
        <f t="shared" si="7"/>
        <v>2345.0767244759822</v>
      </c>
      <c r="Z37" s="32">
        <f t="shared" si="7"/>
        <v>2336.1654329229737</v>
      </c>
      <c r="AA37" s="32">
        <f t="shared" si="7"/>
        <v>2327.2880042778661</v>
      </c>
      <c r="AB37" s="32">
        <f t="shared" si="7"/>
        <v>2318.4443098616098</v>
      </c>
      <c r="AC37" s="32">
        <f t="shared" si="7"/>
        <v>2309.6342214841357</v>
      </c>
      <c r="AD37" s="32">
        <f t="shared" si="7"/>
        <v>2300.8576114424959</v>
      </c>
      <c r="AE37" s="32">
        <f t="shared" si="7"/>
        <v>2292.1143525190146</v>
      </c>
      <c r="AF37" s="32">
        <f t="shared" si="7"/>
        <v>2283.4043179794421</v>
      </c>
      <c r="AG37" s="32">
        <f t="shared" si="7"/>
        <v>2274.7273815711201</v>
      </c>
      <c r="AH37" s="32">
        <f t="shared" si="7"/>
        <v>2266.0834175211494</v>
      </c>
      <c r="AI37" s="32">
        <f t="shared" si="7"/>
        <v>2257.4723005345691</v>
      </c>
      <c r="AJ37" s="32">
        <f t="shared" si="7"/>
        <v>2248.8939057925372</v>
      </c>
    </row>
    <row r="38" spans="1:36" x14ac:dyDescent="0.45">
      <c r="A38" s="34"/>
      <c r="B38" s="4" t="s">
        <v>67</v>
      </c>
      <c r="C38" s="4" t="s">
        <v>68</v>
      </c>
      <c r="D38" s="4" t="s">
        <v>390</v>
      </c>
      <c r="E38" s="4">
        <v>6191</v>
      </c>
      <c r="F38" s="4" t="s">
        <v>391</v>
      </c>
      <c r="G38" s="32">
        <v>6191</v>
      </c>
      <c r="H38" s="32">
        <v>6191</v>
      </c>
      <c r="I38" s="32">
        <v>6191</v>
      </c>
      <c r="J38" s="32">
        <v>6191</v>
      </c>
      <c r="K38" s="32">
        <v>6191</v>
      </c>
      <c r="L38" s="32">
        <v>6191</v>
      </c>
      <c r="M38" s="32">
        <v>6191</v>
      </c>
      <c r="N38" s="32">
        <v>6191</v>
      </c>
      <c r="O38" s="32">
        <v>6191</v>
      </c>
      <c r="P38" s="32">
        <v>6191</v>
      </c>
      <c r="Q38" s="32">
        <v>6191</v>
      </c>
      <c r="R38" s="32">
        <v>6191</v>
      </c>
      <c r="S38" s="32">
        <v>6191</v>
      </c>
      <c r="T38" s="32">
        <v>6191</v>
      </c>
      <c r="U38" s="32">
        <v>6191</v>
      </c>
      <c r="V38" s="32">
        <v>6191</v>
      </c>
      <c r="W38" s="32">
        <v>6191</v>
      </c>
      <c r="X38" s="32">
        <v>6191</v>
      </c>
      <c r="Y38" s="32">
        <v>6191</v>
      </c>
      <c r="Z38" s="32">
        <v>6191</v>
      </c>
      <c r="AA38" s="32">
        <v>6191</v>
      </c>
      <c r="AB38" s="32">
        <v>6191</v>
      </c>
      <c r="AC38" s="32">
        <v>6191</v>
      </c>
      <c r="AD38" s="32">
        <v>6191</v>
      </c>
      <c r="AE38" s="32">
        <v>6191</v>
      </c>
      <c r="AF38" s="32">
        <v>6191</v>
      </c>
      <c r="AG38" s="32">
        <v>6191</v>
      </c>
      <c r="AH38" s="32">
        <v>6191</v>
      </c>
      <c r="AI38" s="32">
        <v>6191</v>
      </c>
      <c r="AJ38" s="32">
        <v>6191</v>
      </c>
    </row>
    <row r="39" spans="1:36" x14ac:dyDescent="0.45">
      <c r="A39" s="34"/>
      <c r="B39" s="4" t="s">
        <v>69</v>
      </c>
      <c r="C39" s="4" t="s">
        <v>70</v>
      </c>
      <c r="D39" s="4" t="s">
        <v>390</v>
      </c>
      <c r="E39" s="4">
        <v>1313</v>
      </c>
      <c r="F39" s="4" t="s">
        <v>391</v>
      </c>
      <c r="G39" s="32">
        <f>$E$39*0.9834^(G1-2020)</f>
        <v>1291.2042000000001</v>
      </c>
      <c r="H39" s="32">
        <f t="shared" ref="H39:AJ39" si="8">$E$39*0.9834^(H1-2020)</f>
        <v>1269.7702102800001</v>
      </c>
      <c r="I39" s="32">
        <f t="shared" si="8"/>
        <v>1248.6920247893522</v>
      </c>
      <c r="J39" s="32">
        <f t="shared" si="8"/>
        <v>1227.963737177849</v>
      </c>
      <c r="K39" s="32">
        <f t="shared" si="8"/>
        <v>1207.5795391406969</v>
      </c>
      <c r="L39" s="32">
        <f t="shared" si="8"/>
        <v>1187.5337187909611</v>
      </c>
      <c r="M39" s="32">
        <f t="shared" si="8"/>
        <v>1167.8206590590312</v>
      </c>
      <c r="N39" s="32">
        <f t="shared" si="8"/>
        <v>1148.4348361186514</v>
      </c>
      <c r="O39" s="32">
        <f t="shared" si="8"/>
        <v>1129.3708178390818</v>
      </c>
      <c r="P39" s="32">
        <f t="shared" si="8"/>
        <v>1110.6232622629532</v>
      </c>
      <c r="Q39" s="32">
        <f t="shared" si="8"/>
        <v>1092.1869161093882</v>
      </c>
      <c r="R39" s="32">
        <f t="shared" si="8"/>
        <v>1074.0566133019724</v>
      </c>
      <c r="S39" s="32">
        <f t="shared" si="8"/>
        <v>1056.2272735211598</v>
      </c>
      <c r="T39" s="32">
        <f t="shared" si="8"/>
        <v>1038.6939007807084</v>
      </c>
      <c r="U39" s="32">
        <f t="shared" si="8"/>
        <v>1021.4515820277488</v>
      </c>
      <c r="V39" s="32">
        <f t="shared" si="8"/>
        <v>1004.4954857660882</v>
      </c>
      <c r="W39" s="32">
        <f t="shared" si="8"/>
        <v>987.82086070237108</v>
      </c>
      <c r="X39" s="32">
        <f t="shared" si="8"/>
        <v>971.42303441471176</v>
      </c>
      <c r="Y39" s="32">
        <f t="shared" si="8"/>
        <v>955.2974120434277</v>
      </c>
      <c r="Z39" s="32">
        <f t="shared" si="8"/>
        <v>939.43947500350669</v>
      </c>
      <c r="AA39" s="32">
        <f t="shared" si="8"/>
        <v>923.84477971844865</v>
      </c>
      <c r="AB39" s="32">
        <f t="shared" si="8"/>
        <v>908.50895637512235</v>
      </c>
      <c r="AC39" s="32">
        <f t="shared" si="8"/>
        <v>893.42770769929541</v>
      </c>
      <c r="AD39" s="32">
        <f t="shared" si="8"/>
        <v>878.59680775148718</v>
      </c>
      <c r="AE39" s="32">
        <f t="shared" si="8"/>
        <v>864.01210074281255</v>
      </c>
      <c r="AF39" s="32">
        <f t="shared" si="8"/>
        <v>849.66949987048179</v>
      </c>
      <c r="AG39" s="32">
        <f t="shared" si="8"/>
        <v>835.56498617263185</v>
      </c>
      <c r="AH39" s="32">
        <f t="shared" si="8"/>
        <v>821.6946074021663</v>
      </c>
      <c r="AI39" s="32">
        <f t="shared" si="8"/>
        <v>808.05447691929021</v>
      </c>
      <c r="AJ39" s="32">
        <f t="shared" si="8"/>
        <v>794.64077260243005</v>
      </c>
    </row>
    <row r="40" spans="1:36" x14ac:dyDescent="0.45">
      <c r="A40" s="34"/>
      <c r="B40" s="4" t="s">
        <v>71</v>
      </c>
      <c r="C40" s="4" t="s">
        <v>72</v>
      </c>
      <c r="D40" s="4" t="s">
        <v>390</v>
      </c>
      <c r="E40" s="4">
        <v>1755</v>
      </c>
      <c r="F40" s="4" t="s">
        <v>391</v>
      </c>
      <c r="G40" s="32">
        <f>$E$40*0.9834^(G1-2020)</f>
        <v>1725.8670000000002</v>
      </c>
      <c r="H40" s="32">
        <f t="shared" ref="H40:AJ40" si="9">$E$40*0.9834^(H1-2020)</f>
        <v>1697.2176078</v>
      </c>
      <c r="I40" s="32">
        <f t="shared" si="9"/>
        <v>1669.0437955105203</v>
      </c>
      <c r="J40" s="32">
        <f t="shared" si="9"/>
        <v>1641.3376685050457</v>
      </c>
      <c r="K40" s="32">
        <f t="shared" si="9"/>
        <v>1614.091463207862</v>
      </c>
      <c r="L40" s="32">
        <f t="shared" si="9"/>
        <v>1587.2975449186113</v>
      </c>
      <c r="M40" s="32">
        <f t="shared" si="9"/>
        <v>1560.9484056729625</v>
      </c>
      <c r="N40" s="32">
        <f t="shared" si="9"/>
        <v>1535.0366621387916</v>
      </c>
      <c r="O40" s="32">
        <f t="shared" si="9"/>
        <v>1509.5550535472878</v>
      </c>
      <c r="P40" s="32">
        <f t="shared" si="9"/>
        <v>1484.4964396584028</v>
      </c>
      <c r="Q40" s="32">
        <f t="shared" si="9"/>
        <v>1459.8537987600735</v>
      </c>
      <c r="R40" s="32">
        <f t="shared" si="9"/>
        <v>1435.6202257006562</v>
      </c>
      <c r="S40" s="32">
        <f t="shared" si="9"/>
        <v>1411.7889299540252</v>
      </c>
      <c r="T40" s="32">
        <f t="shared" si="9"/>
        <v>1388.3532337167885</v>
      </c>
      <c r="U40" s="32">
        <f t="shared" si="9"/>
        <v>1365.3065700370898</v>
      </c>
      <c r="V40" s="32">
        <f t="shared" si="9"/>
        <v>1342.6424809744742</v>
      </c>
      <c r="W40" s="32">
        <f t="shared" si="9"/>
        <v>1320.3546157902979</v>
      </c>
      <c r="X40" s="32">
        <f t="shared" si="9"/>
        <v>1298.436729168179</v>
      </c>
      <c r="Y40" s="32">
        <f t="shared" si="9"/>
        <v>1276.8826794639874</v>
      </c>
      <c r="Z40" s="32">
        <f t="shared" si="9"/>
        <v>1255.6864269848852</v>
      </c>
      <c r="AA40" s="32">
        <f t="shared" si="9"/>
        <v>1234.8420322969364</v>
      </c>
      <c r="AB40" s="32">
        <f t="shared" si="9"/>
        <v>1214.3436545608072</v>
      </c>
      <c r="AC40" s="32">
        <f t="shared" si="9"/>
        <v>1194.1855498950979</v>
      </c>
      <c r="AD40" s="32">
        <f t="shared" si="9"/>
        <v>1174.3620697668393</v>
      </c>
      <c r="AE40" s="32">
        <f t="shared" si="9"/>
        <v>1154.8676594087099</v>
      </c>
      <c r="AF40" s="32">
        <f t="shared" si="9"/>
        <v>1135.6968562625252</v>
      </c>
      <c r="AG40" s="32">
        <f t="shared" si="9"/>
        <v>1116.8442884485673</v>
      </c>
      <c r="AH40" s="32">
        <f t="shared" si="9"/>
        <v>1098.3046732603214</v>
      </c>
      <c r="AI40" s="32">
        <f t="shared" si="9"/>
        <v>1080.0728156841999</v>
      </c>
      <c r="AJ40" s="32">
        <f t="shared" si="9"/>
        <v>1062.1436069438423</v>
      </c>
    </row>
    <row r="41" spans="1:36" x14ac:dyDescent="0.45">
      <c r="A41" s="34"/>
      <c r="B41" s="4" t="s">
        <v>73</v>
      </c>
      <c r="C41" s="4" t="s">
        <v>74</v>
      </c>
      <c r="D41" s="4" t="s">
        <v>390</v>
      </c>
      <c r="E41" s="4">
        <v>7221</v>
      </c>
      <c r="F41" s="4" t="s">
        <v>391</v>
      </c>
      <c r="G41" s="32">
        <f>$E$41*0.9901^(G1-2020)</f>
        <v>7149.5120999999999</v>
      </c>
      <c r="H41" s="32">
        <f t="shared" ref="H41:AJ41" si="10">$E$41*0.9901^(H1-2020)</f>
        <v>7078.7319302099995</v>
      </c>
      <c r="I41" s="32">
        <f t="shared" si="10"/>
        <v>7008.6524841009204</v>
      </c>
      <c r="J41" s="32">
        <f t="shared" si="10"/>
        <v>6939.2668245083214</v>
      </c>
      <c r="K41" s="32">
        <f t="shared" si="10"/>
        <v>6870.5680829456896</v>
      </c>
      <c r="L41" s="32">
        <f t="shared" si="10"/>
        <v>6802.5494589245263</v>
      </c>
      <c r="M41" s="32">
        <f t="shared" si="10"/>
        <v>6735.2042192811732</v>
      </c>
      <c r="N41" s="32">
        <f t="shared" si="10"/>
        <v>6668.5256975102893</v>
      </c>
      <c r="O41" s="32">
        <f t="shared" si="10"/>
        <v>6602.5072931049372</v>
      </c>
      <c r="P41" s="32">
        <f t="shared" si="10"/>
        <v>6537.142470903198</v>
      </c>
      <c r="Q41" s="32">
        <f t="shared" si="10"/>
        <v>6472.4247604412567</v>
      </c>
      <c r="R41" s="32">
        <f t="shared" si="10"/>
        <v>6408.3477553128887</v>
      </c>
      <c r="S41" s="32">
        <f t="shared" si="10"/>
        <v>6344.9051125352908</v>
      </c>
      <c r="T41" s="32">
        <f t="shared" si="10"/>
        <v>6282.090551921191</v>
      </c>
      <c r="U41" s="32">
        <f t="shared" si="10"/>
        <v>6219.8978554571713</v>
      </c>
      <c r="V41" s="32">
        <f t="shared" si="10"/>
        <v>6158.3208666881446</v>
      </c>
      <c r="W41" s="32">
        <f t="shared" si="10"/>
        <v>6097.353490107932</v>
      </c>
      <c r="X41" s="32">
        <f t="shared" si="10"/>
        <v>6036.9896905558635</v>
      </c>
      <c r="Y41" s="32">
        <f t="shared" si="10"/>
        <v>5977.2234926193605</v>
      </c>
      <c r="Z41" s="32">
        <f t="shared" si="10"/>
        <v>5918.0489800424284</v>
      </c>
      <c r="AA41" s="32">
        <f t="shared" si="10"/>
        <v>5859.4602951400084</v>
      </c>
      <c r="AB41" s="32">
        <f t="shared" si="10"/>
        <v>5801.4516382181228</v>
      </c>
      <c r="AC41" s="32">
        <f t="shared" si="10"/>
        <v>5744.0172669997619</v>
      </c>
      <c r="AD41" s="32">
        <f t="shared" si="10"/>
        <v>5687.1514960564646</v>
      </c>
      <c r="AE41" s="32">
        <f t="shared" si="10"/>
        <v>5630.8486962455054</v>
      </c>
      <c r="AF41" s="32">
        <f t="shared" si="10"/>
        <v>5575.1032941526746</v>
      </c>
      <c r="AG41" s="32">
        <f t="shared" si="10"/>
        <v>5519.9097715405633</v>
      </c>
      <c r="AH41" s="32">
        <f t="shared" si="10"/>
        <v>5465.2626648023115</v>
      </c>
      <c r="AI41" s="32">
        <f t="shared" si="10"/>
        <v>5411.1565644207685</v>
      </c>
      <c r="AJ41" s="32">
        <f t="shared" si="10"/>
        <v>5357.5861144330029</v>
      </c>
    </row>
    <row r="42" spans="1:36" x14ac:dyDescent="0.45">
      <c r="A42" s="34"/>
      <c r="B42" s="4" t="s">
        <v>75</v>
      </c>
      <c r="C42" s="4" t="s">
        <v>76</v>
      </c>
      <c r="D42" s="4" t="s">
        <v>390</v>
      </c>
      <c r="E42" s="4">
        <v>1265</v>
      </c>
      <c r="F42" s="4" t="s">
        <v>391</v>
      </c>
      <c r="G42" s="32">
        <f>$E$42*0.9968^(G1-2020)</f>
        <v>1260.952</v>
      </c>
      <c r="H42" s="32">
        <f t="shared" ref="H42:AJ42" si="11">$E$42*0.9968^(H1-2020)</f>
        <v>1256.9169536000002</v>
      </c>
      <c r="I42" s="32">
        <f t="shared" si="11"/>
        <v>1252.89481934848</v>
      </c>
      <c r="J42" s="32">
        <f t="shared" si="11"/>
        <v>1248.8855559265651</v>
      </c>
      <c r="K42" s="32">
        <f t="shared" si="11"/>
        <v>1244.8891221476001</v>
      </c>
      <c r="L42" s="32">
        <f t="shared" si="11"/>
        <v>1240.9054769567279</v>
      </c>
      <c r="M42" s="32">
        <f t="shared" si="11"/>
        <v>1236.9345794304663</v>
      </c>
      <c r="N42" s="32">
        <f t="shared" si="11"/>
        <v>1232.976388776289</v>
      </c>
      <c r="O42" s="32">
        <f t="shared" si="11"/>
        <v>1229.0308643322048</v>
      </c>
      <c r="P42" s="32">
        <f t="shared" si="11"/>
        <v>1225.0979655663421</v>
      </c>
      <c r="Q42" s="32">
        <f t="shared" si="11"/>
        <v>1221.1776520765297</v>
      </c>
      <c r="R42" s="32">
        <f t="shared" si="11"/>
        <v>1217.2698835898848</v>
      </c>
      <c r="S42" s="32">
        <f t="shared" si="11"/>
        <v>1213.3746199623972</v>
      </c>
      <c r="T42" s="32">
        <f t="shared" si="11"/>
        <v>1209.4918211785175</v>
      </c>
      <c r="U42" s="32">
        <f t="shared" si="11"/>
        <v>1205.6214473507464</v>
      </c>
      <c r="V42" s="32">
        <f t="shared" si="11"/>
        <v>1201.7634587192242</v>
      </c>
      <c r="W42" s="32">
        <f t="shared" si="11"/>
        <v>1197.9178156513226</v>
      </c>
      <c r="X42" s="32">
        <f t="shared" si="11"/>
        <v>1194.0844786412385</v>
      </c>
      <c r="Y42" s="32">
        <f t="shared" si="11"/>
        <v>1190.2634083095866</v>
      </c>
      <c r="Z42" s="32">
        <f t="shared" si="11"/>
        <v>1186.454565402996</v>
      </c>
      <c r="AA42" s="32">
        <f t="shared" si="11"/>
        <v>1182.6579107937064</v>
      </c>
      <c r="AB42" s="32">
        <f t="shared" si="11"/>
        <v>1178.8734054791666</v>
      </c>
      <c r="AC42" s="32">
        <f t="shared" si="11"/>
        <v>1175.1010105816333</v>
      </c>
      <c r="AD42" s="32">
        <f t="shared" si="11"/>
        <v>1171.3406873477722</v>
      </c>
      <c r="AE42" s="32">
        <f t="shared" si="11"/>
        <v>1167.5923971482594</v>
      </c>
      <c r="AF42" s="32">
        <f t="shared" si="11"/>
        <v>1163.856101477385</v>
      </c>
      <c r="AG42" s="32">
        <f t="shared" si="11"/>
        <v>1160.1317619526576</v>
      </c>
      <c r="AH42" s="32">
        <f t="shared" si="11"/>
        <v>1156.4193403144091</v>
      </c>
      <c r="AI42" s="32">
        <f t="shared" si="11"/>
        <v>1152.7187984254031</v>
      </c>
      <c r="AJ42" s="32">
        <f t="shared" si="11"/>
        <v>1149.0300982704418</v>
      </c>
    </row>
    <row r="43" spans="1:36" x14ac:dyDescent="0.45">
      <c r="A43" s="34"/>
      <c r="B43" s="4" t="s">
        <v>77</v>
      </c>
      <c r="C43" s="4" t="s">
        <v>78</v>
      </c>
      <c r="D43" s="4" t="s">
        <v>390</v>
      </c>
      <c r="E43" s="4">
        <v>2654</v>
      </c>
      <c r="F43" s="4" t="s">
        <v>391</v>
      </c>
      <c r="G43" s="32">
        <f>$E$43*0.9968^(G1-2020)</f>
        <v>2645.5072</v>
      </c>
      <c r="H43" s="32">
        <f t="shared" ref="H43:AJ43" si="12">$E$43*0.9968^(H1-2020)</f>
        <v>2637.0415769600004</v>
      </c>
      <c r="I43" s="32">
        <f t="shared" si="12"/>
        <v>2628.6030439137285</v>
      </c>
      <c r="J43" s="32">
        <f t="shared" si="12"/>
        <v>2620.1915141732047</v>
      </c>
      <c r="K43" s="32">
        <f t="shared" si="12"/>
        <v>2611.8069013278505</v>
      </c>
      <c r="L43" s="32">
        <f t="shared" si="12"/>
        <v>2603.4491192436012</v>
      </c>
      <c r="M43" s="32">
        <f t="shared" si="12"/>
        <v>2595.118082062022</v>
      </c>
      <c r="N43" s="32">
        <f t="shared" si="12"/>
        <v>2586.8137041994237</v>
      </c>
      <c r="O43" s="32">
        <f t="shared" si="12"/>
        <v>2578.5359003459857</v>
      </c>
      <c r="P43" s="32">
        <f t="shared" si="12"/>
        <v>2570.2845854648785</v>
      </c>
      <c r="Q43" s="32">
        <f t="shared" si="12"/>
        <v>2562.0596747913914</v>
      </c>
      <c r="R43" s="32">
        <f t="shared" si="12"/>
        <v>2553.8610838320587</v>
      </c>
      <c r="S43" s="32">
        <f t="shared" si="12"/>
        <v>2545.6887283637966</v>
      </c>
      <c r="T43" s="32">
        <f t="shared" si="12"/>
        <v>2537.5425244330322</v>
      </c>
      <c r="U43" s="32">
        <f t="shared" si="12"/>
        <v>2529.4223883548466</v>
      </c>
      <c r="V43" s="32">
        <f t="shared" si="12"/>
        <v>2521.3282367121114</v>
      </c>
      <c r="W43" s="32">
        <f t="shared" si="12"/>
        <v>2513.2599863546329</v>
      </c>
      <c r="X43" s="32">
        <f t="shared" si="12"/>
        <v>2505.217554398298</v>
      </c>
      <c r="Y43" s="32">
        <f t="shared" si="12"/>
        <v>2497.2008582242238</v>
      </c>
      <c r="Z43" s="32">
        <f t="shared" si="12"/>
        <v>2489.2098154779064</v>
      </c>
      <c r="AA43" s="32">
        <f t="shared" si="12"/>
        <v>2481.2443440683769</v>
      </c>
      <c r="AB43" s="32">
        <f t="shared" si="12"/>
        <v>2473.3043621673582</v>
      </c>
      <c r="AC43" s="32">
        <f t="shared" si="12"/>
        <v>2465.3897882084225</v>
      </c>
      <c r="AD43" s="32">
        <f t="shared" si="12"/>
        <v>2457.5005408861562</v>
      </c>
      <c r="AE43" s="32">
        <f t="shared" si="12"/>
        <v>2449.6365391553204</v>
      </c>
      <c r="AF43" s="32">
        <f t="shared" si="12"/>
        <v>2441.7977022300238</v>
      </c>
      <c r="AG43" s="32">
        <f t="shared" si="12"/>
        <v>2433.9839495828878</v>
      </c>
      <c r="AH43" s="32">
        <f t="shared" si="12"/>
        <v>2426.1952009442225</v>
      </c>
      <c r="AI43" s="32">
        <f t="shared" si="12"/>
        <v>2418.431376301201</v>
      </c>
      <c r="AJ43" s="32">
        <f t="shared" si="12"/>
        <v>2410.6923958970374</v>
      </c>
    </row>
    <row r="44" spans="1:36" x14ac:dyDescent="0.45">
      <c r="A44" s="34"/>
      <c r="B44" s="4" t="s">
        <v>79</v>
      </c>
      <c r="C44" s="4" t="s">
        <v>80</v>
      </c>
      <c r="D44" s="4" t="s">
        <v>390</v>
      </c>
      <c r="E44" s="4">
        <v>4375</v>
      </c>
      <c r="F44" s="4" t="s">
        <v>391</v>
      </c>
      <c r="G44" s="32">
        <f>$E$44*0.9959^(G1-2020)</f>
        <v>4357.0625</v>
      </c>
      <c r="H44" s="32">
        <f t="shared" ref="H44:AJ44" si="13">$E$44*0.9959^(H1-2020)</f>
        <v>4339.1985437499998</v>
      </c>
      <c r="I44" s="32">
        <f t="shared" si="13"/>
        <v>4321.4078297206252</v>
      </c>
      <c r="J44" s="32">
        <f t="shared" si="13"/>
        <v>4303.6900576187709</v>
      </c>
      <c r="K44" s="32">
        <f t="shared" si="13"/>
        <v>4286.0449283825337</v>
      </c>
      <c r="L44" s="32">
        <f t="shared" si="13"/>
        <v>4268.4721441761649</v>
      </c>
      <c r="M44" s="32">
        <f t="shared" si="13"/>
        <v>4250.9714083850431</v>
      </c>
      <c r="N44" s="32">
        <f t="shared" si="13"/>
        <v>4233.5424256106644</v>
      </c>
      <c r="O44" s="32">
        <f t="shared" si="13"/>
        <v>4216.1849016656606</v>
      </c>
      <c r="P44" s="32">
        <f t="shared" si="13"/>
        <v>4198.898543568831</v>
      </c>
      <c r="Q44" s="32">
        <f t="shared" si="13"/>
        <v>4181.6830595401998</v>
      </c>
      <c r="R44" s="32">
        <f t="shared" si="13"/>
        <v>4164.5381589960843</v>
      </c>
      <c r="S44" s="32">
        <f t="shared" si="13"/>
        <v>4147.4635525442</v>
      </c>
      <c r="T44" s="32">
        <f t="shared" si="13"/>
        <v>4130.4589519787696</v>
      </c>
      <c r="U44" s="32">
        <f t="shared" si="13"/>
        <v>4113.5240702756564</v>
      </c>
      <c r="V44" s="32">
        <f t="shared" si="13"/>
        <v>4096.6586215875259</v>
      </c>
      <c r="W44" s="32">
        <f t="shared" si="13"/>
        <v>4079.8623212390175</v>
      </c>
      <c r="X44" s="32">
        <f t="shared" si="13"/>
        <v>4063.1348857219373</v>
      </c>
      <c r="Y44" s="32">
        <f t="shared" si="13"/>
        <v>4046.4760326904775</v>
      </c>
      <c r="Z44" s="32">
        <f t="shared" si="13"/>
        <v>4029.8854809564459</v>
      </c>
      <c r="AA44" s="32">
        <f t="shared" si="13"/>
        <v>4013.3629504845248</v>
      </c>
      <c r="AB44" s="32">
        <f t="shared" si="13"/>
        <v>3996.9081623875381</v>
      </c>
      <c r="AC44" s="32">
        <f t="shared" si="13"/>
        <v>3980.5208389217496</v>
      </c>
      <c r="AD44" s="32">
        <f t="shared" si="13"/>
        <v>3964.2007034821704</v>
      </c>
      <c r="AE44" s="32">
        <f t="shared" si="13"/>
        <v>3947.9474805978939</v>
      </c>
      <c r="AF44" s="32">
        <f t="shared" si="13"/>
        <v>3931.7608959274417</v>
      </c>
      <c r="AG44" s="32">
        <f t="shared" si="13"/>
        <v>3915.6406762541396</v>
      </c>
      <c r="AH44" s="32">
        <f t="shared" si="13"/>
        <v>3899.5865494814975</v>
      </c>
      <c r="AI44" s="32">
        <f t="shared" si="13"/>
        <v>3883.5982446286234</v>
      </c>
      <c r="AJ44" s="32">
        <f t="shared" si="13"/>
        <v>3867.6754918256461</v>
      </c>
    </row>
    <row r="45" spans="1:36" x14ac:dyDescent="0.45">
      <c r="A45" s="34"/>
      <c r="B45" s="4" t="s">
        <v>81</v>
      </c>
      <c r="C45" s="4" t="s">
        <v>82</v>
      </c>
      <c r="D45" s="4" t="s">
        <v>390</v>
      </c>
      <c r="E45" s="4">
        <v>5764</v>
      </c>
      <c r="F45" s="4" t="s">
        <v>391</v>
      </c>
      <c r="G45" s="32">
        <f>$E$45*0.9959^(G1-2020)</f>
        <v>5740.3676000000005</v>
      </c>
      <c r="H45" s="32">
        <f t="shared" ref="H45:AJ45" si="14">$E$45*0.9959^(H1-2020)</f>
        <v>5716.8320928399999</v>
      </c>
      <c r="I45" s="32">
        <f t="shared" si="14"/>
        <v>5693.3930812593562</v>
      </c>
      <c r="J45" s="32">
        <f t="shared" si="14"/>
        <v>5670.0501696261927</v>
      </c>
      <c r="K45" s="32">
        <f t="shared" si="14"/>
        <v>5646.8029639307251</v>
      </c>
      <c r="L45" s="32">
        <f t="shared" si="14"/>
        <v>5623.6510717786095</v>
      </c>
      <c r="M45" s="32">
        <f t="shared" si="14"/>
        <v>5600.594102384317</v>
      </c>
      <c r="N45" s="32">
        <f t="shared" si="14"/>
        <v>5577.6316665645409</v>
      </c>
      <c r="O45" s="32">
        <f t="shared" si="14"/>
        <v>5554.7633767316265</v>
      </c>
      <c r="P45" s="32">
        <f t="shared" si="14"/>
        <v>5531.9888468870267</v>
      </c>
      <c r="Q45" s="32">
        <f t="shared" si="14"/>
        <v>5509.3076926147905</v>
      </c>
      <c r="R45" s="32">
        <f t="shared" si="14"/>
        <v>5486.7195310750694</v>
      </c>
      <c r="S45" s="32">
        <f t="shared" si="14"/>
        <v>5464.2239809976618</v>
      </c>
      <c r="T45" s="32">
        <f t="shared" si="14"/>
        <v>5441.8206626755718</v>
      </c>
      <c r="U45" s="32">
        <f t="shared" si="14"/>
        <v>5419.5091979586014</v>
      </c>
      <c r="V45" s="32">
        <f t="shared" si="14"/>
        <v>5397.2892102469714</v>
      </c>
      <c r="W45" s="32">
        <f t="shared" si="14"/>
        <v>5375.1603244849593</v>
      </c>
      <c r="X45" s="32">
        <f t="shared" si="14"/>
        <v>5353.1221671545709</v>
      </c>
      <c r="Y45" s="32">
        <f t="shared" si="14"/>
        <v>5331.174366269237</v>
      </c>
      <c r="Z45" s="32">
        <f t="shared" si="14"/>
        <v>5309.3165513675331</v>
      </c>
      <c r="AA45" s="32">
        <f t="shared" si="14"/>
        <v>5287.5483535069261</v>
      </c>
      <c r="AB45" s="32">
        <f t="shared" si="14"/>
        <v>5265.8694052575474</v>
      </c>
      <c r="AC45" s="32">
        <f t="shared" si="14"/>
        <v>5244.2793406959918</v>
      </c>
      <c r="AD45" s="32">
        <f t="shared" si="14"/>
        <v>5222.7777953991381</v>
      </c>
      <c r="AE45" s="32">
        <f t="shared" si="14"/>
        <v>5201.3644064380023</v>
      </c>
      <c r="AF45" s="32">
        <f t="shared" si="14"/>
        <v>5180.0388123716057</v>
      </c>
      <c r="AG45" s="32">
        <f t="shared" si="14"/>
        <v>5158.8006532408826</v>
      </c>
      <c r="AH45" s="32">
        <f t="shared" si="14"/>
        <v>5137.6495705625948</v>
      </c>
      <c r="AI45" s="32">
        <f t="shared" si="14"/>
        <v>5116.5852073232882</v>
      </c>
      <c r="AJ45" s="32">
        <f t="shared" si="14"/>
        <v>5095.607207973263</v>
      </c>
    </row>
    <row r="46" spans="1:36" ht="43.5" x14ac:dyDescent="0.45">
      <c r="A46" s="34"/>
      <c r="B46" s="4" t="s">
        <v>83</v>
      </c>
      <c r="C46" s="4" t="s">
        <v>84</v>
      </c>
      <c r="D46" s="4" t="s">
        <v>390</v>
      </c>
      <c r="E46" s="4">
        <v>3300</v>
      </c>
      <c r="F46" s="14" t="s">
        <v>395</v>
      </c>
      <c r="G46" s="32">
        <v>3300</v>
      </c>
      <c r="H46" s="32">
        <v>3300</v>
      </c>
      <c r="I46" s="32">
        <v>3300</v>
      </c>
      <c r="J46" s="32">
        <v>3300</v>
      </c>
      <c r="K46" s="32">
        <v>3300</v>
      </c>
      <c r="L46" s="32">
        <v>3300</v>
      </c>
      <c r="M46" s="32">
        <v>3300</v>
      </c>
      <c r="N46" s="32">
        <v>3300</v>
      </c>
      <c r="O46" s="32">
        <v>3300</v>
      </c>
      <c r="P46" s="32">
        <v>3300</v>
      </c>
      <c r="Q46" s="32">
        <v>3300</v>
      </c>
      <c r="R46" s="32">
        <v>3300</v>
      </c>
      <c r="S46" s="32">
        <v>3300</v>
      </c>
      <c r="T46" s="32">
        <v>3300</v>
      </c>
      <c r="U46" s="32">
        <v>3300</v>
      </c>
      <c r="V46" s="32">
        <v>3300</v>
      </c>
      <c r="W46" s="32">
        <v>3300</v>
      </c>
      <c r="X46" s="32">
        <v>3300</v>
      </c>
      <c r="Y46" s="32">
        <v>3300</v>
      </c>
      <c r="Z46" s="32">
        <v>3300</v>
      </c>
      <c r="AA46" s="32">
        <v>3300</v>
      </c>
      <c r="AB46" s="32">
        <v>3300</v>
      </c>
      <c r="AC46" s="32">
        <v>3300</v>
      </c>
      <c r="AD46" s="32">
        <v>3300</v>
      </c>
      <c r="AE46" s="32">
        <v>3300</v>
      </c>
      <c r="AF46" s="32">
        <v>3300</v>
      </c>
      <c r="AG46" s="32">
        <v>3300</v>
      </c>
      <c r="AH46" s="32">
        <v>3300</v>
      </c>
      <c r="AI46" s="32">
        <v>3300</v>
      </c>
      <c r="AJ46" s="32">
        <v>3300</v>
      </c>
    </row>
    <row r="47" spans="1:36" ht="17.25" customHeight="1" x14ac:dyDescent="0.45">
      <c r="A47" s="35" t="s">
        <v>210</v>
      </c>
      <c r="B47" s="4" t="s">
        <v>55</v>
      </c>
      <c r="C47" s="4" t="s">
        <v>56</v>
      </c>
      <c r="D47" s="4" t="s">
        <v>422</v>
      </c>
      <c r="E47" s="4">
        <v>35409</v>
      </c>
      <c r="F47" s="4" t="s">
        <v>423</v>
      </c>
      <c r="G47" s="32">
        <v>35409</v>
      </c>
      <c r="H47" s="32">
        <v>35409</v>
      </c>
      <c r="I47" s="32">
        <v>35409</v>
      </c>
      <c r="J47" s="32">
        <v>35409</v>
      </c>
      <c r="K47" s="32">
        <v>35409</v>
      </c>
      <c r="L47" s="32">
        <v>35409</v>
      </c>
      <c r="M47" s="32">
        <v>35409</v>
      </c>
      <c r="N47" s="32">
        <v>35409</v>
      </c>
      <c r="O47" s="32">
        <v>35409</v>
      </c>
      <c r="P47" s="32">
        <v>35409</v>
      </c>
      <c r="Q47" s="32">
        <v>35409</v>
      </c>
      <c r="R47" s="32">
        <v>35409</v>
      </c>
      <c r="S47" s="32">
        <v>35409</v>
      </c>
      <c r="T47" s="32">
        <v>35409</v>
      </c>
      <c r="U47" s="32">
        <v>35409</v>
      </c>
      <c r="V47" s="32">
        <v>35409</v>
      </c>
      <c r="W47" s="32">
        <v>35409</v>
      </c>
      <c r="X47" s="32">
        <v>35409</v>
      </c>
      <c r="Y47" s="32">
        <v>35409</v>
      </c>
      <c r="Z47" s="32">
        <v>35409</v>
      </c>
      <c r="AA47" s="32">
        <v>35409</v>
      </c>
      <c r="AB47" s="32">
        <v>35409</v>
      </c>
      <c r="AC47" s="32">
        <v>35409</v>
      </c>
      <c r="AD47" s="32">
        <v>35409</v>
      </c>
      <c r="AE47" s="32">
        <v>35409</v>
      </c>
      <c r="AF47" s="32">
        <v>35409</v>
      </c>
      <c r="AG47" s="32">
        <v>35409</v>
      </c>
      <c r="AH47" s="32">
        <v>35409</v>
      </c>
      <c r="AI47" s="32">
        <v>35409</v>
      </c>
      <c r="AJ47" s="32">
        <v>35409</v>
      </c>
    </row>
    <row r="48" spans="1:36" x14ac:dyDescent="0.45">
      <c r="A48" s="36"/>
      <c r="B48" s="4" t="s">
        <v>57</v>
      </c>
      <c r="C48" s="4" t="s">
        <v>58</v>
      </c>
      <c r="D48" s="4" t="s">
        <v>398</v>
      </c>
      <c r="E48" s="4">
        <v>6.66</v>
      </c>
      <c r="F48" s="4" t="s">
        <v>423</v>
      </c>
      <c r="G48" s="32">
        <v>6.66</v>
      </c>
      <c r="H48" s="32">
        <v>6.66</v>
      </c>
      <c r="I48" s="32">
        <v>6.66</v>
      </c>
      <c r="J48" s="32">
        <v>6.66</v>
      </c>
      <c r="K48" s="32">
        <v>6.66</v>
      </c>
      <c r="L48" s="32">
        <v>6.66</v>
      </c>
      <c r="M48" s="32">
        <v>6.66</v>
      </c>
      <c r="N48" s="32">
        <v>6.66</v>
      </c>
      <c r="O48" s="32">
        <v>6.66</v>
      </c>
      <c r="P48" s="32">
        <v>6.66</v>
      </c>
      <c r="Q48" s="32">
        <v>6.66</v>
      </c>
      <c r="R48" s="32">
        <v>6.66</v>
      </c>
      <c r="S48" s="32">
        <v>6.66</v>
      </c>
      <c r="T48" s="32">
        <v>6.66</v>
      </c>
      <c r="U48" s="32">
        <v>6.66</v>
      </c>
      <c r="V48" s="32">
        <v>6.66</v>
      </c>
      <c r="W48" s="32">
        <v>6.66</v>
      </c>
      <c r="X48" s="32">
        <v>6.66</v>
      </c>
      <c r="Y48" s="32">
        <v>6.66</v>
      </c>
      <c r="Z48" s="32">
        <v>6.66</v>
      </c>
      <c r="AA48" s="32">
        <v>6.66</v>
      </c>
      <c r="AB48" s="32">
        <v>6.66</v>
      </c>
      <c r="AC48" s="32">
        <v>6.66</v>
      </c>
      <c r="AD48" s="32">
        <v>6.66</v>
      </c>
      <c r="AE48" s="32">
        <v>6.66</v>
      </c>
      <c r="AF48" s="32">
        <v>6.66</v>
      </c>
      <c r="AG48" s="32">
        <v>6.66</v>
      </c>
      <c r="AH48" s="32">
        <v>6.66</v>
      </c>
      <c r="AI48" s="32">
        <v>6.66</v>
      </c>
      <c r="AJ48" s="32">
        <v>6.66</v>
      </c>
    </row>
    <row r="49" spans="1:36" x14ac:dyDescent="0.45">
      <c r="A49" s="36"/>
      <c r="B49" s="4" t="s">
        <v>59</v>
      </c>
      <c r="C49" s="4" t="s">
        <v>60</v>
      </c>
      <c r="D49" s="4" t="s">
        <v>398</v>
      </c>
      <c r="E49" s="4">
        <v>889</v>
      </c>
      <c r="F49" s="4" t="s">
        <v>440</v>
      </c>
      <c r="G49" s="32">
        <f>$E$49</f>
        <v>889</v>
      </c>
      <c r="H49" s="32">
        <f t="shared" ref="H49:AJ49" si="15">$E$49</f>
        <v>889</v>
      </c>
      <c r="I49" s="32">
        <f t="shared" si="15"/>
        <v>889</v>
      </c>
      <c r="J49" s="32">
        <f t="shared" si="15"/>
        <v>889</v>
      </c>
      <c r="K49" s="32">
        <f t="shared" si="15"/>
        <v>889</v>
      </c>
      <c r="L49" s="32">
        <f t="shared" si="15"/>
        <v>889</v>
      </c>
      <c r="M49" s="32">
        <f t="shared" si="15"/>
        <v>889</v>
      </c>
      <c r="N49" s="32">
        <f t="shared" si="15"/>
        <v>889</v>
      </c>
      <c r="O49" s="32">
        <f t="shared" si="15"/>
        <v>889</v>
      </c>
      <c r="P49" s="32">
        <f t="shared" si="15"/>
        <v>889</v>
      </c>
      <c r="Q49" s="32">
        <f t="shared" si="15"/>
        <v>889</v>
      </c>
      <c r="R49" s="32">
        <f t="shared" si="15"/>
        <v>889</v>
      </c>
      <c r="S49" s="32">
        <f t="shared" si="15"/>
        <v>889</v>
      </c>
      <c r="T49" s="32">
        <f t="shared" si="15"/>
        <v>889</v>
      </c>
      <c r="U49" s="32">
        <f t="shared" si="15"/>
        <v>889</v>
      </c>
      <c r="V49" s="32">
        <f t="shared" si="15"/>
        <v>889</v>
      </c>
      <c r="W49" s="32">
        <f t="shared" si="15"/>
        <v>889</v>
      </c>
      <c r="X49" s="32">
        <f t="shared" si="15"/>
        <v>889</v>
      </c>
      <c r="Y49" s="32">
        <f t="shared" si="15"/>
        <v>889</v>
      </c>
      <c r="Z49" s="32">
        <f t="shared" si="15"/>
        <v>889</v>
      </c>
      <c r="AA49" s="32">
        <f t="shared" si="15"/>
        <v>889</v>
      </c>
      <c r="AB49" s="32">
        <f t="shared" si="15"/>
        <v>889</v>
      </c>
      <c r="AC49" s="32">
        <f t="shared" si="15"/>
        <v>889</v>
      </c>
      <c r="AD49" s="32">
        <f t="shared" si="15"/>
        <v>889</v>
      </c>
      <c r="AE49" s="32">
        <f t="shared" si="15"/>
        <v>889</v>
      </c>
      <c r="AF49" s="32">
        <f t="shared" si="15"/>
        <v>889</v>
      </c>
      <c r="AG49" s="32">
        <f t="shared" si="15"/>
        <v>889</v>
      </c>
      <c r="AH49" s="32">
        <f t="shared" si="15"/>
        <v>889</v>
      </c>
      <c r="AI49" s="32">
        <f t="shared" si="15"/>
        <v>889</v>
      </c>
      <c r="AJ49" s="32">
        <f t="shared" si="15"/>
        <v>889</v>
      </c>
    </row>
    <row r="50" spans="1:36" x14ac:dyDescent="0.45">
      <c r="A50" s="36"/>
      <c r="B50" s="4" t="s">
        <v>61</v>
      </c>
      <c r="C50" s="4" t="s">
        <v>62</v>
      </c>
      <c r="D50" s="4" t="s">
        <v>390</v>
      </c>
      <c r="E50" s="4">
        <v>363</v>
      </c>
      <c r="F50" s="4" t="s">
        <v>440</v>
      </c>
      <c r="G50" s="32">
        <f>$E$50</f>
        <v>363</v>
      </c>
      <c r="H50" s="32">
        <f t="shared" ref="H50:AJ50" si="16">$E$50</f>
        <v>363</v>
      </c>
      <c r="I50" s="32">
        <f t="shared" si="16"/>
        <v>363</v>
      </c>
      <c r="J50" s="32">
        <f t="shared" si="16"/>
        <v>363</v>
      </c>
      <c r="K50" s="32">
        <f t="shared" si="16"/>
        <v>363</v>
      </c>
      <c r="L50" s="32">
        <f t="shared" si="16"/>
        <v>363</v>
      </c>
      <c r="M50" s="32">
        <f t="shared" si="16"/>
        <v>363</v>
      </c>
      <c r="N50" s="32">
        <f t="shared" si="16"/>
        <v>363</v>
      </c>
      <c r="O50" s="32">
        <f t="shared" si="16"/>
        <v>363</v>
      </c>
      <c r="P50" s="32">
        <f t="shared" si="16"/>
        <v>363</v>
      </c>
      <c r="Q50" s="32">
        <f t="shared" si="16"/>
        <v>363</v>
      </c>
      <c r="R50" s="32">
        <f t="shared" si="16"/>
        <v>363</v>
      </c>
      <c r="S50" s="32">
        <f t="shared" si="16"/>
        <v>363</v>
      </c>
      <c r="T50" s="32">
        <f t="shared" si="16"/>
        <v>363</v>
      </c>
      <c r="U50" s="32">
        <f t="shared" si="16"/>
        <v>363</v>
      </c>
      <c r="V50" s="32">
        <f t="shared" si="16"/>
        <v>363</v>
      </c>
      <c r="W50" s="32">
        <f t="shared" si="16"/>
        <v>363</v>
      </c>
      <c r="X50" s="32">
        <f t="shared" si="16"/>
        <v>363</v>
      </c>
      <c r="Y50" s="32">
        <f t="shared" si="16"/>
        <v>363</v>
      </c>
      <c r="Z50" s="32">
        <f t="shared" si="16"/>
        <v>363</v>
      </c>
      <c r="AA50" s="32">
        <f t="shared" si="16"/>
        <v>363</v>
      </c>
      <c r="AB50" s="32">
        <f t="shared" si="16"/>
        <v>363</v>
      </c>
      <c r="AC50" s="32">
        <f t="shared" si="16"/>
        <v>363</v>
      </c>
      <c r="AD50" s="32">
        <f t="shared" si="16"/>
        <v>363</v>
      </c>
      <c r="AE50" s="32">
        <f t="shared" si="16"/>
        <v>363</v>
      </c>
      <c r="AF50" s="32">
        <f t="shared" si="16"/>
        <v>363</v>
      </c>
      <c r="AG50" s="32">
        <f t="shared" si="16"/>
        <v>363</v>
      </c>
      <c r="AH50" s="32">
        <f t="shared" si="16"/>
        <v>363</v>
      </c>
      <c r="AI50" s="32">
        <f t="shared" si="16"/>
        <v>363</v>
      </c>
      <c r="AJ50" s="32">
        <f t="shared" si="16"/>
        <v>363</v>
      </c>
    </row>
    <row r="51" spans="1:36" x14ac:dyDescent="0.45">
      <c r="A51" s="36"/>
      <c r="B51" s="4" t="s">
        <v>85</v>
      </c>
      <c r="C51" s="4" t="s">
        <v>86</v>
      </c>
      <c r="D51" s="4" t="s">
        <v>390</v>
      </c>
      <c r="E51" s="4">
        <v>659</v>
      </c>
      <c r="F51" s="4" t="s">
        <v>409</v>
      </c>
      <c r="G51" s="32">
        <f>$E$51*0.9933^(G1-2020)</f>
        <v>654.5847</v>
      </c>
      <c r="H51" s="32">
        <f t="shared" ref="H51:AJ51" si="17">$E$51*0.9933^(H1-2020)</f>
        <v>650.19898250999995</v>
      </c>
      <c r="I51" s="32">
        <f t="shared" si="17"/>
        <v>645.84264932718293</v>
      </c>
      <c r="J51" s="32">
        <f t="shared" si="17"/>
        <v>641.51550357669078</v>
      </c>
      <c r="K51" s="32">
        <f t="shared" si="17"/>
        <v>637.21734970272689</v>
      </c>
      <c r="L51" s="32">
        <f t="shared" si="17"/>
        <v>632.94799345971853</v>
      </c>
      <c r="M51" s="32">
        <f t="shared" si="17"/>
        <v>628.70724190353849</v>
      </c>
      <c r="N51" s="32">
        <f t="shared" si="17"/>
        <v>624.49490338278474</v>
      </c>
      <c r="O51" s="32">
        <f t="shared" si="17"/>
        <v>620.31078753012002</v>
      </c>
      <c r="P51" s="32">
        <f t="shared" si="17"/>
        <v>616.15470525366823</v>
      </c>
      <c r="Q51" s="32">
        <f t="shared" si="17"/>
        <v>612.02646872846856</v>
      </c>
      <c r="R51" s="32">
        <f t="shared" si="17"/>
        <v>607.9258913879878</v>
      </c>
      <c r="S51" s="32">
        <f t="shared" si="17"/>
        <v>603.85278791568828</v>
      </c>
      <c r="T51" s="32">
        <f t="shared" si="17"/>
        <v>599.8069742366531</v>
      </c>
      <c r="U51" s="32">
        <f t="shared" si="17"/>
        <v>595.78826750926748</v>
      </c>
      <c r="V51" s="32">
        <f t="shared" si="17"/>
        <v>591.79648611695541</v>
      </c>
      <c r="W51" s="32">
        <f t="shared" si="17"/>
        <v>587.83144965997178</v>
      </c>
      <c r="X51" s="32">
        <f t="shared" si="17"/>
        <v>583.89297894724996</v>
      </c>
      <c r="Y51" s="32">
        <f t="shared" si="17"/>
        <v>579.98089598830325</v>
      </c>
      <c r="Z51" s="32">
        <f t="shared" si="17"/>
        <v>576.09502398518168</v>
      </c>
      <c r="AA51" s="32">
        <f t="shared" si="17"/>
        <v>572.23518732448088</v>
      </c>
      <c r="AB51" s="32">
        <f t="shared" si="17"/>
        <v>568.40121156940677</v>
      </c>
      <c r="AC51" s="32">
        <f t="shared" si="17"/>
        <v>564.59292345189181</v>
      </c>
      <c r="AD51" s="32">
        <f t="shared" si="17"/>
        <v>560.81015086476407</v>
      </c>
      <c r="AE51" s="32">
        <f t="shared" si="17"/>
        <v>557.05272285397007</v>
      </c>
      <c r="AF51" s="32">
        <f t="shared" si="17"/>
        <v>553.32046961084848</v>
      </c>
      <c r="AG51" s="32">
        <f t="shared" si="17"/>
        <v>549.6132224644557</v>
      </c>
      <c r="AH51" s="32">
        <f t="shared" si="17"/>
        <v>545.93081387394398</v>
      </c>
      <c r="AI51" s="32">
        <f t="shared" si="17"/>
        <v>542.27307742098844</v>
      </c>
      <c r="AJ51" s="32">
        <f t="shared" si="17"/>
        <v>538.63984780226781</v>
      </c>
    </row>
    <row r="52" spans="1:36" x14ac:dyDescent="0.45">
      <c r="A52" s="36"/>
      <c r="B52" s="4" t="s">
        <v>87</v>
      </c>
      <c r="C52" s="4" t="s">
        <v>88</v>
      </c>
      <c r="D52" s="4" t="s">
        <v>390</v>
      </c>
      <c r="E52" s="4">
        <v>1079</v>
      </c>
      <c r="F52" s="4" t="s">
        <v>409</v>
      </c>
      <c r="G52" s="32">
        <f>$E$52*0.9961^(G1-2020)</f>
        <v>1074.7918999999999</v>
      </c>
      <c r="H52" s="32">
        <f t="shared" ref="H52:AJ52" si="18">$E$52*0.9961^(H1-2020)</f>
        <v>1070.6002115900001</v>
      </c>
      <c r="I52" s="32">
        <f t="shared" si="18"/>
        <v>1066.4248707647992</v>
      </c>
      <c r="J52" s="32">
        <f t="shared" si="18"/>
        <v>1062.2658137688163</v>
      </c>
      <c r="K52" s="32">
        <f t="shared" si="18"/>
        <v>1058.1229770951179</v>
      </c>
      <c r="L52" s="32">
        <f t="shared" si="18"/>
        <v>1053.996297484447</v>
      </c>
      <c r="M52" s="32">
        <f t="shared" si="18"/>
        <v>1049.8857119242575</v>
      </c>
      <c r="N52" s="32">
        <f t="shared" si="18"/>
        <v>1045.7911576477529</v>
      </c>
      <c r="O52" s="32">
        <f t="shared" si="18"/>
        <v>1041.7125721329267</v>
      </c>
      <c r="P52" s="32">
        <f t="shared" si="18"/>
        <v>1037.6498931016083</v>
      </c>
      <c r="Q52" s="32">
        <f t="shared" si="18"/>
        <v>1033.6030585185122</v>
      </c>
      <c r="R52" s="32">
        <f t="shared" si="18"/>
        <v>1029.5720065902899</v>
      </c>
      <c r="S52" s="32">
        <f t="shared" si="18"/>
        <v>1025.5566757645877</v>
      </c>
      <c r="T52" s="32">
        <f t="shared" si="18"/>
        <v>1021.5570047291059</v>
      </c>
      <c r="U52" s="32">
        <f t="shared" si="18"/>
        <v>1017.5729324106624</v>
      </c>
      <c r="V52" s="32">
        <f t="shared" si="18"/>
        <v>1013.6043979742608</v>
      </c>
      <c r="W52" s="32">
        <f t="shared" si="18"/>
        <v>1009.6513408221612</v>
      </c>
      <c r="X52" s="32">
        <f t="shared" si="18"/>
        <v>1005.7137005929548</v>
      </c>
      <c r="Y52" s="32">
        <f t="shared" si="18"/>
        <v>1001.7914171606423</v>
      </c>
      <c r="Z52" s="32">
        <f t="shared" si="18"/>
        <v>997.88443063371562</v>
      </c>
      <c r="AA52" s="32">
        <f t="shared" si="18"/>
        <v>993.99268135424427</v>
      </c>
      <c r="AB52" s="32">
        <f t="shared" si="18"/>
        <v>990.1161098969626</v>
      </c>
      <c r="AC52" s="32">
        <f t="shared" si="18"/>
        <v>986.25465706836451</v>
      </c>
      <c r="AD52" s="32">
        <f t="shared" si="18"/>
        <v>982.40826390579787</v>
      </c>
      <c r="AE52" s="32">
        <f t="shared" si="18"/>
        <v>978.57687167656525</v>
      </c>
      <c r="AF52" s="32">
        <f t="shared" si="18"/>
        <v>974.76042187702672</v>
      </c>
      <c r="AG52" s="32">
        <f t="shared" si="18"/>
        <v>970.95885623170625</v>
      </c>
      <c r="AH52" s="32">
        <f t="shared" si="18"/>
        <v>967.17211669240248</v>
      </c>
      <c r="AI52" s="32">
        <f t="shared" si="18"/>
        <v>963.40014543730217</v>
      </c>
      <c r="AJ52" s="32">
        <f t="shared" si="18"/>
        <v>959.64288487009685</v>
      </c>
    </row>
    <row r="53" spans="1:36" x14ac:dyDescent="0.45">
      <c r="A53" s="36"/>
      <c r="B53" s="4" t="s">
        <v>89</v>
      </c>
      <c r="C53" s="4" t="s">
        <v>90</v>
      </c>
      <c r="D53" s="4" t="s">
        <v>390</v>
      </c>
      <c r="E53" s="4">
        <v>1679</v>
      </c>
      <c r="F53" s="4" t="s">
        <v>409</v>
      </c>
      <c r="G53" s="32">
        <f>$E$53*0.9372^(G1-2020)</f>
        <v>1573.5588</v>
      </c>
      <c r="H53" s="32">
        <f t="shared" ref="H53:AJ53" si="19">$E$53*0.9372^(H1-2020)</f>
        <v>1474.7393073600001</v>
      </c>
      <c r="I53" s="32">
        <f t="shared" si="19"/>
        <v>1382.1256788577923</v>
      </c>
      <c r="J53" s="32">
        <f t="shared" si="19"/>
        <v>1295.328186225523</v>
      </c>
      <c r="K53" s="32">
        <f t="shared" si="19"/>
        <v>1213.9815761305601</v>
      </c>
      <c r="L53" s="32">
        <f t="shared" si="19"/>
        <v>1137.743533149561</v>
      </c>
      <c r="M53" s="32">
        <f t="shared" si="19"/>
        <v>1066.2932392677687</v>
      </c>
      <c r="N53" s="32">
        <f t="shared" si="19"/>
        <v>999.3300238417529</v>
      </c>
      <c r="O53" s="32">
        <f t="shared" si="19"/>
        <v>936.57209834449077</v>
      </c>
      <c r="P53" s="32">
        <f t="shared" si="19"/>
        <v>877.75537056845701</v>
      </c>
      <c r="Q53" s="32">
        <f t="shared" si="19"/>
        <v>822.63233329675791</v>
      </c>
      <c r="R53" s="32">
        <f t="shared" si="19"/>
        <v>770.9710227657215</v>
      </c>
      <c r="S53" s="32">
        <f t="shared" si="19"/>
        <v>722.55404253603422</v>
      </c>
      <c r="T53" s="32">
        <f t="shared" si="19"/>
        <v>677.17764866477125</v>
      </c>
      <c r="U53" s="32">
        <f t="shared" si="19"/>
        <v>634.65089232862385</v>
      </c>
      <c r="V53" s="32">
        <f t="shared" si="19"/>
        <v>594.79481629038617</v>
      </c>
      <c r="W53" s="32">
        <f t="shared" si="19"/>
        <v>557.44170182735002</v>
      </c>
      <c r="X53" s="32">
        <f t="shared" si="19"/>
        <v>522.43436295259244</v>
      </c>
      <c r="Y53" s="32">
        <f t="shared" si="19"/>
        <v>489.62548495916957</v>
      </c>
      <c r="Z53" s="32">
        <f t="shared" si="19"/>
        <v>458.87700450373381</v>
      </c>
      <c r="AA53" s="32">
        <f t="shared" si="19"/>
        <v>430.0595286208993</v>
      </c>
      <c r="AB53" s="32">
        <f t="shared" si="19"/>
        <v>403.05179022350683</v>
      </c>
      <c r="AC53" s="32">
        <f t="shared" si="19"/>
        <v>377.74013779747071</v>
      </c>
      <c r="AD53" s="32">
        <f t="shared" si="19"/>
        <v>354.01805714378952</v>
      </c>
      <c r="AE53" s="32">
        <f t="shared" si="19"/>
        <v>331.78572315515953</v>
      </c>
      <c r="AF53" s="32">
        <f t="shared" si="19"/>
        <v>310.94957974101555</v>
      </c>
      <c r="AG53" s="32">
        <f t="shared" si="19"/>
        <v>291.42194613327979</v>
      </c>
      <c r="AH53" s="32">
        <f t="shared" si="19"/>
        <v>273.12064791610987</v>
      </c>
      <c r="AI53" s="32">
        <f t="shared" si="19"/>
        <v>255.96867122697819</v>
      </c>
      <c r="AJ53" s="32">
        <f t="shared" si="19"/>
        <v>239.89383867392391</v>
      </c>
    </row>
    <row r="54" spans="1:36" x14ac:dyDescent="0.45">
      <c r="A54" s="37"/>
      <c r="B54" s="4" t="s">
        <v>430</v>
      </c>
      <c r="C54" s="4" t="s">
        <v>431</v>
      </c>
      <c r="D54" s="4" t="s">
        <v>390</v>
      </c>
      <c r="E54" s="4">
        <v>192.5</v>
      </c>
      <c r="F54" s="4" t="s">
        <v>409</v>
      </c>
      <c r="G54" s="32">
        <v>192.5</v>
      </c>
      <c r="H54" s="32">
        <v>192.5</v>
      </c>
      <c r="I54" s="32">
        <v>192.5</v>
      </c>
      <c r="J54" s="32">
        <v>192.5</v>
      </c>
      <c r="K54" s="32">
        <v>192.5</v>
      </c>
      <c r="L54" s="32">
        <v>192.5</v>
      </c>
      <c r="M54" s="32">
        <v>192.5</v>
      </c>
      <c r="N54" s="32">
        <v>192.5</v>
      </c>
      <c r="O54" s="32">
        <v>192.5</v>
      </c>
      <c r="P54" s="32">
        <v>192.5</v>
      </c>
      <c r="Q54" s="32">
        <v>192.5</v>
      </c>
      <c r="R54" s="32">
        <v>192.5</v>
      </c>
      <c r="S54" s="32">
        <v>192.5</v>
      </c>
      <c r="T54" s="32">
        <v>192.5</v>
      </c>
      <c r="U54" s="32">
        <v>192.5</v>
      </c>
      <c r="V54" s="32">
        <v>192.5</v>
      </c>
      <c r="W54" s="32">
        <v>192.5</v>
      </c>
      <c r="X54" s="32">
        <v>192.5</v>
      </c>
      <c r="Y54" s="32">
        <v>192.5</v>
      </c>
      <c r="Z54" s="32">
        <v>192.5</v>
      </c>
      <c r="AA54" s="32">
        <v>192.5</v>
      </c>
      <c r="AB54" s="32">
        <v>192.5</v>
      </c>
      <c r="AC54" s="32">
        <v>192.5</v>
      </c>
      <c r="AD54" s="32">
        <v>192.5</v>
      </c>
      <c r="AE54" s="32">
        <v>192.5</v>
      </c>
      <c r="AF54" s="32">
        <v>192.5</v>
      </c>
      <c r="AG54" s="32">
        <v>192.5</v>
      </c>
      <c r="AH54" s="32">
        <v>192.5</v>
      </c>
      <c r="AI54" s="32">
        <v>192.5</v>
      </c>
      <c r="AJ54" s="32">
        <v>192.5</v>
      </c>
    </row>
    <row r="55" spans="1:36" x14ac:dyDescent="0.45">
      <c r="A55" s="34" t="s">
        <v>211</v>
      </c>
      <c r="B55" s="4" t="s">
        <v>91</v>
      </c>
      <c r="C55" s="4" t="s">
        <v>92</v>
      </c>
      <c r="D55" s="4" t="s">
        <v>390</v>
      </c>
      <c r="E55" s="4">
        <v>4320</v>
      </c>
      <c r="F55" s="4" t="s">
        <v>397</v>
      </c>
      <c r="G55" s="32">
        <f>$E$55*0.9836^(G1-2020)</f>
        <v>4249.152</v>
      </c>
      <c r="H55" s="32">
        <f t="shared" ref="H55:AJ55" si="20">$E$55*0.9836^(H1-2020)</f>
        <v>4179.4659072000004</v>
      </c>
      <c r="I55" s="32">
        <f t="shared" si="20"/>
        <v>4110.9226663219206</v>
      </c>
      <c r="J55" s="32">
        <f t="shared" si="20"/>
        <v>4043.5035345942406</v>
      </c>
      <c r="K55" s="32">
        <f t="shared" si="20"/>
        <v>3977.1900766268955</v>
      </c>
      <c r="L55" s="32">
        <f t="shared" si="20"/>
        <v>3911.9641593702145</v>
      </c>
      <c r="M55" s="32">
        <f t="shared" si="20"/>
        <v>3847.8079471565429</v>
      </c>
      <c r="N55" s="32">
        <f t="shared" si="20"/>
        <v>3784.7038968231759</v>
      </c>
      <c r="O55" s="32">
        <f t="shared" si="20"/>
        <v>3722.6347529152758</v>
      </c>
      <c r="P55" s="32">
        <f t="shared" si="20"/>
        <v>3661.5835429674657</v>
      </c>
      <c r="Q55" s="32">
        <f t="shared" si="20"/>
        <v>3601.5335728627992</v>
      </c>
      <c r="R55" s="32">
        <f t="shared" si="20"/>
        <v>3542.4684222678493</v>
      </c>
      <c r="S55" s="32">
        <f t="shared" si="20"/>
        <v>3484.3719401426565</v>
      </c>
      <c r="T55" s="32">
        <f t="shared" si="20"/>
        <v>3427.2282403243171</v>
      </c>
      <c r="U55" s="32">
        <f t="shared" si="20"/>
        <v>3371.0216971829982</v>
      </c>
      <c r="V55" s="32">
        <f t="shared" si="20"/>
        <v>3315.736941349197</v>
      </c>
      <c r="W55" s="32">
        <f t="shared" si="20"/>
        <v>3261.35885551107</v>
      </c>
      <c r="X55" s="32">
        <f t="shared" si="20"/>
        <v>3207.8725702806892</v>
      </c>
      <c r="Y55" s="32">
        <f t="shared" si="20"/>
        <v>3155.2634601280856</v>
      </c>
      <c r="Z55" s="32">
        <f t="shared" si="20"/>
        <v>3103.5171393819846</v>
      </c>
      <c r="AA55" s="32">
        <f t="shared" si="20"/>
        <v>3052.6194582961202</v>
      </c>
      <c r="AB55" s="32">
        <f t="shared" si="20"/>
        <v>3002.5564991800643</v>
      </c>
      <c r="AC55" s="32">
        <f t="shared" si="20"/>
        <v>2953.314572593511</v>
      </c>
      <c r="AD55" s="32">
        <f t="shared" si="20"/>
        <v>2904.8802136029776</v>
      </c>
      <c r="AE55" s="32">
        <f t="shared" si="20"/>
        <v>2857.2401780998889</v>
      </c>
      <c r="AF55" s="32">
        <f t="shared" si="20"/>
        <v>2810.3814391790506</v>
      </c>
      <c r="AG55" s="32">
        <f t="shared" si="20"/>
        <v>2764.2911835765149</v>
      </c>
      <c r="AH55" s="32">
        <f t="shared" si="20"/>
        <v>2718.9568081658595</v>
      </c>
      <c r="AI55" s="32">
        <f t="shared" si="20"/>
        <v>2674.3659165119398</v>
      </c>
      <c r="AJ55" s="32">
        <f t="shared" si="20"/>
        <v>2630.5063154811442</v>
      </c>
    </row>
    <row r="56" spans="1:36" ht="35" x14ac:dyDescent="0.45">
      <c r="A56" s="34"/>
      <c r="B56" s="4" t="s">
        <v>93</v>
      </c>
      <c r="C56" s="4" t="s">
        <v>94</v>
      </c>
      <c r="D56" s="4" t="s">
        <v>390</v>
      </c>
      <c r="E56" s="4">
        <v>1210</v>
      </c>
      <c r="F56" s="4" t="s">
        <v>394</v>
      </c>
      <c r="G56" s="32">
        <f>$E$56*0.9836^(G1-2020)</f>
        <v>1190.1559999999999</v>
      </c>
      <c r="H56" s="32">
        <f t="shared" ref="H56:AJ56" si="21">$E$56*0.9836^(H1-2020)</f>
        <v>1170.6374416000001</v>
      </c>
      <c r="I56" s="32">
        <f t="shared" si="21"/>
        <v>1151.4389875577601</v>
      </c>
      <c r="J56" s="32">
        <f t="shared" si="21"/>
        <v>1132.5553881618127</v>
      </c>
      <c r="K56" s="32">
        <f t="shared" si="21"/>
        <v>1113.9814797959591</v>
      </c>
      <c r="L56" s="32">
        <f t="shared" si="21"/>
        <v>1095.7121835273053</v>
      </c>
      <c r="M56" s="32">
        <f t="shared" si="21"/>
        <v>1077.7425037174576</v>
      </c>
      <c r="N56" s="32">
        <f t="shared" si="21"/>
        <v>1060.0675266564913</v>
      </c>
      <c r="O56" s="32">
        <f t="shared" si="21"/>
        <v>1042.6824192193251</v>
      </c>
      <c r="P56" s="32">
        <f t="shared" si="21"/>
        <v>1025.582427544128</v>
      </c>
      <c r="Q56" s="32">
        <f t="shared" si="21"/>
        <v>1008.7628757324045</v>
      </c>
      <c r="R56" s="32">
        <f t="shared" si="21"/>
        <v>992.21916457039288</v>
      </c>
      <c r="S56" s="32">
        <f t="shared" si="21"/>
        <v>975.94677027143848</v>
      </c>
      <c r="T56" s="32">
        <f t="shared" si="21"/>
        <v>959.94124323898689</v>
      </c>
      <c r="U56" s="32">
        <f t="shared" si="21"/>
        <v>944.19820684986757</v>
      </c>
      <c r="V56" s="32">
        <f t="shared" si="21"/>
        <v>928.71335625752977</v>
      </c>
      <c r="W56" s="32">
        <f t="shared" si="21"/>
        <v>913.48245721490628</v>
      </c>
      <c r="X56" s="32">
        <f t="shared" si="21"/>
        <v>898.50134491658184</v>
      </c>
      <c r="Y56" s="32">
        <f t="shared" si="21"/>
        <v>883.76592285994991</v>
      </c>
      <c r="Z56" s="32">
        <f t="shared" si="21"/>
        <v>869.27216172504666</v>
      </c>
      <c r="AA56" s="32">
        <f t="shared" si="21"/>
        <v>855.01609827275593</v>
      </c>
      <c r="AB56" s="32">
        <f t="shared" si="21"/>
        <v>840.99383426108284</v>
      </c>
      <c r="AC56" s="32">
        <f t="shared" si="21"/>
        <v>827.201535379201</v>
      </c>
      <c r="AD56" s="32">
        <f t="shared" si="21"/>
        <v>813.63543019898214</v>
      </c>
      <c r="AE56" s="32">
        <f t="shared" si="21"/>
        <v>800.29180914371887</v>
      </c>
      <c r="AF56" s="32">
        <f t="shared" si="21"/>
        <v>787.1670234737619</v>
      </c>
      <c r="AG56" s="32">
        <f t="shared" si="21"/>
        <v>774.25748428879228</v>
      </c>
      <c r="AH56" s="32">
        <f t="shared" si="21"/>
        <v>761.55966154645603</v>
      </c>
      <c r="AI56" s="32">
        <f t="shared" si="21"/>
        <v>749.0700830970942</v>
      </c>
      <c r="AJ56" s="32">
        <f t="shared" si="21"/>
        <v>736.78533373430184</v>
      </c>
    </row>
    <row r="57" spans="1:36" x14ac:dyDescent="0.45">
      <c r="A57" s="34"/>
      <c r="B57" s="4" t="s">
        <v>95</v>
      </c>
      <c r="C57" s="4" t="s">
        <v>96</v>
      </c>
      <c r="D57" s="4" t="s">
        <v>390</v>
      </c>
      <c r="E57" s="4">
        <v>750</v>
      </c>
      <c r="F57" s="4" t="s">
        <v>397</v>
      </c>
      <c r="G57" s="32">
        <v>750</v>
      </c>
      <c r="H57" s="32">
        <v>750</v>
      </c>
      <c r="I57" s="32">
        <v>750</v>
      </c>
      <c r="J57" s="32">
        <v>750</v>
      </c>
      <c r="K57" s="32">
        <v>750</v>
      </c>
      <c r="L57" s="32">
        <v>750</v>
      </c>
      <c r="M57" s="32">
        <v>750</v>
      </c>
      <c r="N57" s="32">
        <v>750</v>
      </c>
      <c r="O57" s="32">
        <v>750</v>
      </c>
      <c r="P57" s="32">
        <v>750</v>
      </c>
      <c r="Q57" s="32">
        <v>750</v>
      </c>
      <c r="R57" s="32">
        <v>750</v>
      </c>
      <c r="S57" s="32">
        <v>750</v>
      </c>
      <c r="T57" s="32">
        <v>750</v>
      </c>
      <c r="U57" s="32">
        <v>750</v>
      </c>
      <c r="V57" s="32">
        <v>750</v>
      </c>
      <c r="W57" s="32">
        <v>750</v>
      </c>
      <c r="X57" s="32">
        <v>750</v>
      </c>
      <c r="Y57" s="32">
        <v>750</v>
      </c>
      <c r="Z57" s="32">
        <v>750</v>
      </c>
      <c r="AA57" s="32">
        <v>750</v>
      </c>
      <c r="AB57" s="32">
        <v>750</v>
      </c>
      <c r="AC57" s="32">
        <v>750</v>
      </c>
      <c r="AD57" s="32">
        <v>750</v>
      </c>
      <c r="AE57" s="32">
        <v>750</v>
      </c>
      <c r="AF57" s="32">
        <v>750</v>
      </c>
      <c r="AG57" s="32">
        <v>750</v>
      </c>
      <c r="AH57" s="32">
        <v>750</v>
      </c>
      <c r="AI57" s="32">
        <v>750</v>
      </c>
      <c r="AJ57" s="32">
        <v>750</v>
      </c>
    </row>
    <row r="58" spans="1:36" ht="17.25" customHeight="1" x14ac:dyDescent="0.45">
      <c r="A58" s="34" t="s">
        <v>212</v>
      </c>
      <c r="B58" s="4" t="s">
        <v>97</v>
      </c>
      <c r="C58" s="4" t="s">
        <v>98</v>
      </c>
      <c r="D58" s="4" t="s">
        <v>390</v>
      </c>
      <c r="E58" s="4">
        <v>746</v>
      </c>
      <c r="F58" s="4" t="s">
        <v>397</v>
      </c>
      <c r="G58" s="32">
        <v>746</v>
      </c>
      <c r="H58" s="32">
        <v>746</v>
      </c>
      <c r="I58" s="32">
        <v>746</v>
      </c>
      <c r="J58" s="32">
        <v>746</v>
      </c>
      <c r="K58" s="32">
        <v>746</v>
      </c>
      <c r="L58" s="32">
        <v>746</v>
      </c>
      <c r="M58" s="32">
        <v>746</v>
      </c>
      <c r="N58" s="32">
        <v>746</v>
      </c>
      <c r="O58" s="32">
        <v>746</v>
      </c>
      <c r="P58" s="32">
        <v>746</v>
      </c>
      <c r="Q58" s="32">
        <v>746</v>
      </c>
      <c r="R58" s="32">
        <v>746</v>
      </c>
      <c r="S58" s="32">
        <v>746</v>
      </c>
      <c r="T58" s="32">
        <v>746</v>
      </c>
      <c r="U58" s="32">
        <v>746</v>
      </c>
      <c r="V58" s="32">
        <v>746</v>
      </c>
      <c r="W58" s="32">
        <v>746</v>
      </c>
      <c r="X58" s="32">
        <v>746</v>
      </c>
      <c r="Y58" s="32">
        <v>746</v>
      </c>
      <c r="Z58" s="32">
        <v>746</v>
      </c>
      <c r="AA58" s="32">
        <v>746</v>
      </c>
      <c r="AB58" s="32">
        <v>746</v>
      </c>
      <c r="AC58" s="32">
        <v>746</v>
      </c>
      <c r="AD58" s="32">
        <v>746</v>
      </c>
      <c r="AE58" s="32">
        <v>746</v>
      </c>
      <c r="AF58" s="32">
        <v>746</v>
      </c>
      <c r="AG58" s="32">
        <v>746</v>
      </c>
      <c r="AH58" s="32">
        <v>746</v>
      </c>
      <c r="AI58" s="32">
        <v>746</v>
      </c>
      <c r="AJ58" s="32">
        <v>746</v>
      </c>
    </row>
    <row r="59" spans="1:36" x14ac:dyDescent="0.45">
      <c r="A59" s="34"/>
      <c r="B59" s="4" t="s">
        <v>99</v>
      </c>
      <c r="C59" s="4" t="s">
        <v>100</v>
      </c>
      <c r="D59" s="4" t="s">
        <v>390</v>
      </c>
      <c r="E59" s="4">
        <v>1491</v>
      </c>
      <c r="F59" s="4" t="s">
        <v>397</v>
      </c>
      <c r="G59" s="32">
        <v>1491</v>
      </c>
      <c r="H59" s="32">
        <v>1491</v>
      </c>
      <c r="I59" s="32">
        <v>1491</v>
      </c>
      <c r="J59" s="32">
        <v>1491</v>
      </c>
      <c r="K59" s="32">
        <v>1491</v>
      </c>
      <c r="L59" s="32">
        <v>1491</v>
      </c>
      <c r="M59" s="32">
        <v>1491</v>
      </c>
      <c r="N59" s="32">
        <v>1491</v>
      </c>
      <c r="O59" s="32">
        <v>1491</v>
      </c>
      <c r="P59" s="32">
        <v>1491</v>
      </c>
      <c r="Q59" s="32">
        <v>1491</v>
      </c>
      <c r="R59" s="32">
        <v>1491</v>
      </c>
      <c r="S59" s="32">
        <v>1491</v>
      </c>
      <c r="T59" s="32">
        <v>1491</v>
      </c>
      <c r="U59" s="32">
        <v>1491</v>
      </c>
      <c r="V59" s="32">
        <v>1491</v>
      </c>
      <c r="W59" s="32">
        <v>1491</v>
      </c>
      <c r="X59" s="32">
        <v>1491</v>
      </c>
      <c r="Y59" s="32">
        <v>1491</v>
      </c>
      <c r="Z59" s="32">
        <v>1491</v>
      </c>
      <c r="AA59" s="32">
        <v>1491</v>
      </c>
      <c r="AB59" s="32">
        <v>1491</v>
      </c>
      <c r="AC59" s="32">
        <v>1491</v>
      </c>
      <c r="AD59" s="32">
        <v>1491</v>
      </c>
      <c r="AE59" s="32">
        <v>1491</v>
      </c>
      <c r="AF59" s="32">
        <v>1491</v>
      </c>
      <c r="AG59" s="32">
        <v>1491</v>
      </c>
      <c r="AH59" s="32">
        <v>1491</v>
      </c>
      <c r="AI59" s="32">
        <v>1491</v>
      </c>
      <c r="AJ59" s="32">
        <v>1491</v>
      </c>
    </row>
    <row r="60" spans="1:36" x14ac:dyDescent="0.45">
      <c r="A60" s="34" t="s">
        <v>382</v>
      </c>
      <c r="B60" s="4" t="s">
        <v>213</v>
      </c>
      <c r="C60" s="4" t="s">
        <v>101</v>
      </c>
      <c r="D60" s="4" t="s">
        <v>390</v>
      </c>
      <c r="E60" s="4">
        <v>870.1</v>
      </c>
      <c r="F60" s="4" t="s">
        <v>409</v>
      </c>
      <c r="G60" s="32">
        <v>870.1</v>
      </c>
      <c r="H60" s="32">
        <v>870.1</v>
      </c>
      <c r="I60" s="32">
        <v>870.1</v>
      </c>
      <c r="J60" s="32">
        <v>870.1</v>
      </c>
      <c r="K60" s="32">
        <v>870.1</v>
      </c>
      <c r="L60" s="32">
        <v>870.1</v>
      </c>
      <c r="M60" s="32">
        <v>870.1</v>
      </c>
      <c r="N60" s="32">
        <v>870.1</v>
      </c>
      <c r="O60" s="32">
        <v>870.1</v>
      </c>
      <c r="P60" s="32">
        <v>870.1</v>
      </c>
      <c r="Q60" s="32">
        <v>870.1</v>
      </c>
      <c r="R60" s="32">
        <v>870.1</v>
      </c>
      <c r="S60" s="32">
        <v>870.1</v>
      </c>
      <c r="T60" s="32">
        <v>870.1</v>
      </c>
      <c r="U60" s="32">
        <v>870.1</v>
      </c>
      <c r="V60" s="32">
        <v>870.1</v>
      </c>
      <c r="W60" s="32">
        <v>870.1</v>
      </c>
      <c r="X60" s="32">
        <v>870.1</v>
      </c>
      <c r="Y60" s="32">
        <v>870.1</v>
      </c>
      <c r="Z60" s="32">
        <v>870.1</v>
      </c>
      <c r="AA60" s="32">
        <v>870.1</v>
      </c>
      <c r="AB60" s="32">
        <v>870.1</v>
      </c>
      <c r="AC60" s="32">
        <v>870.1</v>
      </c>
      <c r="AD60" s="32">
        <v>870.1</v>
      </c>
      <c r="AE60" s="32">
        <v>870.1</v>
      </c>
      <c r="AF60" s="32">
        <v>870.1</v>
      </c>
      <c r="AG60" s="32">
        <v>870.1</v>
      </c>
      <c r="AH60" s="32">
        <v>870.1</v>
      </c>
      <c r="AI60" s="32">
        <v>870.1</v>
      </c>
      <c r="AJ60" s="32">
        <v>870.1</v>
      </c>
    </row>
    <row r="61" spans="1:36" x14ac:dyDescent="0.45">
      <c r="A61" s="34"/>
      <c r="B61" s="4" t="s">
        <v>214</v>
      </c>
      <c r="C61" s="4" t="s">
        <v>102</v>
      </c>
      <c r="D61" s="4" t="s">
        <v>390</v>
      </c>
      <c r="E61" s="4">
        <v>386.1</v>
      </c>
      <c r="F61" s="4" t="s">
        <v>409</v>
      </c>
      <c r="G61" s="32">
        <v>386.1</v>
      </c>
      <c r="H61" s="32">
        <v>386.1</v>
      </c>
      <c r="I61" s="32">
        <v>386.1</v>
      </c>
      <c r="J61" s="32">
        <v>386.1</v>
      </c>
      <c r="K61" s="32">
        <v>386.1</v>
      </c>
      <c r="L61" s="32">
        <v>386.1</v>
      </c>
      <c r="M61" s="32">
        <v>386.1</v>
      </c>
      <c r="N61" s="32">
        <v>386.1</v>
      </c>
      <c r="O61" s="32">
        <v>386.1</v>
      </c>
      <c r="P61" s="32">
        <v>386.1</v>
      </c>
      <c r="Q61" s="32">
        <v>386.1</v>
      </c>
      <c r="R61" s="32">
        <v>386.1</v>
      </c>
      <c r="S61" s="32">
        <v>386.1</v>
      </c>
      <c r="T61" s="32">
        <v>386.1</v>
      </c>
      <c r="U61" s="32">
        <v>386.1</v>
      </c>
      <c r="V61" s="32">
        <v>386.1</v>
      </c>
      <c r="W61" s="32">
        <v>386.1</v>
      </c>
      <c r="X61" s="32">
        <v>386.1</v>
      </c>
      <c r="Y61" s="32">
        <v>386.1</v>
      </c>
      <c r="Z61" s="32">
        <v>386.1</v>
      </c>
      <c r="AA61" s="32">
        <v>386.1</v>
      </c>
      <c r="AB61" s="32">
        <v>386.1</v>
      </c>
      <c r="AC61" s="32">
        <v>386.1</v>
      </c>
      <c r="AD61" s="32">
        <v>386.1</v>
      </c>
      <c r="AE61" s="32">
        <v>386.1</v>
      </c>
      <c r="AF61" s="32">
        <v>386.1</v>
      </c>
      <c r="AG61" s="32">
        <v>386.1</v>
      </c>
      <c r="AH61" s="32">
        <v>386.1</v>
      </c>
      <c r="AI61" s="32">
        <v>386.1</v>
      </c>
      <c r="AJ61" s="32">
        <v>386.1</v>
      </c>
    </row>
    <row r="62" spans="1:36" x14ac:dyDescent="0.45">
      <c r="A62" s="34"/>
      <c r="B62" s="4" t="s">
        <v>215</v>
      </c>
      <c r="C62" s="4" t="s">
        <v>103</v>
      </c>
      <c r="D62" s="4" t="s">
        <v>390</v>
      </c>
      <c r="E62" s="4">
        <v>150.69999999999999</v>
      </c>
      <c r="F62" s="4" t="s">
        <v>409</v>
      </c>
      <c r="G62" s="32">
        <v>150.69999999999999</v>
      </c>
      <c r="H62" s="32">
        <v>150.69999999999999</v>
      </c>
      <c r="I62" s="32">
        <v>150.69999999999999</v>
      </c>
      <c r="J62" s="32">
        <v>150.69999999999999</v>
      </c>
      <c r="K62" s="32">
        <v>150.69999999999999</v>
      </c>
      <c r="L62" s="32">
        <v>150.69999999999999</v>
      </c>
      <c r="M62" s="32">
        <v>150.69999999999999</v>
      </c>
      <c r="N62" s="32">
        <v>150.69999999999999</v>
      </c>
      <c r="O62" s="32">
        <v>150.69999999999999</v>
      </c>
      <c r="P62" s="32">
        <v>150.69999999999999</v>
      </c>
      <c r="Q62" s="32">
        <v>150.69999999999999</v>
      </c>
      <c r="R62" s="32">
        <v>150.69999999999999</v>
      </c>
      <c r="S62" s="32">
        <v>150.69999999999999</v>
      </c>
      <c r="T62" s="32">
        <v>150.69999999999999</v>
      </c>
      <c r="U62" s="32">
        <v>150.69999999999999</v>
      </c>
      <c r="V62" s="32">
        <v>150.69999999999999</v>
      </c>
      <c r="W62" s="32">
        <v>150.69999999999999</v>
      </c>
      <c r="X62" s="32">
        <v>150.69999999999999</v>
      </c>
      <c r="Y62" s="32">
        <v>150.69999999999999</v>
      </c>
      <c r="Z62" s="32">
        <v>150.69999999999999</v>
      </c>
      <c r="AA62" s="32">
        <v>150.69999999999999</v>
      </c>
      <c r="AB62" s="32">
        <v>150.69999999999999</v>
      </c>
      <c r="AC62" s="32">
        <v>150.69999999999999</v>
      </c>
      <c r="AD62" s="32">
        <v>150.69999999999999</v>
      </c>
      <c r="AE62" s="32">
        <v>150.69999999999999</v>
      </c>
      <c r="AF62" s="32">
        <v>150.69999999999999</v>
      </c>
      <c r="AG62" s="32">
        <v>150.69999999999999</v>
      </c>
      <c r="AH62" s="32">
        <v>150.69999999999999</v>
      </c>
      <c r="AI62" s="32">
        <v>150.69999999999999</v>
      </c>
      <c r="AJ62" s="32">
        <v>150.69999999999999</v>
      </c>
    </row>
    <row r="63" spans="1:36" x14ac:dyDescent="0.45">
      <c r="A63" s="34"/>
      <c r="B63" s="4" t="s">
        <v>216</v>
      </c>
      <c r="C63" s="4" t="s">
        <v>206</v>
      </c>
      <c r="D63" s="4" t="s">
        <v>390</v>
      </c>
      <c r="E63" s="4">
        <v>935</v>
      </c>
      <c r="F63" s="4" t="s">
        <v>409</v>
      </c>
      <c r="G63" s="32">
        <v>935</v>
      </c>
      <c r="H63" s="32">
        <v>935</v>
      </c>
      <c r="I63" s="32">
        <v>935</v>
      </c>
      <c r="J63" s="32">
        <v>935</v>
      </c>
      <c r="K63" s="32">
        <v>935</v>
      </c>
      <c r="L63" s="32">
        <v>935</v>
      </c>
      <c r="M63" s="32">
        <v>935</v>
      </c>
      <c r="N63" s="32">
        <v>935</v>
      </c>
      <c r="O63" s="32">
        <v>935</v>
      </c>
      <c r="P63" s="32">
        <v>935</v>
      </c>
      <c r="Q63" s="32">
        <v>935</v>
      </c>
      <c r="R63" s="32">
        <v>935</v>
      </c>
      <c r="S63" s="32">
        <v>935</v>
      </c>
      <c r="T63" s="32">
        <v>935</v>
      </c>
      <c r="U63" s="32">
        <v>935</v>
      </c>
      <c r="V63" s="32">
        <v>935</v>
      </c>
      <c r="W63" s="32">
        <v>935</v>
      </c>
      <c r="X63" s="32">
        <v>935</v>
      </c>
      <c r="Y63" s="32">
        <v>935</v>
      </c>
      <c r="Z63" s="32">
        <v>935</v>
      </c>
      <c r="AA63" s="32">
        <v>935</v>
      </c>
      <c r="AB63" s="32">
        <v>935</v>
      </c>
      <c r="AC63" s="32">
        <v>935</v>
      </c>
      <c r="AD63" s="32">
        <v>935</v>
      </c>
      <c r="AE63" s="32">
        <v>935</v>
      </c>
      <c r="AF63" s="32">
        <v>935</v>
      </c>
      <c r="AG63" s="32">
        <v>935</v>
      </c>
      <c r="AH63" s="32">
        <v>935</v>
      </c>
      <c r="AI63" s="32">
        <v>935</v>
      </c>
      <c r="AJ63" s="32">
        <v>935</v>
      </c>
    </row>
    <row r="64" spans="1:36" ht="35" x14ac:dyDescent="0.45">
      <c r="A64" s="34"/>
      <c r="B64" s="4" t="s">
        <v>217</v>
      </c>
      <c r="C64" s="4" t="s">
        <v>104</v>
      </c>
      <c r="D64" s="4" t="s">
        <v>390</v>
      </c>
      <c r="E64" s="4">
        <v>299</v>
      </c>
      <c r="F64" s="4" t="s">
        <v>415</v>
      </c>
      <c r="G64" s="32">
        <v>299</v>
      </c>
      <c r="H64" s="32">
        <v>299</v>
      </c>
      <c r="I64" s="32">
        <v>299</v>
      </c>
      <c r="J64" s="32">
        <v>299</v>
      </c>
      <c r="K64" s="32">
        <v>299</v>
      </c>
      <c r="L64" s="32">
        <v>299</v>
      </c>
      <c r="M64" s="32">
        <v>299</v>
      </c>
      <c r="N64" s="32">
        <v>299</v>
      </c>
      <c r="O64" s="32">
        <v>299</v>
      </c>
      <c r="P64" s="32">
        <v>299</v>
      </c>
      <c r="Q64" s="32">
        <v>299</v>
      </c>
      <c r="R64" s="32">
        <v>299</v>
      </c>
      <c r="S64" s="32">
        <v>299</v>
      </c>
      <c r="T64" s="32">
        <v>299</v>
      </c>
      <c r="U64" s="32">
        <v>299</v>
      </c>
      <c r="V64" s="32">
        <v>299</v>
      </c>
      <c r="W64" s="32">
        <v>299</v>
      </c>
      <c r="X64" s="32">
        <v>299</v>
      </c>
      <c r="Y64" s="32">
        <v>299</v>
      </c>
      <c r="Z64" s="32">
        <v>299</v>
      </c>
      <c r="AA64" s="32">
        <v>299</v>
      </c>
      <c r="AB64" s="32">
        <v>299</v>
      </c>
      <c r="AC64" s="32">
        <v>299</v>
      </c>
      <c r="AD64" s="32">
        <v>299</v>
      </c>
      <c r="AE64" s="32">
        <v>299</v>
      </c>
      <c r="AF64" s="32">
        <v>299</v>
      </c>
      <c r="AG64" s="32">
        <v>299</v>
      </c>
      <c r="AH64" s="32">
        <v>299</v>
      </c>
      <c r="AI64" s="32">
        <v>299</v>
      </c>
      <c r="AJ64" s="32">
        <v>299</v>
      </c>
    </row>
    <row r="65" spans="1:36" x14ac:dyDescent="0.45">
      <c r="A65" s="34" t="s">
        <v>219</v>
      </c>
      <c r="B65" s="4" t="s">
        <v>105</v>
      </c>
      <c r="C65" s="4" t="s">
        <v>106</v>
      </c>
      <c r="D65" s="4" t="s">
        <v>390</v>
      </c>
      <c r="E65" s="4">
        <v>340</v>
      </c>
      <c r="F65" s="4" t="s">
        <v>409</v>
      </c>
      <c r="G65" s="32">
        <v>340</v>
      </c>
      <c r="H65" s="32">
        <v>340</v>
      </c>
      <c r="I65" s="32">
        <v>340</v>
      </c>
      <c r="J65" s="32">
        <v>340</v>
      </c>
      <c r="K65" s="32">
        <v>340</v>
      </c>
      <c r="L65" s="32">
        <v>340</v>
      </c>
      <c r="M65" s="32">
        <v>340</v>
      </c>
      <c r="N65" s="32">
        <v>340</v>
      </c>
      <c r="O65" s="32">
        <v>340</v>
      </c>
      <c r="P65" s="32">
        <v>340</v>
      </c>
      <c r="Q65" s="32">
        <v>340</v>
      </c>
      <c r="R65" s="32">
        <v>340</v>
      </c>
      <c r="S65" s="32">
        <v>340</v>
      </c>
      <c r="T65" s="32">
        <v>340</v>
      </c>
      <c r="U65" s="32">
        <v>340</v>
      </c>
      <c r="V65" s="32">
        <v>340</v>
      </c>
      <c r="W65" s="32">
        <v>340</v>
      </c>
      <c r="X65" s="32">
        <v>340</v>
      </c>
      <c r="Y65" s="32">
        <v>340</v>
      </c>
      <c r="Z65" s="32">
        <v>340</v>
      </c>
      <c r="AA65" s="32">
        <v>340</v>
      </c>
      <c r="AB65" s="32">
        <v>340</v>
      </c>
      <c r="AC65" s="32">
        <v>340</v>
      </c>
      <c r="AD65" s="32">
        <v>340</v>
      </c>
      <c r="AE65" s="32">
        <v>340</v>
      </c>
      <c r="AF65" s="32">
        <v>340</v>
      </c>
      <c r="AG65" s="32">
        <v>340</v>
      </c>
      <c r="AH65" s="32">
        <v>340</v>
      </c>
      <c r="AI65" s="32">
        <v>340</v>
      </c>
      <c r="AJ65" s="32">
        <v>340</v>
      </c>
    </row>
    <row r="66" spans="1:36" x14ac:dyDescent="0.45">
      <c r="A66" s="34"/>
      <c r="B66" s="4" t="s">
        <v>107</v>
      </c>
      <c r="C66" s="4" t="s">
        <v>108</v>
      </c>
      <c r="D66" s="4" t="s">
        <v>390</v>
      </c>
      <c r="E66" s="4">
        <v>114</v>
      </c>
      <c r="F66" s="4" t="s">
        <v>409</v>
      </c>
      <c r="G66" s="32">
        <v>114</v>
      </c>
      <c r="H66" s="32">
        <v>114</v>
      </c>
      <c r="I66" s="32">
        <v>114</v>
      </c>
      <c r="J66" s="32">
        <v>114</v>
      </c>
      <c r="K66" s="32">
        <v>114</v>
      </c>
      <c r="L66" s="32">
        <v>114</v>
      </c>
      <c r="M66" s="32">
        <v>114</v>
      </c>
      <c r="N66" s="32">
        <v>114</v>
      </c>
      <c r="O66" s="32">
        <v>114</v>
      </c>
      <c r="P66" s="32">
        <v>114</v>
      </c>
      <c r="Q66" s="32">
        <v>114</v>
      </c>
      <c r="R66" s="32">
        <v>114</v>
      </c>
      <c r="S66" s="32">
        <v>114</v>
      </c>
      <c r="T66" s="32">
        <v>114</v>
      </c>
      <c r="U66" s="32">
        <v>114</v>
      </c>
      <c r="V66" s="32">
        <v>114</v>
      </c>
      <c r="W66" s="32">
        <v>114</v>
      </c>
      <c r="X66" s="32">
        <v>114</v>
      </c>
      <c r="Y66" s="32">
        <v>114</v>
      </c>
      <c r="Z66" s="32">
        <v>114</v>
      </c>
      <c r="AA66" s="32">
        <v>114</v>
      </c>
      <c r="AB66" s="32">
        <v>114</v>
      </c>
      <c r="AC66" s="32">
        <v>114</v>
      </c>
      <c r="AD66" s="32">
        <v>114</v>
      </c>
      <c r="AE66" s="32">
        <v>114</v>
      </c>
      <c r="AF66" s="32">
        <v>114</v>
      </c>
      <c r="AG66" s="32">
        <v>114</v>
      </c>
      <c r="AH66" s="32">
        <v>114</v>
      </c>
      <c r="AI66" s="32">
        <v>114</v>
      </c>
      <c r="AJ66" s="32">
        <v>114</v>
      </c>
    </row>
    <row r="67" spans="1:36" ht="35" x14ac:dyDescent="0.45">
      <c r="A67" s="34"/>
      <c r="B67" s="4" t="s">
        <v>109</v>
      </c>
      <c r="C67" s="4" t="s">
        <v>110</v>
      </c>
      <c r="D67" s="4" t="s">
        <v>390</v>
      </c>
      <c r="E67" s="4">
        <v>256.20999999999998</v>
      </c>
      <c r="F67" s="4" t="s">
        <v>415</v>
      </c>
      <c r="G67" s="32">
        <v>256.20999999999998</v>
      </c>
      <c r="H67" s="32">
        <v>256.20999999999998</v>
      </c>
      <c r="I67" s="32">
        <v>256.20999999999998</v>
      </c>
      <c r="J67" s="32">
        <v>256.20999999999998</v>
      </c>
      <c r="K67" s="32">
        <v>256.20999999999998</v>
      </c>
      <c r="L67" s="32">
        <v>256.20999999999998</v>
      </c>
      <c r="M67" s="32">
        <v>256.20999999999998</v>
      </c>
      <c r="N67" s="32">
        <v>256.20999999999998</v>
      </c>
      <c r="O67" s="32">
        <v>256.20999999999998</v>
      </c>
      <c r="P67" s="32">
        <v>256.20999999999998</v>
      </c>
      <c r="Q67" s="32">
        <v>256.20999999999998</v>
      </c>
      <c r="R67" s="32">
        <v>256.20999999999998</v>
      </c>
      <c r="S67" s="32">
        <v>256.20999999999998</v>
      </c>
      <c r="T67" s="32">
        <v>256.20999999999998</v>
      </c>
      <c r="U67" s="32">
        <v>256.20999999999998</v>
      </c>
      <c r="V67" s="32">
        <v>256.20999999999998</v>
      </c>
      <c r="W67" s="32">
        <v>256.20999999999998</v>
      </c>
      <c r="X67" s="32">
        <v>256.20999999999998</v>
      </c>
      <c r="Y67" s="32">
        <v>256.20999999999998</v>
      </c>
      <c r="Z67" s="32">
        <v>256.20999999999998</v>
      </c>
      <c r="AA67" s="32">
        <v>256.20999999999998</v>
      </c>
      <c r="AB67" s="32">
        <v>256.20999999999998</v>
      </c>
      <c r="AC67" s="32">
        <v>256.20999999999998</v>
      </c>
      <c r="AD67" s="32">
        <v>256.20999999999998</v>
      </c>
      <c r="AE67" s="32">
        <v>256.20999999999998</v>
      </c>
      <c r="AF67" s="32">
        <v>256.20999999999998</v>
      </c>
      <c r="AG67" s="32">
        <v>256.20999999999998</v>
      </c>
      <c r="AH67" s="32">
        <v>256.20999999999998</v>
      </c>
      <c r="AI67" s="32">
        <v>256.20999999999998</v>
      </c>
      <c r="AJ67" s="32">
        <v>256.20999999999998</v>
      </c>
    </row>
    <row r="68" spans="1:36" x14ac:dyDescent="0.45">
      <c r="A68" s="34" t="s">
        <v>220</v>
      </c>
      <c r="B68" s="4" t="s">
        <v>111</v>
      </c>
      <c r="C68" s="4" t="s">
        <v>112</v>
      </c>
      <c r="D68" s="4" t="s">
        <v>390</v>
      </c>
      <c r="E68" s="4">
        <v>114</v>
      </c>
      <c r="F68" s="4" t="s">
        <v>409</v>
      </c>
      <c r="G68" s="32">
        <v>114</v>
      </c>
      <c r="H68" s="32">
        <v>114</v>
      </c>
      <c r="I68" s="32">
        <v>114</v>
      </c>
      <c r="J68" s="32">
        <v>114</v>
      </c>
      <c r="K68" s="32">
        <v>114</v>
      </c>
      <c r="L68" s="32">
        <v>114</v>
      </c>
      <c r="M68" s="32">
        <v>114</v>
      </c>
      <c r="N68" s="32">
        <v>114</v>
      </c>
      <c r="O68" s="32">
        <v>114</v>
      </c>
      <c r="P68" s="32">
        <v>114</v>
      </c>
      <c r="Q68" s="32">
        <v>114</v>
      </c>
      <c r="R68" s="32">
        <v>114</v>
      </c>
      <c r="S68" s="32">
        <v>114</v>
      </c>
      <c r="T68" s="32">
        <v>114</v>
      </c>
      <c r="U68" s="32">
        <v>114</v>
      </c>
      <c r="V68" s="32">
        <v>114</v>
      </c>
      <c r="W68" s="32">
        <v>114</v>
      </c>
      <c r="X68" s="32">
        <v>114</v>
      </c>
      <c r="Y68" s="32">
        <v>114</v>
      </c>
      <c r="Z68" s="32">
        <v>114</v>
      </c>
      <c r="AA68" s="32">
        <v>114</v>
      </c>
      <c r="AB68" s="32">
        <v>114</v>
      </c>
      <c r="AC68" s="32">
        <v>114</v>
      </c>
      <c r="AD68" s="32">
        <v>114</v>
      </c>
      <c r="AE68" s="32">
        <v>114</v>
      </c>
      <c r="AF68" s="32">
        <v>114</v>
      </c>
      <c r="AG68" s="32">
        <v>114</v>
      </c>
      <c r="AH68" s="32">
        <v>114</v>
      </c>
      <c r="AI68" s="32">
        <v>114</v>
      </c>
      <c r="AJ68" s="32">
        <v>114</v>
      </c>
    </row>
    <row r="69" spans="1:36" ht="35" x14ac:dyDescent="0.45">
      <c r="A69" s="34"/>
      <c r="B69" s="4" t="s">
        <v>113</v>
      </c>
      <c r="C69" s="4" t="s">
        <v>114</v>
      </c>
      <c r="D69" s="4" t="s">
        <v>390</v>
      </c>
      <c r="E69" s="4">
        <v>256.20999999999998</v>
      </c>
      <c r="F69" s="4" t="s">
        <v>415</v>
      </c>
      <c r="G69" s="32">
        <v>256.20999999999998</v>
      </c>
      <c r="H69" s="32">
        <v>256.20999999999998</v>
      </c>
      <c r="I69" s="32">
        <v>256.20999999999998</v>
      </c>
      <c r="J69" s="32">
        <v>256.20999999999998</v>
      </c>
      <c r="K69" s="32">
        <v>256.20999999999998</v>
      </c>
      <c r="L69" s="32">
        <v>256.20999999999998</v>
      </c>
      <c r="M69" s="32">
        <v>256.20999999999998</v>
      </c>
      <c r="N69" s="32">
        <v>256.20999999999998</v>
      </c>
      <c r="O69" s="32">
        <v>256.20999999999998</v>
      </c>
      <c r="P69" s="32">
        <v>256.20999999999998</v>
      </c>
      <c r="Q69" s="32">
        <v>256.20999999999998</v>
      </c>
      <c r="R69" s="32">
        <v>256.20999999999998</v>
      </c>
      <c r="S69" s="32">
        <v>256.20999999999998</v>
      </c>
      <c r="T69" s="32">
        <v>256.20999999999998</v>
      </c>
      <c r="U69" s="32">
        <v>256.20999999999998</v>
      </c>
      <c r="V69" s="32">
        <v>256.20999999999998</v>
      </c>
      <c r="W69" s="32">
        <v>256.20999999999998</v>
      </c>
      <c r="X69" s="32">
        <v>256.20999999999998</v>
      </c>
      <c r="Y69" s="32">
        <v>256.20999999999998</v>
      </c>
      <c r="Z69" s="32">
        <v>256.20999999999998</v>
      </c>
      <c r="AA69" s="32">
        <v>256.20999999999998</v>
      </c>
      <c r="AB69" s="32">
        <v>256.20999999999998</v>
      </c>
      <c r="AC69" s="32">
        <v>256.20999999999998</v>
      </c>
      <c r="AD69" s="32">
        <v>256.20999999999998</v>
      </c>
      <c r="AE69" s="32">
        <v>256.20999999999998</v>
      </c>
      <c r="AF69" s="32">
        <v>256.20999999999998</v>
      </c>
      <c r="AG69" s="32">
        <v>256.20999999999998</v>
      </c>
      <c r="AH69" s="32">
        <v>256.20999999999998</v>
      </c>
      <c r="AI69" s="32">
        <v>256.20999999999998</v>
      </c>
      <c r="AJ69" s="32">
        <v>256.20999999999998</v>
      </c>
    </row>
    <row r="70" spans="1:36" x14ac:dyDescent="0.45">
      <c r="A70" s="34" t="s">
        <v>221</v>
      </c>
      <c r="B70" s="4" t="s">
        <v>115</v>
      </c>
      <c r="C70" s="4" t="s">
        <v>116</v>
      </c>
      <c r="D70" s="4" t="s">
        <v>390</v>
      </c>
      <c r="E70" s="4">
        <v>386.1</v>
      </c>
      <c r="F70" s="4" t="s">
        <v>409</v>
      </c>
      <c r="G70" s="32">
        <v>386.1</v>
      </c>
      <c r="H70" s="32">
        <v>386.1</v>
      </c>
      <c r="I70" s="32">
        <v>386.1</v>
      </c>
      <c r="J70" s="32">
        <v>386.1</v>
      </c>
      <c r="K70" s="32">
        <v>386.1</v>
      </c>
      <c r="L70" s="32">
        <v>386.1</v>
      </c>
      <c r="M70" s="32">
        <v>386.1</v>
      </c>
      <c r="N70" s="32">
        <v>386.1</v>
      </c>
      <c r="O70" s="32">
        <v>386.1</v>
      </c>
      <c r="P70" s="32">
        <v>386.1</v>
      </c>
      <c r="Q70" s="32">
        <v>386.1</v>
      </c>
      <c r="R70" s="32">
        <v>386.1</v>
      </c>
      <c r="S70" s="32">
        <v>386.1</v>
      </c>
      <c r="T70" s="32">
        <v>386.1</v>
      </c>
      <c r="U70" s="32">
        <v>386.1</v>
      </c>
      <c r="V70" s="32">
        <v>386.1</v>
      </c>
      <c r="W70" s="32">
        <v>386.1</v>
      </c>
      <c r="X70" s="32">
        <v>386.1</v>
      </c>
      <c r="Y70" s="32">
        <v>386.1</v>
      </c>
      <c r="Z70" s="32">
        <v>386.1</v>
      </c>
      <c r="AA70" s="32">
        <v>386.1</v>
      </c>
      <c r="AB70" s="32">
        <v>386.1</v>
      </c>
      <c r="AC70" s="32">
        <v>386.1</v>
      </c>
      <c r="AD70" s="32">
        <v>386.1</v>
      </c>
      <c r="AE70" s="32">
        <v>386.1</v>
      </c>
      <c r="AF70" s="32">
        <v>386.1</v>
      </c>
      <c r="AG70" s="32">
        <v>386.1</v>
      </c>
      <c r="AH70" s="32">
        <v>386.1</v>
      </c>
      <c r="AI70" s="32">
        <v>386.1</v>
      </c>
      <c r="AJ70" s="32">
        <v>386.1</v>
      </c>
    </row>
    <row r="71" spans="1:36" x14ac:dyDescent="0.45">
      <c r="A71" s="34"/>
      <c r="B71" s="4" t="s">
        <v>117</v>
      </c>
      <c r="C71" s="4" t="s">
        <v>118</v>
      </c>
      <c r="D71" s="4" t="s">
        <v>390</v>
      </c>
      <c r="E71" s="4">
        <v>150.69999999999999</v>
      </c>
      <c r="F71" s="4" t="s">
        <v>409</v>
      </c>
      <c r="G71" s="32">
        <v>150.69999999999999</v>
      </c>
      <c r="H71" s="32">
        <v>150.69999999999999</v>
      </c>
      <c r="I71" s="32">
        <v>150.69999999999999</v>
      </c>
      <c r="J71" s="32">
        <v>150.69999999999999</v>
      </c>
      <c r="K71" s="32">
        <v>150.69999999999999</v>
      </c>
      <c r="L71" s="32">
        <v>150.69999999999999</v>
      </c>
      <c r="M71" s="32">
        <v>150.69999999999999</v>
      </c>
      <c r="N71" s="32">
        <v>150.69999999999999</v>
      </c>
      <c r="O71" s="32">
        <v>150.69999999999999</v>
      </c>
      <c r="P71" s="32">
        <v>150.69999999999999</v>
      </c>
      <c r="Q71" s="32">
        <v>150.69999999999999</v>
      </c>
      <c r="R71" s="32">
        <v>150.69999999999999</v>
      </c>
      <c r="S71" s="32">
        <v>150.69999999999999</v>
      </c>
      <c r="T71" s="32">
        <v>150.69999999999999</v>
      </c>
      <c r="U71" s="32">
        <v>150.69999999999999</v>
      </c>
      <c r="V71" s="32">
        <v>150.69999999999999</v>
      </c>
      <c r="W71" s="32">
        <v>150.69999999999999</v>
      </c>
      <c r="X71" s="32">
        <v>150.69999999999999</v>
      </c>
      <c r="Y71" s="32">
        <v>150.69999999999999</v>
      </c>
      <c r="Z71" s="32">
        <v>150.69999999999999</v>
      </c>
      <c r="AA71" s="32">
        <v>150.69999999999999</v>
      </c>
      <c r="AB71" s="32">
        <v>150.69999999999999</v>
      </c>
      <c r="AC71" s="32">
        <v>150.69999999999999</v>
      </c>
      <c r="AD71" s="32">
        <v>150.69999999999999</v>
      </c>
      <c r="AE71" s="32">
        <v>150.69999999999999</v>
      </c>
      <c r="AF71" s="32">
        <v>150.69999999999999</v>
      </c>
      <c r="AG71" s="32">
        <v>150.69999999999999</v>
      </c>
      <c r="AH71" s="32">
        <v>150.69999999999999</v>
      </c>
      <c r="AI71" s="32">
        <v>150.69999999999999</v>
      </c>
      <c r="AJ71" s="32">
        <v>150.69999999999999</v>
      </c>
    </row>
    <row r="72" spans="1:36" x14ac:dyDescent="0.45">
      <c r="A72" s="34"/>
      <c r="B72" s="4" t="s">
        <v>119</v>
      </c>
      <c r="C72" s="4" t="s">
        <v>120</v>
      </c>
      <c r="D72" s="4" t="s">
        <v>390</v>
      </c>
      <c r="E72" s="4">
        <v>935</v>
      </c>
      <c r="F72" s="4" t="s">
        <v>409</v>
      </c>
      <c r="G72" s="32">
        <v>935</v>
      </c>
      <c r="H72" s="32">
        <v>935</v>
      </c>
      <c r="I72" s="32">
        <v>935</v>
      </c>
      <c r="J72" s="32">
        <v>935</v>
      </c>
      <c r="K72" s="32">
        <v>935</v>
      </c>
      <c r="L72" s="32">
        <v>935</v>
      </c>
      <c r="M72" s="32">
        <v>935</v>
      </c>
      <c r="N72" s="32">
        <v>935</v>
      </c>
      <c r="O72" s="32">
        <v>935</v>
      </c>
      <c r="P72" s="32">
        <v>935</v>
      </c>
      <c r="Q72" s="32">
        <v>935</v>
      </c>
      <c r="R72" s="32">
        <v>935</v>
      </c>
      <c r="S72" s="32">
        <v>935</v>
      </c>
      <c r="T72" s="32">
        <v>935</v>
      </c>
      <c r="U72" s="32">
        <v>935</v>
      </c>
      <c r="V72" s="32">
        <v>935</v>
      </c>
      <c r="W72" s="32">
        <v>935</v>
      </c>
      <c r="X72" s="32">
        <v>935</v>
      </c>
      <c r="Y72" s="32">
        <v>935</v>
      </c>
      <c r="Z72" s="32">
        <v>935</v>
      </c>
      <c r="AA72" s="32">
        <v>935</v>
      </c>
      <c r="AB72" s="32">
        <v>935</v>
      </c>
      <c r="AC72" s="32">
        <v>935</v>
      </c>
      <c r="AD72" s="32">
        <v>935</v>
      </c>
      <c r="AE72" s="32">
        <v>935</v>
      </c>
      <c r="AF72" s="32">
        <v>935</v>
      </c>
      <c r="AG72" s="32">
        <v>935</v>
      </c>
      <c r="AH72" s="32">
        <v>935</v>
      </c>
      <c r="AI72" s="32">
        <v>935</v>
      </c>
      <c r="AJ72" s="32">
        <v>935</v>
      </c>
    </row>
    <row r="73" spans="1:36" ht="35" x14ac:dyDescent="0.45">
      <c r="A73" s="34"/>
      <c r="B73" s="4" t="s">
        <v>121</v>
      </c>
      <c r="C73" s="4" t="s">
        <v>122</v>
      </c>
      <c r="D73" s="4" t="s">
        <v>390</v>
      </c>
      <c r="E73" s="4">
        <v>299</v>
      </c>
      <c r="F73" s="4" t="s">
        <v>415</v>
      </c>
      <c r="G73" s="32">
        <v>299</v>
      </c>
      <c r="H73" s="32">
        <v>299</v>
      </c>
      <c r="I73" s="32">
        <v>299</v>
      </c>
      <c r="J73" s="32">
        <v>299</v>
      </c>
      <c r="K73" s="32">
        <v>299</v>
      </c>
      <c r="L73" s="32">
        <v>299</v>
      </c>
      <c r="M73" s="32">
        <v>299</v>
      </c>
      <c r="N73" s="32">
        <v>299</v>
      </c>
      <c r="O73" s="32">
        <v>299</v>
      </c>
      <c r="P73" s="32">
        <v>299</v>
      </c>
      <c r="Q73" s="32">
        <v>299</v>
      </c>
      <c r="R73" s="32">
        <v>299</v>
      </c>
      <c r="S73" s="32">
        <v>299</v>
      </c>
      <c r="T73" s="32">
        <v>299</v>
      </c>
      <c r="U73" s="32">
        <v>299</v>
      </c>
      <c r="V73" s="32">
        <v>299</v>
      </c>
      <c r="W73" s="32">
        <v>299</v>
      </c>
      <c r="X73" s="32">
        <v>299</v>
      </c>
      <c r="Y73" s="32">
        <v>299</v>
      </c>
      <c r="Z73" s="32">
        <v>299</v>
      </c>
      <c r="AA73" s="32">
        <v>299</v>
      </c>
      <c r="AB73" s="32">
        <v>299</v>
      </c>
      <c r="AC73" s="32">
        <v>299</v>
      </c>
      <c r="AD73" s="32">
        <v>299</v>
      </c>
      <c r="AE73" s="32">
        <v>299</v>
      </c>
      <c r="AF73" s="32">
        <v>299</v>
      </c>
      <c r="AG73" s="32">
        <v>299</v>
      </c>
      <c r="AH73" s="32">
        <v>299</v>
      </c>
      <c r="AI73" s="32">
        <v>299</v>
      </c>
      <c r="AJ73" s="32">
        <v>299</v>
      </c>
    </row>
    <row r="74" spans="1:36" x14ac:dyDescent="0.45">
      <c r="A74" s="34" t="s">
        <v>222</v>
      </c>
      <c r="B74" s="4" t="s">
        <v>123</v>
      </c>
      <c r="C74" s="4" t="s">
        <v>124</v>
      </c>
      <c r="D74" s="4" t="s">
        <v>390</v>
      </c>
      <c r="E74" s="4">
        <v>114</v>
      </c>
      <c r="F74" s="4" t="s">
        <v>409</v>
      </c>
      <c r="G74" s="32">
        <v>114</v>
      </c>
      <c r="H74" s="32">
        <v>114</v>
      </c>
      <c r="I74" s="32">
        <v>114</v>
      </c>
      <c r="J74" s="32">
        <v>114</v>
      </c>
      <c r="K74" s="32">
        <v>114</v>
      </c>
      <c r="L74" s="32">
        <v>114</v>
      </c>
      <c r="M74" s="32">
        <v>114</v>
      </c>
      <c r="N74" s="32">
        <v>114</v>
      </c>
      <c r="O74" s="32">
        <v>114</v>
      </c>
      <c r="P74" s="32">
        <v>114</v>
      </c>
      <c r="Q74" s="32">
        <v>114</v>
      </c>
      <c r="R74" s="32">
        <v>114</v>
      </c>
      <c r="S74" s="32">
        <v>114</v>
      </c>
      <c r="T74" s="32">
        <v>114</v>
      </c>
      <c r="U74" s="32">
        <v>114</v>
      </c>
      <c r="V74" s="32">
        <v>114</v>
      </c>
      <c r="W74" s="32">
        <v>114</v>
      </c>
      <c r="X74" s="32">
        <v>114</v>
      </c>
      <c r="Y74" s="32">
        <v>114</v>
      </c>
      <c r="Z74" s="32">
        <v>114</v>
      </c>
      <c r="AA74" s="32">
        <v>114</v>
      </c>
      <c r="AB74" s="32">
        <v>114</v>
      </c>
      <c r="AC74" s="32">
        <v>114</v>
      </c>
      <c r="AD74" s="32">
        <v>114</v>
      </c>
      <c r="AE74" s="32">
        <v>114</v>
      </c>
      <c r="AF74" s="32">
        <v>114</v>
      </c>
      <c r="AG74" s="32">
        <v>114</v>
      </c>
      <c r="AH74" s="32">
        <v>114</v>
      </c>
      <c r="AI74" s="32">
        <v>114</v>
      </c>
      <c r="AJ74" s="32">
        <v>114</v>
      </c>
    </row>
    <row r="75" spans="1:36" ht="35" x14ac:dyDescent="0.45">
      <c r="A75" s="34"/>
      <c r="B75" s="4" t="s">
        <v>125</v>
      </c>
      <c r="C75" s="4" t="s">
        <v>126</v>
      </c>
      <c r="D75" s="4" t="s">
        <v>390</v>
      </c>
      <c r="E75" s="4">
        <v>256.20999999999998</v>
      </c>
      <c r="F75" s="4" t="s">
        <v>415</v>
      </c>
      <c r="G75" s="32">
        <v>256.20999999999998</v>
      </c>
      <c r="H75" s="32">
        <v>256.20999999999998</v>
      </c>
      <c r="I75" s="32">
        <v>256.20999999999998</v>
      </c>
      <c r="J75" s="32">
        <v>256.20999999999998</v>
      </c>
      <c r="K75" s="32">
        <v>256.20999999999998</v>
      </c>
      <c r="L75" s="32">
        <v>256.20999999999998</v>
      </c>
      <c r="M75" s="32">
        <v>256.20999999999998</v>
      </c>
      <c r="N75" s="32">
        <v>256.20999999999998</v>
      </c>
      <c r="O75" s="32">
        <v>256.20999999999998</v>
      </c>
      <c r="P75" s="32">
        <v>256.20999999999998</v>
      </c>
      <c r="Q75" s="32">
        <v>256.20999999999998</v>
      </c>
      <c r="R75" s="32">
        <v>256.20999999999998</v>
      </c>
      <c r="S75" s="32">
        <v>256.20999999999998</v>
      </c>
      <c r="T75" s="32">
        <v>256.20999999999998</v>
      </c>
      <c r="U75" s="32">
        <v>256.20999999999998</v>
      </c>
      <c r="V75" s="32">
        <v>256.20999999999998</v>
      </c>
      <c r="W75" s="32">
        <v>256.20999999999998</v>
      </c>
      <c r="X75" s="32">
        <v>256.20999999999998</v>
      </c>
      <c r="Y75" s="32">
        <v>256.20999999999998</v>
      </c>
      <c r="Z75" s="32">
        <v>256.20999999999998</v>
      </c>
      <c r="AA75" s="32">
        <v>256.20999999999998</v>
      </c>
      <c r="AB75" s="32">
        <v>256.20999999999998</v>
      </c>
      <c r="AC75" s="32">
        <v>256.20999999999998</v>
      </c>
      <c r="AD75" s="32">
        <v>256.20999999999998</v>
      </c>
      <c r="AE75" s="32">
        <v>256.20999999999998</v>
      </c>
      <c r="AF75" s="32">
        <v>256.20999999999998</v>
      </c>
      <c r="AG75" s="32">
        <v>256.20999999999998</v>
      </c>
      <c r="AH75" s="32">
        <v>256.20999999999998</v>
      </c>
      <c r="AI75" s="32">
        <v>256.20999999999998</v>
      </c>
      <c r="AJ75" s="32">
        <v>256.20999999999998</v>
      </c>
    </row>
    <row r="76" spans="1:36" x14ac:dyDescent="0.45">
      <c r="A76" s="34" t="s">
        <v>223</v>
      </c>
      <c r="B76" s="4" t="s">
        <v>127</v>
      </c>
      <c r="C76" s="4" t="s">
        <v>128</v>
      </c>
      <c r="D76" s="4" t="s">
        <v>390</v>
      </c>
      <c r="E76" s="4">
        <v>870.1</v>
      </c>
      <c r="F76" s="4" t="s">
        <v>409</v>
      </c>
      <c r="G76" s="32">
        <v>870.1</v>
      </c>
      <c r="H76" s="32">
        <v>870.1</v>
      </c>
      <c r="I76" s="32">
        <v>870.1</v>
      </c>
      <c r="J76" s="32">
        <v>870.1</v>
      </c>
      <c r="K76" s="32">
        <v>870.1</v>
      </c>
      <c r="L76" s="32">
        <v>870.1</v>
      </c>
      <c r="M76" s="32">
        <v>870.1</v>
      </c>
      <c r="N76" s="32">
        <v>870.1</v>
      </c>
      <c r="O76" s="32">
        <v>870.1</v>
      </c>
      <c r="P76" s="32">
        <v>870.1</v>
      </c>
      <c r="Q76" s="32">
        <v>870.1</v>
      </c>
      <c r="R76" s="32">
        <v>870.1</v>
      </c>
      <c r="S76" s="32">
        <v>870.1</v>
      </c>
      <c r="T76" s="32">
        <v>870.1</v>
      </c>
      <c r="U76" s="32">
        <v>870.1</v>
      </c>
      <c r="V76" s="32">
        <v>870.1</v>
      </c>
      <c r="W76" s="32">
        <v>870.1</v>
      </c>
      <c r="X76" s="32">
        <v>870.1</v>
      </c>
      <c r="Y76" s="32">
        <v>870.1</v>
      </c>
      <c r="Z76" s="32">
        <v>870.1</v>
      </c>
      <c r="AA76" s="32">
        <v>870.1</v>
      </c>
      <c r="AB76" s="32">
        <v>870.1</v>
      </c>
      <c r="AC76" s="32">
        <v>870.1</v>
      </c>
      <c r="AD76" s="32">
        <v>870.1</v>
      </c>
      <c r="AE76" s="32">
        <v>870.1</v>
      </c>
      <c r="AF76" s="32">
        <v>870.1</v>
      </c>
      <c r="AG76" s="32">
        <v>870.1</v>
      </c>
      <c r="AH76" s="32">
        <v>870.1</v>
      </c>
      <c r="AI76" s="32">
        <v>870.1</v>
      </c>
      <c r="AJ76" s="32">
        <v>870.1</v>
      </c>
    </row>
    <row r="77" spans="1:36" x14ac:dyDescent="0.45">
      <c r="A77" s="34"/>
      <c r="B77" s="4" t="s">
        <v>129</v>
      </c>
      <c r="C77" s="4" t="s">
        <v>130</v>
      </c>
      <c r="D77" s="4" t="s">
        <v>390</v>
      </c>
      <c r="E77" s="4">
        <v>386.1</v>
      </c>
      <c r="F77" s="4" t="s">
        <v>409</v>
      </c>
      <c r="G77" s="32">
        <v>386.1</v>
      </c>
      <c r="H77" s="32">
        <v>386.1</v>
      </c>
      <c r="I77" s="32">
        <v>386.1</v>
      </c>
      <c r="J77" s="32">
        <v>386.1</v>
      </c>
      <c r="K77" s="32">
        <v>386.1</v>
      </c>
      <c r="L77" s="32">
        <v>386.1</v>
      </c>
      <c r="M77" s="32">
        <v>386.1</v>
      </c>
      <c r="N77" s="32">
        <v>386.1</v>
      </c>
      <c r="O77" s="32">
        <v>386.1</v>
      </c>
      <c r="P77" s="32">
        <v>386.1</v>
      </c>
      <c r="Q77" s="32">
        <v>386.1</v>
      </c>
      <c r="R77" s="32">
        <v>386.1</v>
      </c>
      <c r="S77" s="32">
        <v>386.1</v>
      </c>
      <c r="T77" s="32">
        <v>386.1</v>
      </c>
      <c r="U77" s="32">
        <v>386.1</v>
      </c>
      <c r="V77" s="32">
        <v>386.1</v>
      </c>
      <c r="W77" s="32">
        <v>386.1</v>
      </c>
      <c r="X77" s="32">
        <v>386.1</v>
      </c>
      <c r="Y77" s="32">
        <v>386.1</v>
      </c>
      <c r="Z77" s="32">
        <v>386.1</v>
      </c>
      <c r="AA77" s="32">
        <v>386.1</v>
      </c>
      <c r="AB77" s="32">
        <v>386.1</v>
      </c>
      <c r="AC77" s="32">
        <v>386.1</v>
      </c>
      <c r="AD77" s="32">
        <v>386.1</v>
      </c>
      <c r="AE77" s="32">
        <v>386.1</v>
      </c>
      <c r="AF77" s="32">
        <v>386.1</v>
      </c>
      <c r="AG77" s="32">
        <v>386.1</v>
      </c>
      <c r="AH77" s="32">
        <v>386.1</v>
      </c>
      <c r="AI77" s="32">
        <v>386.1</v>
      </c>
      <c r="AJ77" s="32">
        <v>386.1</v>
      </c>
    </row>
    <row r="78" spans="1:36" x14ac:dyDescent="0.45">
      <c r="A78" s="34"/>
      <c r="B78" s="4" t="s">
        <v>131</v>
      </c>
      <c r="C78" s="4" t="s">
        <v>132</v>
      </c>
      <c r="D78" s="4" t="s">
        <v>390</v>
      </c>
      <c r="E78" s="4">
        <v>150.69999999999999</v>
      </c>
      <c r="F78" s="4" t="s">
        <v>409</v>
      </c>
      <c r="G78" s="32">
        <v>150.69999999999999</v>
      </c>
      <c r="H78" s="32">
        <v>150.69999999999999</v>
      </c>
      <c r="I78" s="32">
        <v>150.69999999999999</v>
      </c>
      <c r="J78" s="32">
        <v>150.69999999999999</v>
      </c>
      <c r="K78" s="32">
        <v>150.69999999999999</v>
      </c>
      <c r="L78" s="32">
        <v>150.69999999999999</v>
      </c>
      <c r="M78" s="32">
        <v>150.69999999999999</v>
      </c>
      <c r="N78" s="32">
        <v>150.69999999999999</v>
      </c>
      <c r="O78" s="32">
        <v>150.69999999999999</v>
      </c>
      <c r="P78" s="32">
        <v>150.69999999999999</v>
      </c>
      <c r="Q78" s="32">
        <v>150.69999999999999</v>
      </c>
      <c r="R78" s="32">
        <v>150.69999999999999</v>
      </c>
      <c r="S78" s="32">
        <v>150.69999999999999</v>
      </c>
      <c r="T78" s="32">
        <v>150.69999999999999</v>
      </c>
      <c r="U78" s="32">
        <v>150.69999999999999</v>
      </c>
      <c r="V78" s="32">
        <v>150.69999999999999</v>
      </c>
      <c r="W78" s="32">
        <v>150.69999999999999</v>
      </c>
      <c r="X78" s="32">
        <v>150.69999999999999</v>
      </c>
      <c r="Y78" s="32">
        <v>150.69999999999999</v>
      </c>
      <c r="Z78" s="32">
        <v>150.69999999999999</v>
      </c>
      <c r="AA78" s="32">
        <v>150.69999999999999</v>
      </c>
      <c r="AB78" s="32">
        <v>150.69999999999999</v>
      </c>
      <c r="AC78" s="32">
        <v>150.69999999999999</v>
      </c>
      <c r="AD78" s="32">
        <v>150.69999999999999</v>
      </c>
      <c r="AE78" s="32">
        <v>150.69999999999999</v>
      </c>
      <c r="AF78" s="32">
        <v>150.69999999999999</v>
      </c>
      <c r="AG78" s="32">
        <v>150.69999999999999</v>
      </c>
      <c r="AH78" s="32">
        <v>150.69999999999999</v>
      </c>
      <c r="AI78" s="32">
        <v>150.69999999999999</v>
      </c>
      <c r="AJ78" s="32">
        <v>150.69999999999999</v>
      </c>
    </row>
    <row r="79" spans="1:36" x14ac:dyDescent="0.45">
      <c r="A79" s="34"/>
      <c r="B79" s="4" t="s">
        <v>133</v>
      </c>
      <c r="C79" s="4" t="s">
        <v>134</v>
      </c>
      <c r="D79" s="4" t="s">
        <v>390</v>
      </c>
      <c r="E79" s="4">
        <v>935</v>
      </c>
      <c r="F79" s="4" t="s">
        <v>409</v>
      </c>
      <c r="G79" s="32">
        <v>935</v>
      </c>
      <c r="H79" s="32">
        <v>935</v>
      </c>
      <c r="I79" s="32">
        <v>935</v>
      </c>
      <c r="J79" s="32">
        <v>935</v>
      </c>
      <c r="K79" s="32">
        <v>935</v>
      </c>
      <c r="L79" s="32">
        <v>935</v>
      </c>
      <c r="M79" s="32">
        <v>935</v>
      </c>
      <c r="N79" s="32">
        <v>935</v>
      </c>
      <c r="O79" s="32">
        <v>935</v>
      </c>
      <c r="P79" s="32">
        <v>935</v>
      </c>
      <c r="Q79" s="32">
        <v>935</v>
      </c>
      <c r="R79" s="32">
        <v>935</v>
      </c>
      <c r="S79" s="32">
        <v>935</v>
      </c>
      <c r="T79" s="32">
        <v>935</v>
      </c>
      <c r="U79" s="32">
        <v>935</v>
      </c>
      <c r="V79" s="32">
        <v>935</v>
      </c>
      <c r="W79" s="32">
        <v>935</v>
      </c>
      <c r="X79" s="32">
        <v>935</v>
      </c>
      <c r="Y79" s="32">
        <v>935</v>
      </c>
      <c r="Z79" s="32">
        <v>935</v>
      </c>
      <c r="AA79" s="32">
        <v>935</v>
      </c>
      <c r="AB79" s="32">
        <v>935</v>
      </c>
      <c r="AC79" s="32">
        <v>935</v>
      </c>
      <c r="AD79" s="32">
        <v>935</v>
      </c>
      <c r="AE79" s="32">
        <v>935</v>
      </c>
      <c r="AF79" s="32">
        <v>935</v>
      </c>
      <c r="AG79" s="32">
        <v>935</v>
      </c>
      <c r="AH79" s="32">
        <v>935</v>
      </c>
      <c r="AI79" s="32">
        <v>935</v>
      </c>
      <c r="AJ79" s="32">
        <v>935</v>
      </c>
    </row>
    <row r="80" spans="1:36" ht="35" x14ac:dyDescent="0.45">
      <c r="A80" s="34"/>
      <c r="B80" s="4" t="s">
        <v>135</v>
      </c>
      <c r="C80" s="4" t="s">
        <v>136</v>
      </c>
      <c r="D80" s="4" t="s">
        <v>390</v>
      </c>
      <c r="E80" s="4">
        <v>299</v>
      </c>
      <c r="F80" s="4" t="s">
        <v>415</v>
      </c>
      <c r="G80" s="32">
        <v>299</v>
      </c>
      <c r="H80" s="32">
        <v>299</v>
      </c>
      <c r="I80" s="32">
        <v>299</v>
      </c>
      <c r="J80" s="32">
        <v>299</v>
      </c>
      <c r="K80" s="32">
        <v>299</v>
      </c>
      <c r="L80" s="32">
        <v>299</v>
      </c>
      <c r="M80" s="32">
        <v>299</v>
      </c>
      <c r="N80" s="32">
        <v>299</v>
      </c>
      <c r="O80" s="32">
        <v>299</v>
      </c>
      <c r="P80" s="32">
        <v>299</v>
      </c>
      <c r="Q80" s="32">
        <v>299</v>
      </c>
      <c r="R80" s="32">
        <v>299</v>
      </c>
      <c r="S80" s="32">
        <v>299</v>
      </c>
      <c r="T80" s="32">
        <v>299</v>
      </c>
      <c r="U80" s="32">
        <v>299</v>
      </c>
      <c r="V80" s="32">
        <v>299</v>
      </c>
      <c r="W80" s="32">
        <v>299</v>
      </c>
      <c r="X80" s="32">
        <v>299</v>
      </c>
      <c r="Y80" s="32">
        <v>299</v>
      </c>
      <c r="Z80" s="32">
        <v>299</v>
      </c>
      <c r="AA80" s="32">
        <v>299</v>
      </c>
      <c r="AB80" s="32">
        <v>299</v>
      </c>
      <c r="AC80" s="32">
        <v>299</v>
      </c>
      <c r="AD80" s="32">
        <v>299</v>
      </c>
      <c r="AE80" s="32">
        <v>299</v>
      </c>
      <c r="AF80" s="32">
        <v>299</v>
      </c>
      <c r="AG80" s="32">
        <v>299</v>
      </c>
      <c r="AH80" s="32">
        <v>299</v>
      </c>
      <c r="AI80" s="32">
        <v>299</v>
      </c>
      <c r="AJ80" s="32">
        <v>299</v>
      </c>
    </row>
    <row r="81" spans="1:36" x14ac:dyDescent="0.45">
      <c r="A81" s="34" t="s">
        <v>224</v>
      </c>
      <c r="B81" s="4" t="s">
        <v>137</v>
      </c>
      <c r="C81" s="4" t="s">
        <v>138</v>
      </c>
      <c r="D81" s="4" t="s">
        <v>390</v>
      </c>
      <c r="E81" s="4">
        <v>386.1</v>
      </c>
      <c r="F81" s="4" t="s">
        <v>409</v>
      </c>
      <c r="G81" s="32">
        <v>386.1</v>
      </c>
      <c r="H81" s="32">
        <v>386.1</v>
      </c>
      <c r="I81" s="32">
        <v>386.1</v>
      </c>
      <c r="J81" s="32">
        <v>386.1</v>
      </c>
      <c r="K81" s="32">
        <v>386.1</v>
      </c>
      <c r="L81" s="32">
        <v>386.1</v>
      </c>
      <c r="M81" s="32">
        <v>386.1</v>
      </c>
      <c r="N81" s="32">
        <v>386.1</v>
      </c>
      <c r="O81" s="32">
        <v>386.1</v>
      </c>
      <c r="P81" s="32">
        <v>386.1</v>
      </c>
      <c r="Q81" s="32">
        <v>386.1</v>
      </c>
      <c r="R81" s="32">
        <v>386.1</v>
      </c>
      <c r="S81" s="32">
        <v>386.1</v>
      </c>
      <c r="T81" s="32">
        <v>386.1</v>
      </c>
      <c r="U81" s="32">
        <v>386.1</v>
      </c>
      <c r="V81" s="32">
        <v>386.1</v>
      </c>
      <c r="W81" s="32">
        <v>386.1</v>
      </c>
      <c r="X81" s="32">
        <v>386.1</v>
      </c>
      <c r="Y81" s="32">
        <v>386.1</v>
      </c>
      <c r="Z81" s="32">
        <v>386.1</v>
      </c>
      <c r="AA81" s="32">
        <v>386.1</v>
      </c>
      <c r="AB81" s="32">
        <v>386.1</v>
      </c>
      <c r="AC81" s="32">
        <v>386.1</v>
      </c>
      <c r="AD81" s="32">
        <v>386.1</v>
      </c>
      <c r="AE81" s="32">
        <v>386.1</v>
      </c>
      <c r="AF81" s="32">
        <v>386.1</v>
      </c>
      <c r="AG81" s="32">
        <v>386.1</v>
      </c>
      <c r="AH81" s="32">
        <v>386.1</v>
      </c>
      <c r="AI81" s="32">
        <v>386.1</v>
      </c>
      <c r="AJ81" s="32">
        <v>386.1</v>
      </c>
    </row>
    <row r="82" spans="1:36" x14ac:dyDescent="0.45">
      <c r="A82" s="34"/>
      <c r="B82" s="4" t="s">
        <v>139</v>
      </c>
      <c r="C82" s="4" t="s">
        <v>140</v>
      </c>
      <c r="D82" s="4" t="s">
        <v>390</v>
      </c>
      <c r="E82" s="4">
        <v>150.69999999999999</v>
      </c>
      <c r="F82" s="4" t="s">
        <v>409</v>
      </c>
      <c r="G82" s="32">
        <v>150.69999999999999</v>
      </c>
      <c r="H82" s="32">
        <v>150.69999999999999</v>
      </c>
      <c r="I82" s="32">
        <v>150.69999999999999</v>
      </c>
      <c r="J82" s="32">
        <v>150.69999999999999</v>
      </c>
      <c r="K82" s="32">
        <v>150.69999999999999</v>
      </c>
      <c r="L82" s="32">
        <v>150.69999999999999</v>
      </c>
      <c r="M82" s="32">
        <v>150.69999999999999</v>
      </c>
      <c r="N82" s="32">
        <v>150.69999999999999</v>
      </c>
      <c r="O82" s="32">
        <v>150.69999999999999</v>
      </c>
      <c r="P82" s="32">
        <v>150.69999999999999</v>
      </c>
      <c r="Q82" s="32">
        <v>150.69999999999999</v>
      </c>
      <c r="R82" s="32">
        <v>150.69999999999999</v>
      </c>
      <c r="S82" s="32">
        <v>150.69999999999999</v>
      </c>
      <c r="T82" s="32">
        <v>150.69999999999999</v>
      </c>
      <c r="U82" s="32">
        <v>150.69999999999999</v>
      </c>
      <c r="V82" s="32">
        <v>150.69999999999999</v>
      </c>
      <c r="W82" s="32">
        <v>150.69999999999999</v>
      </c>
      <c r="X82" s="32">
        <v>150.69999999999999</v>
      </c>
      <c r="Y82" s="32">
        <v>150.69999999999999</v>
      </c>
      <c r="Z82" s="32">
        <v>150.69999999999999</v>
      </c>
      <c r="AA82" s="32">
        <v>150.69999999999999</v>
      </c>
      <c r="AB82" s="32">
        <v>150.69999999999999</v>
      </c>
      <c r="AC82" s="32">
        <v>150.69999999999999</v>
      </c>
      <c r="AD82" s="32">
        <v>150.69999999999999</v>
      </c>
      <c r="AE82" s="32">
        <v>150.69999999999999</v>
      </c>
      <c r="AF82" s="32">
        <v>150.69999999999999</v>
      </c>
      <c r="AG82" s="32">
        <v>150.69999999999999</v>
      </c>
      <c r="AH82" s="32">
        <v>150.69999999999999</v>
      </c>
      <c r="AI82" s="32">
        <v>150.69999999999999</v>
      </c>
      <c r="AJ82" s="32">
        <v>150.69999999999999</v>
      </c>
    </row>
    <row r="83" spans="1:36" x14ac:dyDescent="0.45">
      <c r="A83" s="34"/>
      <c r="B83" s="4" t="s">
        <v>141</v>
      </c>
      <c r="C83" s="4" t="s">
        <v>142</v>
      </c>
      <c r="D83" s="4" t="s">
        <v>390</v>
      </c>
      <c r="E83" s="4">
        <v>935</v>
      </c>
      <c r="F83" s="4" t="s">
        <v>409</v>
      </c>
      <c r="G83" s="32">
        <v>935</v>
      </c>
      <c r="H83" s="32">
        <v>935</v>
      </c>
      <c r="I83" s="32">
        <v>935</v>
      </c>
      <c r="J83" s="32">
        <v>935</v>
      </c>
      <c r="K83" s="32">
        <v>935</v>
      </c>
      <c r="L83" s="32">
        <v>935</v>
      </c>
      <c r="M83" s="32">
        <v>935</v>
      </c>
      <c r="N83" s="32">
        <v>935</v>
      </c>
      <c r="O83" s="32">
        <v>935</v>
      </c>
      <c r="P83" s="32">
        <v>935</v>
      </c>
      <c r="Q83" s="32">
        <v>935</v>
      </c>
      <c r="R83" s="32">
        <v>935</v>
      </c>
      <c r="S83" s="32">
        <v>935</v>
      </c>
      <c r="T83" s="32">
        <v>935</v>
      </c>
      <c r="U83" s="32">
        <v>935</v>
      </c>
      <c r="V83" s="32">
        <v>935</v>
      </c>
      <c r="W83" s="32">
        <v>935</v>
      </c>
      <c r="X83" s="32">
        <v>935</v>
      </c>
      <c r="Y83" s="32">
        <v>935</v>
      </c>
      <c r="Z83" s="32">
        <v>935</v>
      </c>
      <c r="AA83" s="32">
        <v>935</v>
      </c>
      <c r="AB83" s="32">
        <v>935</v>
      </c>
      <c r="AC83" s="32">
        <v>935</v>
      </c>
      <c r="AD83" s="32">
        <v>935</v>
      </c>
      <c r="AE83" s="32">
        <v>935</v>
      </c>
      <c r="AF83" s="32">
        <v>935</v>
      </c>
      <c r="AG83" s="32">
        <v>935</v>
      </c>
      <c r="AH83" s="32">
        <v>935</v>
      </c>
      <c r="AI83" s="32">
        <v>935</v>
      </c>
      <c r="AJ83" s="32">
        <v>935</v>
      </c>
    </row>
    <row r="84" spans="1:36" ht="35" x14ac:dyDescent="0.45">
      <c r="A84" s="34"/>
      <c r="B84" s="4" t="s">
        <v>143</v>
      </c>
      <c r="C84" s="4" t="s">
        <v>144</v>
      </c>
      <c r="D84" s="4" t="s">
        <v>390</v>
      </c>
      <c r="E84" s="4">
        <v>299</v>
      </c>
      <c r="F84" s="4" t="s">
        <v>415</v>
      </c>
      <c r="G84" s="32">
        <v>299</v>
      </c>
      <c r="H84" s="32">
        <v>299</v>
      </c>
      <c r="I84" s="32">
        <v>299</v>
      </c>
      <c r="J84" s="32">
        <v>299</v>
      </c>
      <c r="K84" s="32">
        <v>299</v>
      </c>
      <c r="L84" s="32">
        <v>299</v>
      </c>
      <c r="M84" s="32">
        <v>299</v>
      </c>
      <c r="N84" s="32">
        <v>299</v>
      </c>
      <c r="O84" s="32">
        <v>299</v>
      </c>
      <c r="P84" s="32">
        <v>299</v>
      </c>
      <c r="Q84" s="32">
        <v>299</v>
      </c>
      <c r="R84" s="32">
        <v>299</v>
      </c>
      <c r="S84" s="32">
        <v>299</v>
      </c>
      <c r="T84" s="32">
        <v>299</v>
      </c>
      <c r="U84" s="32">
        <v>299</v>
      </c>
      <c r="V84" s="32">
        <v>299</v>
      </c>
      <c r="W84" s="32">
        <v>299</v>
      </c>
      <c r="X84" s="32">
        <v>299</v>
      </c>
      <c r="Y84" s="32">
        <v>299</v>
      </c>
      <c r="Z84" s="32">
        <v>299</v>
      </c>
      <c r="AA84" s="32">
        <v>299</v>
      </c>
      <c r="AB84" s="32">
        <v>299</v>
      </c>
      <c r="AC84" s="32">
        <v>299</v>
      </c>
      <c r="AD84" s="32">
        <v>299</v>
      </c>
      <c r="AE84" s="32">
        <v>299</v>
      </c>
      <c r="AF84" s="32">
        <v>299</v>
      </c>
      <c r="AG84" s="32">
        <v>299</v>
      </c>
      <c r="AH84" s="32">
        <v>299</v>
      </c>
      <c r="AI84" s="32">
        <v>299</v>
      </c>
      <c r="AJ84" s="32">
        <v>299</v>
      </c>
    </row>
    <row r="85" spans="1:36" ht="35" x14ac:dyDescent="0.45">
      <c r="A85" s="34" t="s">
        <v>225</v>
      </c>
      <c r="B85" s="4" t="s">
        <v>145</v>
      </c>
      <c r="C85" s="4" t="s">
        <v>146</v>
      </c>
      <c r="D85" s="4" t="s">
        <v>390</v>
      </c>
      <c r="E85" s="4">
        <v>365</v>
      </c>
      <c r="F85" s="4" t="s">
        <v>426</v>
      </c>
      <c r="G85" s="32">
        <f>$E$85</f>
        <v>365</v>
      </c>
      <c r="H85" s="32">
        <f t="shared" ref="H85:AJ85" si="22">$E$85</f>
        <v>365</v>
      </c>
      <c r="I85" s="32">
        <f t="shared" si="22"/>
        <v>365</v>
      </c>
      <c r="J85" s="32">
        <f t="shared" si="22"/>
        <v>365</v>
      </c>
      <c r="K85" s="32">
        <f t="shared" si="22"/>
        <v>365</v>
      </c>
      <c r="L85" s="32">
        <f t="shared" si="22"/>
        <v>365</v>
      </c>
      <c r="M85" s="32">
        <f t="shared" si="22"/>
        <v>365</v>
      </c>
      <c r="N85" s="32">
        <f t="shared" si="22"/>
        <v>365</v>
      </c>
      <c r="O85" s="32">
        <f t="shared" si="22"/>
        <v>365</v>
      </c>
      <c r="P85" s="32">
        <f t="shared" si="22"/>
        <v>365</v>
      </c>
      <c r="Q85" s="32">
        <f t="shared" si="22"/>
        <v>365</v>
      </c>
      <c r="R85" s="32">
        <f t="shared" si="22"/>
        <v>365</v>
      </c>
      <c r="S85" s="32">
        <f t="shared" si="22"/>
        <v>365</v>
      </c>
      <c r="T85" s="32">
        <f t="shared" si="22"/>
        <v>365</v>
      </c>
      <c r="U85" s="32">
        <f t="shared" si="22"/>
        <v>365</v>
      </c>
      <c r="V85" s="32">
        <f t="shared" si="22"/>
        <v>365</v>
      </c>
      <c r="W85" s="32">
        <f t="shared" si="22"/>
        <v>365</v>
      </c>
      <c r="X85" s="32">
        <f t="shared" si="22"/>
        <v>365</v>
      </c>
      <c r="Y85" s="32">
        <f t="shared" si="22"/>
        <v>365</v>
      </c>
      <c r="Z85" s="32">
        <f t="shared" si="22"/>
        <v>365</v>
      </c>
      <c r="AA85" s="32">
        <f t="shared" si="22"/>
        <v>365</v>
      </c>
      <c r="AB85" s="32">
        <f t="shared" si="22"/>
        <v>365</v>
      </c>
      <c r="AC85" s="32">
        <f t="shared" si="22"/>
        <v>365</v>
      </c>
      <c r="AD85" s="32">
        <f t="shared" si="22"/>
        <v>365</v>
      </c>
      <c r="AE85" s="32">
        <f t="shared" si="22"/>
        <v>365</v>
      </c>
      <c r="AF85" s="32">
        <f t="shared" si="22"/>
        <v>365</v>
      </c>
      <c r="AG85" s="32">
        <f t="shared" si="22"/>
        <v>365</v>
      </c>
      <c r="AH85" s="32">
        <f t="shared" si="22"/>
        <v>365</v>
      </c>
      <c r="AI85" s="32">
        <f t="shared" si="22"/>
        <v>365</v>
      </c>
      <c r="AJ85" s="32">
        <f t="shared" si="22"/>
        <v>365</v>
      </c>
    </row>
    <row r="86" spans="1:36" ht="35" x14ac:dyDescent="0.45">
      <c r="A86" s="34"/>
      <c r="B86" s="4" t="s">
        <v>147</v>
      </c>
      <c r="C86" s="4" t="s">
        <v>148</v>
      </c>
      <c r="D86" s="4" t="s">
        <v>390</v>
      </c>
      <c r="E86" s="4">
        <v>173</v>
      </c>
      <c r="F86" s="4" t="s">
        <v>426</v>
      </c>
      <c r="G86" s="32">
        <f>$E$86</f>
        <v>173</v>
      </c>
      <c r="H86" s="32">
        <f t="shared" ref="H86:AJ86" si="23">$E$86</f>
        <v>173</v>
      </c>
      <c r="I86" s="32">
        <f t="shared" si="23"/>
        <v>173</v>
      </c>
      <c r="J86" s="32">
        <f t="shared" si="23"/>
        <v>173</v>
      </c>
      <c r="K86" s="32">
        <f t="shared" si="23"/>
        <v>173</v>
      </c>
      <c r="L86" s="32">
        <f t="shared" si="23"/>
        <v>173</v>
      </c>
      <c r="M86" s="32">
        <f t="shared" si="23"/>
        <v>173</v>
      </c>
      <c r="N86" s="32">
        <f t="shared" si="23"/>
        <v>173</v>
      </c>
      <c r="O86" s="32">
        <f t="shared" si="23"/>
        <v>173</v>
      </c>
      <c r="P86" s="32">
        <f t="shared" si="23"/>
        <v>173</v>
      </c>
      <c r="Q86" s="32">
        <f t="shared" si="23"/>
        <v>173</v>
      </c>
      <c r="R86" s="32">
        <f t="shared" si="23"/>
        <v>173</v>
      </c>
      <c r="S86" s="32">
        <f t="shared" si="23"/>
        <v>173</v>
      </c>
      <c r="T86" s="32">
        <f t="shared" si="23"/>
        <v>173</v>
      </c>
      <c r="U86" s="32">
        <f t="shared" si="23"/>
        <v>173</v>
      </c>
      <c r="V86" s="32">
        <f t="shared" si="23"/>
        <v>173</v>
      </c>
      <c r="W86" s="32">
        <f t="shared" si="23"/>
        <v>173</v>
      </c>
      <c r="X86" s="32">
        <f t="shared" si="23"/>
        <v>173</v>
      </c>
      <c r="Y86" s="32">
        <f t="shared" si="23"/>
        <v>173</v>
      </c>
      <c r="Z86" s="32">
        <f t="shared" si="23"/>
        <v>173</v>
      </c>
      <c r="AA86" s="32">
        <f t="shared" si="23"/>
        <v>173</v>
      </c>
      <c r="AB86" s="32">
        <f t="shared" si="23"/>
        <v>173</v>
      </c>
      <c r="AC86" s="32">
        <f t="shared" si="23"/>
        <v>173</v>
      </c>
      <c r="AD86" s="32">
        <f t="shared" si="23"/>
        <v>173</v>
      </c>
      <c r="AE86" s="32">
        <f t="shared" si="23"/>
        <v>173</v>
      </c>
      <c r="AF86" s="32">
        <f t="shared" si="23"/>
        <v>173</v>
      </c>
      <c r="AG86" s="32">
        <f t="shared" si="23"/>
        <v>173</v>
      </c>
      <c r="AH86" s="32">
        <f t="shared" si="23"/>
        <v>173</v>
      </c>
      <c r="AI86" s="32">
        <f t="shared" si="23"/>
        <v>173</v>
      </c>
      <c r="AJ86" s="32">
        <f t="shared" si="23"/>
        <v>173</v>
      </c>
    </row>
    <row r="87" spans="1:36" ht="35" x14ac:dyDescent="0.45">
      <c r="A87" s="34"/>
      <c r="B87" s="4" t="s">
        <v>149</v>
      </c>
      <c r="C87" s="4" t="s">
        <v>150</v>
      </c>
      <c r="D87" s="4" t="s">
        <v>390</v>
      </c>
      <c r="E87" s="4">
        <v>383</v>
      </c>
      <c r="F87" s="4" t="s">
        <v>426</v>
      </c>
      <c r="G87" s="32">
        <f>$E$87</f>
        <v>383</v>
      </c>
      <c r="H87" s="32">
        <f t="shared" ref="H87:AJ87" si="24">$E$87</f>
        <v>383</v>
      </c>
      <c r="I87" s="32">
        <f t="shared" si="24"/>
        <v>383</v>
      </c>
      <c r="J87" s="32">
        <f t="shared" si="24"/>
        <v>383</v>
      </c>
      <c r="K87" s="32">
        <f t="shared" si="24"/>
        <v>383</v>
      </c>
      <c r="L87" s="32">
        <f t="shared" si="24"/>
        <v>383</v>
      </c>
      <c r="M87" s="32">
        <f t="shared" si="24"/>
        <v>383</v>
      </c>
      <c r="N87" s="32">
        <f t="shared" si="24"/>
        <v>383</v>
      </c>
      <c r="O87" s="32">
        <f t="shared" si="24"/>
        <v>383</v>
      </c>
      <c r="P87" s="32">
        <f t="shared" si="24"/>
        <v>383</v>
      </c>
      <c r="Q87" s="32">
        <f t="shared" si="24"/>
        <v>383</v>
      </c>
      <c r="R87" s="32">
        <f t="shared" si="24"/>
        <v>383</v>
      </c>
      <c r="S87" s="32">
        <f t="shared" si="24"/>
        <v>383</v>
      </c>
      <c r="T87" s="32">
        <f t="shared" si="24"/>
        <v>383</v>
      </c>
      <c r="U87" s="32">
        <f t="shared" si="24"/>
        <v>383</v>
      </c>
      <c r="V87" s="32">
        <f t="shared" si="24"/>
        <v>383</v>
      </c>
      <c r="W87" s="32">
        <f t="shared" si="24"/>
        <v>383</v>
      </c>
      <c r="X87" s="32">
        <f t="shared" si="24"/>
        <v>383</v>
      </c>
      <c r="Y87" s="32">
        <f t="shared" si="24"/>
        <v>383</v>
      </c>
      <c r="Z87" s="32">
        <f t="shared" si="24"/>
        <v>383</v>
      </c>
      <c r="AA87" s="32">
        <f t="shared" si="24"/>
        <v>383</v>
      </c>
      <c r="AB87" s="32">
        <f t="shared" si="24"/>
        <v>383</v>
      </c>
      <c r="AC87" s="32">
        <f t="shared" si="24"/>
        <v>383</v>
      </c>
      <c r="AD87" s="32">
        <f t="shared" si="24"/>
        <v>383</v>
      </c>
      <c r="AE87" s="32">
        <f t="shared" si="24"/>
        <v>383</v>
      </c>
      <c r="AF87" s="32">
        <f t="shared" si="24"/>
        <v>383</v>
      </c>
      <c r="AG87" s="32">
        <f t="shared" si="24"/>
        <v>383</v>
      </c>
      <c r="AH87" s="32">
        <f t="shared" si="24"/>
        <v>383</v>
      </c>
      <c r="AI87" s="32">
        <f t="shared" si="24"/>
        <v>383</v>
      </c>
      <c r="AJ87" s="32">
        <f t="shared" si="24"/>
        <v>383</v>
      </c>
    </row>
    <row r="88" spans="1:36" ht="35" x14ac:dyDescent="0.45">
      <c r="A88" s="34"/>
      <c r="B88" s="4" t="s">
        <v>151</v>
      </c>
      <c r="C88" s="4" t="s">
        <v>152</v>
      </c>
      <c r="D88" s="4" t="s">
        <v>390</v>
      </c>
      <c r="E88" s="4">
        <v>115</v>
      </c>
      <c r="F88" s="4" t="s">
        <v>426</v>
      </c>
      <c r="G88" s="32">
        <f>$E$88</f>
        <v>115</v>
      </c>
      <c r="H88" s="32">
        <f t="shared" ref="H88:AJ88" si="25">$E$88</f>
        <v>115</v>
      </c>
      <c r="I88" s="32">
        <f t="shared" si="25"/>
        <v>115</v>
      </c>
      <c r="J88" s="32">
        <f t="shared" si="25"/>
        <v>115</v>
      </c>
      <c r="K88" s="32">
        <f t="shared" si="25"/>
        <v>115</v>
      </c>
      <c r="L88" s="32">
        <f t="shared" si="25"/>
        <v>115</v>
      </c>
      <c r="M88" s="32">
        <f t="shared" si="25"/>
        <v>115</v>
      </c>
      <c r="N88" s="32">
        <f t="shared" si="25"/>
        <v>115</v>
      </c>
      <c r="O88" s="32">
        <f t="shared" si="25"/>
        <v>115</v>
      </c>
      <c r="P88" s="32">
        <f t="shared" si="25"/>
        <v>115</v>
      </c>
      <c r="Q88" s="32">
        <f t="shared" si="25"/>
        <v>115</v>
      </c>
      <c r="R88" s="32">
        <f t="shared" si="25"/>
        <v>115</v>
      </c>
      <c r="S88" s="32">
        <f t="shared" si="25"/>
        <v>115</v>
      </c>
      <c r="T88" s="32">
        <f t="shared" si="25"/>
        <v>115</v>
      </c>
      <c r="U88" s="32">
        <f t="shared" si="25"/>
        <v>115</v>
      </c>
      <c r="V88" s="32">
        <f t="shared" si="25"/>
        <v>115</v>
      </c>
      <c r="W88" s="32">
        <f t="shared" si="25"/>
        <v>115</v>
      </c>
      <c r="X88" s="32">
        <f t="shared" si="25"/>
        <v>115</v>
      </c>
      <c r="Y88" s="32">
        <f t="shared" si="25"/>
        <v>115</v>
      </c>
      <c r="Z88" s="32">
        <f t="shared" si="25"/>
        <v>115</v>
      </c>
      <c r="AA88" s="32">
        <f t="shared" si="25"/>
        <v>115</v>
      </c>
      <c r="AB88" s="32">
        <f t="shared" si="25"/>
        <v>115</v>
      </c>
      <c r="AC88" s="32">
        <f t="shared" si="25"/>
        <v>115</v>
      </c>
      <c r="AD88" s="32">
        <f t="shared" si="25"/>
        <v>115</v>
      </c>
      <c r="AE88" s="32">
        <f t="shared" si="25"/>
        <v>115</v>
      </c>
      <c r="AF88" s="32">
        <f t="shared" si="25"/>
        <v>115</v>
      </c>
      <c r="AG88" s="32">
        <f t="shared" si="25"/>
        <v>115</v>
      </c>
      <c r="AH88" s="32">
        <f t="shared" si="25"/>
        <v>115</v>
      </c>
      <c r="AI88" s="32">
        <f t="shared" si="25"/>
        <v>115</v>
      </c>
      <c r="AJ88" s="32">
        <f t="shared" si="25"/>
        <v>115</v>
      </c>
    </row>
    <row r="89" spans="1:36" ht="35" x14ac:dyDescent="0.45">
      <c r="A89" s="34" t="s">
        <v>226</v>
      </c>
      <c r="B89" s="4" t="s">
        <v>153</v>
      </c>
      <c r="C89" s="4" t="s">
        <v>154</v>
      </c>
      <c r="D89" s="4" t="s">
        <v>390</v>
      </c>
      <c r="E89" s="4">
        <v>1917</v>
      </c>
      <c r="F89" s="4" t="s">
        <v>426</v>
      </c>
      <c r="G89" s="32">
        <v>1917</v>
      </c>
      <c r="H89" s="32">
        <v>1917</v>
      </c>
      <c r="I89" s="32">
        <v>1917</v>
      </c>
      <c r="J89" s="32">
        <v>1917</v>
      </c>
      <c r="K89" s="32">
        <v>1917</v>
      </c>
      <c r="L89" s="32">
        <v>1917</v>
      </c>
      <c r="M89" s="32">
        <v>1917</v>
      </c>
      <c r="N89" s="32">
        <v>1917</v>
      </c>
      <c r="O89" s="32">
        <v>1917</v>
      </c>
      <c r="P89" s="32">
        <v>1917</v>
      </c>
      <c r="Q89" s="32">
        <v>1917</v>
      </c>
      <c r="R89" s="32">
        <v>1917</v>
      </c>
      <c r="S89" s="32">
        <v>1917</v>
      </c>
      <c r="T89" s="32">
        <v>1917</v>
      </c>
      <c r="U89" s="32">
        <v>1917</v>
      </c>
      <c r="V89" s="32">
        <v>1917</v>
      </c>
      <c r="W89" s="32">
        <v>1917</v>
      </c>
      <c r="X89" s="32">
        <v>1917</v>
      </c>
      <c r="Y89" s="32">
        <v>1917</v>
      </c>
      <c r="Z89" s="32">
        <v>1917</v>
      </c>
      <c r="AA89" s="32">
        <v>1917</v>
      </c>
      <c r="AB89" s="32">
        <v>1917</v>
      </c>
      <c r="AC89" s="32">
        <v>1917</v>
      </c>
      <c r="AD89" s="32">
        <v>1917</v>
      </c>
      <c r="AE89" s="32">
        <v>1917</v>
      </c>
      <c r="AF89" s="32">
        <v>1917</v>
      </c>
      <c r="AG89" s="32">
        <v>1917</v>
      </c>
      <c r="AH89" s="32">
        <v>1917</v>
      </c>
      <c r="AI89" s="32">
        <v>1917</v>
      </c>
      <c r="AJ89" s="32">
        <v>1917</v>
      </c>
    </row>
    <row r="90" spans="1:36" ht="35" x14ac:dyDescent="0.45">
      <c r="A90" s="34"/>
      <c r="B90" s="4" t="s">
        <v>155</v>
      </c>
      <c r="C90" s="4" t="s">
        <v>156</v>
      </c>
      <c r="D90" s="4" t="s">
        <v>390</v>
      </c>
      <c r="E90" s="4">
        <v>2197</v>
      </c>
      <c r="F90" s="4" t="s">
        <v>426</v>
      </c>
      <c r="G90" s="32">
        <v>2197</v>
      </c>
      <c r="H90" s="32">
        <v>2197</v>
      </c>
      <c r="I90" s="32">
        <v>2197</v>
      </c>
      <c r="J90" s="32">
        <v>2197</v>
      </c>
      <c r="K90" s="32">
        <v>2197</v>
      </c>
      <c r="L90" s="32">
        <v>2197</v>
      </c>
      <c r="M90" s="32">
        <v>2197</v>
      </c>
      <c r="N90" s="32">
        <v>2197</v>
      </c>
      <c r="O90" s="32">
        <v>2197</v>
      </c>
      <c r="P90" s="32">
        <v>2197</v>
      </c>
      <c r="Q90" s="32">
        <v>2197</v>
      </c>
      <c r="R90" s="32">
        <v>2197</v>
      </c>
      <c r="S90" s="32">
        <v>2197</v>
      </c>
      <c r="T90" s="32">
        <v>2197</v>
      </c>
      <c r="U90" s="32">
        <v>2197</v>
      </c>
      <c r="V90" s="32">
        <v>2197</v>
      </c>
      <c r="W90" s="32">
        <v>2197</v>
      </c>
      <c r="X90" s="32">
        <v>2197</v>
      </c>
      <c r="Y90" s="32">
        <v>2197</v>
      </c>
      <c r="Z90" s="32">
        <v>2197</v>
      </c>
      <c r="AA90" s="32">
        <v>2197</v>
      </c>
      <c r="AB90" s="32">
        <v>2197</v>
      </c>
      <c r="AC90" s="32">
        <v>2197</v>
      </c>
      <c r="AD90" s="32">
        <v>2197</v>
      </c>
      <c r="AE90" s="32">
        <v>2197</v>
      </c>
      <c r="AF90" s="32">
        <v>2197</v>
      </c>
      <c r="AG90" s="32">
        <v>2197</v>
      </c>
      <c r="AH90" s="32">
        <v>2197</v>
      </c>
      <c r="AI90" s="32">
        <v>2197</v>
      </c>
      <c r="AJ90" s="32">
        <v>2197</v>
      </c>
    </row>
    <row r="91" spans="1:36" ht="35" x14ac:dyDescent="0.45">
      <c r="A91" s="34" t="s">
        <v>227</v>
      </c>
      <c r="B91" s="4" t="s">
        <v>157</v>
      </c>
      <c r="C91" s="4" t="s">
        <v>158</v>
      </c>
      <c r="D91" s="4" t="s">
        <v>390</v>
      </c>
      <c r="E91" s="4">
        <v>18</v>
      </c>
      <c r="F91" s="4" t="s">
        <v>426</v>
      </c>
      <c r="G91" s="32">
        <v>18</v>
      </c>
      <c r="H91" s="32">
        <v>18</v>
      </c>
      <c r="I91" s="32">
        <v>18</v>
      </c>
      <c r="J91" s="32">
        <v>18</v>
      </c>
      <c r="K91" s="32">
        <v>18</v>
      </c>
      <c r="L91" s="32">
        <v>18</v>
      </c>
      <c r="M91" s="32">
        <v>18</v>
      </c>
      <c r="N91" s="32">
        <v>18</v>
      </c>
      <c r="O91" s="32">
        <v>18</v>
      </c>
      <c r="P91" s="32">
        <v>18</v>
      </c>
      <c r="Q91" s="32">
        <v>18</v>
      </c>
      <c r="R91" s="32">
        <v>18</v>
      </c>
      <c r="S91" s="32">
        <v>18</v>
      </c>
      <c r="T91" s="32">
        <v>18</v>
      </c>
      <c r="U91" s="32">
        <v>18</v>
      </c>
      <c r="V91" s="32">
        <v>18</v>
      </c>
      <c r="W91" s="32">
        <v>18</v>
      </c>
      <c r="X91" s="32">
        <v>18</v>
      </c>
      <c r="Y91" s="32">
        <v>18</v>
      </c>
      <c r="Z91" s="32">
        <v>18</v>
      </c>
      <c r="AA91" s="32">
        <v>18</v>
      </c>
      <c r="AB91" s="32">
        <v>18</v>
      </c>
      <c r="AC91" s="32">
        <v>18</v>
      </c>
      <c r="AD91" s="32">
        <v>18</v>
      </c>
      <c r="AE91" s="32">
        <v>18</v>
      </c>
      <c r="AF91" s="32">
        <v>18</v>
      </c>
      <c r="AG91" s="32">
        <v>18</v>
      </c>
      <c r="AH91" s="32">
        <v>18</v>
      </c>
      <c r="AI91" s="32">
        <v>18</v>
      </c>
      <c r="AJ91" s="32">
        <v>18</v>
      </c>
    </row>
    <row r="92" spans="1:36" ht="35" x14ac:dyDescent="0.45">
      <c r="A92" s="34"/>
      <c r="B92" s="4" t="s">
        <v>159</v>
      </c>
      <c r="C92" s="4" t="s">
        <v>160</v>
      </c>
      <c r="D92" s="4" t="s">
        <v>390</v>
      </c>
      <c r="E92" s="4">
        <v>83</v>
      </c>
      <c r="F92" s="4" t="s">
        <v>426</v>
      </c>
      <c r="G92" s="32">
        <v>83</v>
      </c>
      <c r="H92" s="32">
        <v>83</v>
      </c>
      <c r="I92" s="32">
        <v>83</v>
      </c>
      <c r="J92" s="32">
        <v>83</v>
      </c>
      <c r="K92" s="32">
        <v>83</v>
      </c>
      <c r="L92" s="32">
        <v>83</v>
      </c>
      <c r="M92" s="32">
        <v>83</v>
      </c>
      <c r="N92" s="32">
        <v>83</v>
      </c>
      <c r="O92" s="32">
        <v>83</v>
      </c>
      <c r="P92" s="32">
        <v>83</v>
      </c>
      <c r="Q92" s="32">
        <v>83</v>
      </c>
      <c r="R92" s="32">
        <v>83</v>
      </c>
      <c r="S92" s="32">
        <v>83</v>
      </c>
      <c r="T92" s="32">
        <v>83</v>
      </c>
      <c r="U92" s="32">
        <v>83</v>
      </c>
      <c r="V92" s="32">
        <v>83</v>
      </c>
      <c r="W92" s="32">
        <v>83</v>
      </c>
      <c r="X92" s="32">
        <v>83</v>
      </c>
      <c r="Y92" s="32">
        <v>83</v>
      </c>
      <c r="Z92" s="32">
        <v>83</v>
      </c>
      <c r="AA92" s="32">
        <v>83</v>
      </c>
      <c r="AB92" s="32">
        <v>83</v>
      </c>
      <c r="AC92" s="32">
        <v>83</v>
      </c>
      <c r="AD92" s="32">
        <v>83</v>
      </c>
      <c r="AE92" s="32">
        <v>83</v>
      </c>
      <c r="AF92" s="32">
        <v>83</v>
      </c>
      <c r="AG92" s="32">
        <v>83</v>
      </c>
      <c r="AH92" s="32">
        <v>83</v>
      </c>
      <c r="AI92" s="32">
        <v>83</v>
      </c>
      <c r="AJ92" s="32">
        <v>83</v>
      </c>
    </row>
    <row r="93" spans="1:36" ht="35" x14ac:dyDescent="0.45">
      <c r="A93" s="34" t="s">
        <v>228</v>
      </c>
      <c r="B93" s="4" t="s">
        <v>161</v>
      </c>
      <c r="C93" s="4" t="s">
        <v>162</v>
      </c>
      <c r="D93" s="4" t="s">
        <v>390</v>
      </c>
      <c r="E93" s="4">
        <v>252</v>
      </c>
      <c r="F93" s="4" t="s">
        <v>426</v>
      </c>
      <c r="G93" s="32">
        <v>252</v>
      </c>
      <c r="H93" s="32">
        <v>252</v>
      </c>
      <c r="I93" s="32">
        <v>252</v>
      </c>
      <c r="J93" s="32">
        <v>252</v>
      </c>
      <c r="K93" s="32">
        <v>252</v>
      </c>
      <c r="L93" s="32">
        <v>252</v>
      </c>
      <c r="M93" s="32">
        <v>252</v>
      </c>
      <c r="N93" s="32">
        <v>252</v>
      </c>
      <c r="O93" s="32">
        <v>252</v>
      </c>
      <c r="P93" s="32">
        <v>252</v>
      </c>
      <c r="Q93" s="32">
        <v>252</v>
      </c>
      <c r="R93" s="32">
        <v>252</v>
      </c>
      <c r="S93" s="32">
        <v>252</v>
      </c>
      <c r="T93" s="32">
        <v>252</v>
      </c>
      <c r="U93" s="32">
        <v>252</v>
      </c>
      <c r="V93" s="32">
        <v>252</v>
      </c>
      <c r="W93" s="32">
        <v>252</v>
      </c>
      <c r="X93" s="32">
        <v>252</v>
      </c>
      <c r="Y93" s="32">
        <v>252</v>
      </c>
      <c r="Z93" s="32">
        <v>252</v>
      </c>
      <c r="AA93" s="32">
        <v>252</v>
      </c>
      <c r="AB93" s="32">
        <v>252</v>
      </c>
      <c r="AC93" s="32">
        <v>252</v>
      </c>
      <c r="AD93" s="32">
        <v>252</v>
      </c>
      <c r="AE93" s="32">
        <v>252</v>
      </c>
      <c r="AF93" s="32">
        <v>252</v>
      </c>
      <c r="AG93" s="32">
        <v>252</v>
      </c>
      <c r="AH93" s="32">
        <v>252</v>
      </c>
      <c r="AI93" s="32">
        <v>252</v>
      </c>
      <c r="AJ93" s="32">
        <v>252</v>
      </c>
    </row>
    <row r="94" spans="1:36" ht="35" x14ac:dyDescent="0.45">
      <c r="A94" s="34"/>
      <c r="B94" s="4" t="s">
        <v>163</v>
      </c>
      <c r="C94" s="4" t="s">
        <v>164</v>
      </c>
      <c r="D94" s="4" t="s">
        <v>390</v>
      </c>
      <c r="E94" s="4">
        <v>291</v>
      </c>
      <c r="F94" s="4" t="s">
        <v>426</v>
      </c>
      <c r="G94" s="32">
        <v>291</v>
      </c>
      <c r="H94" s="32">
        <v>291</v>
      </c>
      <c r="I94" s="32">
        <v>291</v>
      </c>
      <c r="J94" s="32">
        <v>291</v>
      </c>
      <c r="K94" s="32">
        <v>291</v>
      </c>
      <c r="L94" s="32">
        <v>291</v>
      </c>
      <c r="M94" s="32">
        <v>291</v>
      </c>
      <c r="N94" s="32">
        <v>291</v>
      </c>
      <c r="O94" s="32">
        <v>291</v>
      </c>
      <c r="P94" s="32">
        <v>291</v>
      </c>
      <c r="Q94" s="32">
        <v>291</v>
      </c>
      <c r="R94" s="32">
        <v>291</v>
      </c>
      <c r="S94" s="32">
        <v>291</v>
      </c>
      <c r="T94" s="32">
        <v>291</v>
      </c>
      <c r="U94" s="32">
        <v>291</v>
      </c>
      <c r="V94" s="32">
        <v>291</v>
      </c>
      <c r="W94" s="32">
        <v>291</v>
      </c>
      <c r="X94" s="32">
        <v>291</v>
      </c>
      <c r="Y94" s="32">
        <v>291</v>
      </c>
      <c r="Z94" s="32">
        <v>291</v>
      </c>
      <c r="AA94" s="32">
        <v>291</v>
      </c>
      <c r="AB94" s="32">
        <v>291</v>
      </c>
      <c r="AC94" s="32">
        <v>291</v>
      </c>
      <c r="AD94" s="32">
        <v>291</v>
      </c>
      <c r="AE94" s="32">
        <v>291</v>
      </c>
      <c r="AF94" s="32">
        <v>291</v>
      </c>
      <c r="AG94" s="32">
        <v>291</v>
      </c>
      <c r="AH94" s="32">
        <v>291</v>
      </c>
      <c r="AI94" s="32">
        <v>291</v>
      </c>
      <c r="AJ94" s="32">
        <v>291</v>
      </c>
    </row>
    <row r="95" spans="1:36" ht="35" x14ac:dyDescent="0.45">
      <c r="A95" s="34" t="s">
        <v>229</v>
      </c>
      <c r="B95" s="4" t="s">
        <v>165</v>
      </c>
      <c r="C95" s="4" t="s">
        <v>166</v>
      </c>
      <c r="D95" s="4" t="s">
        <v>390</v>
      </c>
      <c r="E95" s="4">
        <v>225</v>
      </c>
      <c r="F95" s="4" t="s">
        <v>426</v>
      </c>
      <c r="G95" s="32">
        <v>225</v>
      </c>
      <c r="H95" s="32">
        <v>225</v>
      </c>
      <c r="I95" s="32">
        <v>225</v>
      </c>
      <c r="J95" s="32">
        <v>225</v>
      </c>
      <c r="K95" s="32">
        <v>225</v>
      </c>
      <c r="L95" s="32">
        <v>225</v>
      </c>
      <c r="M95" s="32">
        <v>225</v>
      </c>
      <c r="N95" s="32">
        <v>225</v>
      </c>
      <c r="O95" s="32">
        <v>225</v>
      </c>
      <c r="P95" s="32">
        <v>225</v>
      </c>
      <c r="Q95" s="32">
        <v>225</v>
      </c>
      <c r="R95" s="32">
        <v>225</v>
      </c>
      <c r="S95" s="32">
        <v>225</v>
      </c>
      <c r="T95" s="32">
        <v>225</v>
      </c>
      <c r="U95" s="32">
        <v>225</v>
      </c>
      <c r="V95" s="32">
        <v>225</v>
      </c>
      <c r="W95" s="32">
        <v>225</v>
      </c>
      <c r="X95" s="32">
        <v>225</v>
      </c>
      <c r="Y95" s="32">
        <v>225</v>
      </c>
      <c r="Z95" s="32">
        <v>225</v>
      </c>
      <c r="AA95" s="32">
        <v>225</v>
      </c>
      <c r="AB95" s="32">
        <v>225</v>
      </c>
      <c r="AC95" s="32">
        <v>225</v>
      </c>
      <c r="AD95" s="32">
        <v>225</v>
      </c>
      <c r="AE95" s="32">
        <v>225</v>
      </c>
      <c r="AF95" s="32">
        <v>225</v>
      </c>
      <c r="AG95" s="32">
        <v>225</v>
      </c>
      <c r="AH95" s="32">
        <v>225</v>
      </c>
      <c r="AI95" s="32">
        <v>225</v>
      </c>
      <c r="AJ95" s="32">
        <v>225</v>
      </c>
    </row>
    <row r="96" spans="1:36" ht="35" x14ac:dyDescent="0.45">
      <c r="A96" s="34"/>
      <c r="B96" s="4" t="s">
        <v>167</v>
      </c>
      <c r="C96" s="4" t="s">
        <v>168</v>
      </c>
      <c r="D96" s="4" t="s">
        <v>390</v>
      </c>
      <c r="E96" s="4">
        <v>192</v>
      </c>
      <c r="F96" s="4" t="s">
        <v>426</v>
      </c>
      <c r="G96" s="32">
        <v>192</v>
      </c>
      <c r="H96" s="32">
        <v>192</v>
      </c>
      <c r="I96" s="32">
        <v>192</v>
      </c>
      <c r="J96" s="32">
        <v>192</v>
      </c>
      <c r="K96" s="32">
        <v>192</v>
      </c>
      <c r="L96" s="32">
        <v>192</v>
      </c>
      <c r="M96" s="32">
        <v>192</v>
      </c>
      <c r="N96" s="32">
        <v>192</v>
      </c>
      <c r="O96" s="32">
        <v>192</v>
      </c>
      <c r="P96" s="32">
        <v>192</v>
      </c>
      <c r="Q96" s="32">
        <v>192</v>
      </c>
      <c r="R96" s="32">
        <v>192</v>
      </c>
      <c r="S96" s="32">
        <v>192</v>
      </c>
      <c r="T96" s="32">
        <v>192</v>
      </c>
      <c r="U96" s="32">
        <v>192</v>
      </c>
      <c r="V96" s="32">
        <v>192</v>
      </c>
      <c r="W96" s="32">
        <v>192</v>
      </c>
      <c r="X96" s="32">
        <v>192</v>
      </c>
      <c r="Y96" s="32">
        <v>192</v>
      </c>
      <c r="Z96" s="32">
        <v>192</v>
      </c>
      <c r="AA96" s="32">
        <v>192</v>
      </c>
      <c r="AB96" s="32">
        <v>192</v>
      </c>
      <c r="AC96" s="32">
        <v>192</v>
      </c>
      <c r="AD96" s="32">
        <v>192</v>
      </c>
      <c r="AE96" s="32">
        <v>192</v>
      </c>
      <c r="AF96" s="32">
        <v>192</v>
      </c>
      <c r="AG96" s="32">
        <v>192</v>
      </c>
      <c r="AH96" s="32">
        <v>192</v>
      </c>
      <c r="AI96" s="32">
        <v>192</v>
      </c>
      <c r="AJ96" s="32">
        <v>192</v>
      </c>
    </row>
    <row r="97" spans="1:36" ht="35" x14ac:dyDescent="0.45">
      <c r="A97" s="34" t="s">
        <v>230</v>
      </c>
      <c r="B97" s="4" t="s">
        <v>169</v>
      </c>
      <c r="C97" s="4" t="s">
        <v>170</v>
      </c>
      <c r="D97" s="4" t="s">
        <v>390</v>
      </c>
      <c r="E97" s="4">
        <v>560</v>
      </c>
      <c r="F97" s="4" t="s">
        <v>426</v>
      </c>
      <c r="G97" s="32">
        <v>560</v>
      </c>
      <c r="H97" s="32">
        <v>560</v>
      </c>
      <c r="I97" s="32">
        <v>560</v>
      </c>
      <c r="J97" s="32">
        <v>560</v>
      </c>
      <c r="K97" s="32">
        <v>560</v>
      </c>
      <c r="L97" s="32">
        <v>560</v>
      </c>
      <c r="M97" s="32">
        <v>560</v>
      </c>
      <c r="N97" s="32">
        <v>560</v>
      </c>
      <c r="O97" s="32">
        <v>560</v>
      </c>
      <c r="P97" s="32">
        <v>560</v>
      </c>
      <c r="Q97" s="32">
        <v>560</v>
      </c>
      <c r="R97" s="32">
        <v>560</v>
      </c>
      <c r="S97" s="32">
        <v>560</v>
      </c>
      <c r="T97" s="32">
        <v>560</v>
      </c>
      <c r="U97" s="32">
        <v>560</v>
      </c>
      <c r="V97" s="32">
        <v>560</v>
      </c>
      <c r="W97" s="32">
        <v>560</v>
      </c>
      <c r="X97" s="32">
        <v>560</v>
      </c>
      <c r="Y97" s="32">
        <v>560</v>
      </c>
      <c r="Z97" s="32">
        <v>560</v>
      </c>
      <c r="AA97" s="32">
        <v>560</v>
      </c>
      <c r="AB97" s="32">
        <v>560</v>
      </c>
      <c r="AC97" s="32">
        <v>560</v>
      </c>
      <c r="AD97" s="32">
        <v>560</v>
      </c>
      <c r="AE97" s="32">
        <v>560</v>
      </c>
      <c r="AF97" s="32">
        <v>560</v>
      </c>
      <c r="AG97" s="32">
        <v>560</v>
      </c>
      <c r="AH97" s="32">
        <v>560</v>
      </c>
      <c r="AI97" s="32">
        <v>560</v>
      </c>
      <c r="AJ97" s="32">
        <v>560</v>
      </c>
    </row>
    <row r="98" spans="1:36" ht="35" x14ac:dyDescent="0.45">
      <c r="A98" s="34"/>
      <c r="B98" s="4" t="s">
        <v>171</v>
      </c>
      <c r="C98" s="4" t="s">
        <v>172</v>
      </c>
      <c r="D98" s="4" t="s">
        <v>390</v>
      </c>
      <c r="E98" s="4">
        <v>3738</v>
      </c>
      <c r="F98" s="4" t="s">
        <v>426</v>
      </c>
      <c r="G98" s="32">
        <v>3738</v>
      </c>
      <c r="H98" s="32">
        <v>3738</v>
      </c>
      <c r="I98" s="32">
        <v>3738</v>
      </c>
      <c r="J98" s="32">
        <v>3738</v>
      </c>
      <c r="K98" s="32">
        <v>3738</v>
      </c>
      <c r="L98" s="32">
        <v>3738</v>
      </c>
      <c r="M98" s="32">
        <v>3738</v>
      </c>
      <c r="N98" s="32">
        <v>3738</v>
      </c>
      <c r="O98" s="32">
        <v>3738</v>
      </c>
      <c r="P98" s="32">
        <v>3738</v>
      </c>
      <c r="Q98" s="32">
        <v>3738</v>
      </c>
      <c r="R98" s="32">
        <v>3738</v>
      </c>
      <c r="S98" s="32">
        <v>3738</v>
      </c>
      <c r="T98" s="32">
        <v>3738</v>
      </c>
      <c r="U98" s="32">
        <v>3738</v>
      </c>
      <c r="V98" s="32">
        <v>3738</v>
      </c>
      <c r="W98" s="32">
        <v>3738</v>
      </c>
      <c r="X98" s="32">
        <v>3738</v>
      </c>
      <c r="Y98" s="32">
        <v>3738</v>
      </c>
      <c r="Z98" s="32">
        <v>3738</v>
      </c>
      <c r="AA98" s="32">
        <v>3738</v>
      </c>
      <c r="AB98" s="32">
        <v>3738</v>
      </c>
      <c r="AC98" s="32">
        <v>3738</v>
      </c>
      <c r="AD98" s="32">
        <v>3738</v>
      </c>
      <c r="AE98" s="32">
        <v>3738</v>
      </c>
      <c r="AF98" s="32">
        <v>3738</v>
      </c>
      <c r="AG98" s="32">
        <v>3738</v>
      </c>
      <c r="AH98" s="32">
        <v>3738</v>
      </c>
      <c r="AI98" s="32">
        <v>3738</v>
      </c>
      <c r="AJ98" s="32">
        <v>3738</v>
      </c>
    </row>
    <row r="99" spans="1:36" ht="35" x14ac:dyDescent="0.45">
      <c r="A99" s="34" t="s">
        <v>231</v>
      </c>
      <c r="B99" s="4" t="s">
        <v>173</v>
      </c>
      <c r="C99" s="4" t="s">
        <v>174</v>
      </c>
      <c r="D99" s="4" t="s">
        <v>390</v>
      </c>
      <c r="E99" s="4">
        <v>1185</v>
      </c>
      <c r="F99" s="4" t="s">
        <v>426</v>
      </c>
      <c r="G99" s="32">
        <v>1185</v>
      </c>
      <c r="H99" s="32">
        <v>1185</v>
      </c>
      <c r="I99" s="32">
        <v>1185</v>
      </c>
      <c r="J99" s="32">
        <v>1185</v>
      </c>
      <c r="K99" s="32">
        <v>1185</v>
      </c>
      <c r="L99" s="32">
        <v>1185</v>
      </c>
      <c r="M99" s="32">
        <v>1185</v>
      </c>
      <c r="N99" s="32">
        <v>1185</v>
      </c>
      <c r="O99" s="32">
        <v>1185</v>
      </c>
      <c r="P99" s="32">
        <v>1185</v>
      </c>
      <c r="Q99" s="32">
        <v>1185</v>
      </c>
      <c r="R99" s="32">
        <v>1185</v>
      </c>
      <c r="S99" s="32">
        <v>1185</v>
      </c>
      <c r="T99" s="32">
        <v>1185</v>
      </c>
      <c r="U99" s="32">
        <v>1185</v>
      </c>
      <c r="V99" s="32">
        <v>1185</v>
      </c>
      <c r="W99" s="32">
        <v>1185</v>
      </c>
      <c r="X99" s="32">
        <v>1185</v>
      </c>
      <c r="Y99" s="32">
        <v>1185</v>
      </c>
      <c r="Z99" s="32">
        <v>1185</v>
      </c>
      <c r="AA99" s="32">
        <v>1185</v>
      </c>
      <c r="AB99" s="32">
        <v>1185</v>
      </c>
      <c r="AC99" s="32">
        <v>1185</v>
      </c>
      <c r="AD99" s="32">
        <v>1185</v>
      </c>
      <c r="AE99" s="32">
        <v>1185</v>
      </c>
      <c r="AF99" s="32">
        <v>1185</v>
      </c>
      <c r="AG99" s="32">
        <v>1185</v>
      </c>
      <c r="AH99" s="32">
        <v>1185</v>
      </c>
      <c r="AI99" s="32">
        <v>1185</v>
      </c>
      <c r="AJ99" s="32">
        <v>1185</v>
      </c>
    </row>
    <row r="100" spans="1:36" ht="35" x14ac:dyDescent="0.45">
      <c r="A100" s="34"/>
      <c r="B100" s="4" t="s">
        <v>175</v>
      </c>
      <c r="C100" s="4" t="s">
        <v>176</v>
      </c>
      <c r="D100" s="4" t="s">
        <v>390</v>
      </c>
      <c r="E100" s="4">
        <v>1185</v>
      </c>
      <c r="F100" s="4" t="s">
        <v>426</v>
      </c>
      <c r="G100" s="32">
        <v>1185</v>
      </c>
      <c r="H100" s="32">
        <v>1185</v>
      </c>
      <c r="I100" s="32">
        <v>1185</v>
      </c>
      <c r="J100" s="32">
        <v>1185</v>
      </c>
      <c r="K100" s="32">
        <v>1185</v>
      </c>
      <c r="L100" s="32">
        <v>1185</v>
      </c>
      <c r="M100" s="32">
        <v>1185</v>
      </c>
      <c r="N100" s="32">
        <v>1185</v>
      </c>
      <c r="O100" s="32">
        <v>1185</v>
      </c>
      <c r="P100" s="32">
        <v>1185</v>
      </c>
      <c r="Q100" s="32">
        <v>1185</v>
      </c>
      <c r="R100" s="32">
        <v>1185</v>
      </c>
      <c r="S100" s="32">
        <v>1185</v>
      </c>
      <c r="T100" s="32">
        <v>1185</v>
      </c>
      <c r="U100" s="32">
        <v>1185</v>
      </c>
      <c r="V100" s="32">
        <v>1185</v>
      </c>
      <c r="W100" s="32">
        <v>1185</v>
      </c>
      <c r="X100" s="32">
        <v>1185</v>
      </c>
      <c r="Y100" s="32">
        <v>1185</v>
      </c>
      <c r="Z100" s="32">
        <v>1185</v>
      </c>
      <c r="AA100" s="32">
        <v>1185</v>
      </c>
      <c r="AB100" s="32">
        <v>1185</v>
      </c>
      <c r="AC100" s="32">
        <v>1185</v>
      </c>
      <c r="AD100" s="32">
        <v>1185</v>
      </c>
      <c r="AE100" s="32">
        <v>1185</v>
      </c>
      <c r="AF100" s="32">
        <v>1185</v>
      </c>
      <c r="AG100" s="32">
        <v>1185</v>
      </c>
      <c r="AH100" s="32">
        <v>1185</v>
      </c>
      <c r="AI100" s="32">
        <v>1185</v>
      </c>
      <c r="AJ100" s="32">
        <v>1185</v>
      </c>
    </row>
    <row r="101" spans="1:36" ht="35" x14ac:dyDescent="0.45">
      <c r="A101" s="34" t="s">
        <v>232</v>
      </c>
      <c r="B101" s="4" t="s">
        <v>177</v>
      </c>
      <c r="C101" s="4" t="s">
        <v>178</v>
      </c>
      <c r="D101" s="4" t="s">
        <v>390</v>
      </c>
      <c r="E101" s="4">
        <v>554</v>
      </c>
      <c r="F101" s="4" t="s">
        <v>426</v>
      </c>
      <c r="G101" s="32">
        <v>554</v>
      </c>
      <c r="H101" s="32">
        <v>554</v>
      </c>
      <c r="I101" s="32">
        <v>554</v>
      </c>
      <c r="J101" s="32">
        <v>554</v>
      </c>
      <c r="K101" s="32">
        <v>554</v>
      </c>
      <c r="L101" s="32">
        <v>554</v>
      </c>
      <c r="M101" s="32">
        <v>554</v>
      </c>
      <c r="N101" s="32">
        <v>554</v>
      </c>
      <c r="O101" s="32">
        <v>554</v>
      </c>
      <c r="P101" s="32">
        <v>554</v>
      </c>
      <c r="Q101" s="32">
        <v>554</v>
      </c>
      <c r="R101" s="32">
        <v>554</v>
      </c>
      <c r="S101" s="32">
        <v>554</v>
      </c>
      <c r="T101" s="32">
        <v>554</v>
      </c>
      <c r="U101" s="32">
        <v>554</v>
      </c>
      <c r="V101" s="32">
        <v>554</v>
      </c>
      <c r="W101" s="32">
        <v>554</v>
      </c>
      <c r="X101" s="32">
        <v>554</v>
      </c>
      <c r="Y101" s="32">
        <v>554</v>
      </c>
      <c r="Z101" s="32">
        <v>554</v>
      </c>
      <c r="AA101" s="32">
        <v>554</v>
      </c>
      <c r="AB101" s="32">
        <v>554</v>
      </c>
      <c r="AC101" s="32">
        <v>554</v>
      </c>
      <c r="AD101" s="32">
        <v>554</v>
      </c>
      <c r="AE101" s="32">
        <v>554</v>
      </c>
      <c r="AF101" s="32">
        <v>554</v>
      </c>
      <c r="AG101" s="32">
        <v>554</v>
      </c>
      <c r="AH101" s="32">
        <v>554</v>
      </c>
      <c r="AI101" s="32">
        <v>554</v>
      </c>
      <c r="AJ101" s="32">
        <v>554</v>
      </c>
    </row>
    <row r="102" spans="1:36" ht="35" x14ac:dyDescent="0.45">
      <c r="A102" s="34"/>
      <c r="B102" s="4" t="s">
        <v>179</v>
      </c>
      <c r="C102" s="4" t="s">
        <v>180</v>
      </c>
      <c r="D102" s="4" t="s">
        <v>390</v>
      </c>
      <c r="E102" s="4">
        <v>838</v>
      </c>
      <c r="F102" s="4" t="s">
        <v>426</v>
      </c>
      <c r="G102" s="32">
        <v>838</v>
      </c>
      <c r="H102" s="32">
        <v>838</v>
      </c>
      <c r="I102" s="32">
        <v>838</v>
      </c>
      <c r="J102" s="32">
        <v>838</v>
      </c>
      <c r="K102" s="32">
        <v>838</v>
      </c>
      <c r="L102" s="32">
        <v>838</v>
      </c>
      <c r="M102" s="32">
        <v>838</v>
      </c>
      <c r="N102" s="32">
        <v>838</v>
      </c>
      <c r="O102" s="32">
        <v>838</v>
      </c>
      <c r="P102" s="32">
        <v>838</v>
      </c>
      <c r="Q102" s="32">
        <v>838</v>
      </c>
      <c r="R102" s="32">
        <v>838</v>
      </c>
      <c r="S102" s="32">
        <v>838</v>
      </c>
      <c r="T102" s="32">
        <v>838</v>
      </c>
      <c r="U102" s="32">
        <v>838</v>
      </c>
      <c r="V102" s="32">
        <v>838</v>
      </c>
      <c r="W102" s="32">
        <v>838</v>
      </c>
      <c r="X102" s="32">
        <v>838</v>
      </c>
      <c r="Y102" s="32">
        <v>838</v>
      </c>
      <c r="Z102" s="32">
        <v>838</v>
      </c>
      <c r="AA102" s="32">
        <v>838</v>
      </c>
      <c r="AB102" s="32">
        <v>838</v>
      </c>
      <c r="AC102" s="32">
        <v>838</v>
      </c>
      <c r="AD102" s="32">
        <v>838</v>
      </c>
      <c r="AE102" s="32">
        <v>838</v>
      </c>
      <c r="AF102" s="32">
        <v>838</v>
      </c>
      <c r="AG102" s="32">
        <v>838</v>
      </c>
      <c r="AH102" s="32">
        <v>838</v>
      </c>
      <c r="AI102" s="32">
        <v>838</v>
      </c>
      <c r="AJ102" s="32">
        <v>838</v>
      </c>
    </row>
    <row r="103" spans="1:36" ht="52.5" x14ac:dyDescent="0.45">
      <c r="A103" s="4" t="s">
        <v>233</v>
      </c>
      <c r="B103" s="4" t="s">
        <v>381</v>
      </c>
      <c r="C103" s="4" t="s">
        <v>181</v>
      </c>
      <c r="D103" s="4" t="s">
        <v>390</v>
      </c>
      <c r="E103" s="4">
        <v>4837</v>
      </c>
      <c r="F103" s="4" t="s">
        <v>426</v>
      </c>
      <c r="G103" s="32">
        <v>4837</v>
      </c>
      <c r="H103" s="32">
        <v>4837</v>
      </c>
      <c r="I103" s="32">
        <v>4837</v>
      </c>
      <c r="J103" s="32">
        <v>4837</v>
      </c>
      <c r="K103" s="32">
        <v>4837</v>
      </c>
      <c r="L103" s="32">
        <v>4837</v>
      </c>
      <c r="M103" s="32">
        <v>4837</v>
      </c>
      <c r="N103" s="32">
        <v>4837</v>
      </c>
      <c r="O103" s="32">
        <v>4837</v>
      </c>
      <c r="P103" s="32">
        <v>4837</v>
      </c>
      <c r="Q103" s="32">
        <v>4837</v>
      </c>
      <c r="R103" s="32">
        <v>4837</v>
      </c>
      <c r="S103" s="32">
        <v>4837</v>
      </c>
      <c r="T103" s="32">
        <v>4837</v>
      </c>
      <c r="U103" s="32">
        <v>4837</v>
      </c>
      <c r="V103" s="32">
        <v>4837</v>
      </c>
      <c r="W103" s="32">
        <v>4837</v>
      </c>
      <c r="X103" s="32">
        <v>4837</v>
      </c>
      <c r="Y103" s="32">
        <v>4837</v>
      </c>
      <c r="Z103" s="32">
        <v>4837</v>
      </c>
      <c r="AA103" s="32">
        <v>4837</v>
      </c>
      <c r="AB103" s="32">
        <v>4837</v>
      </c>
      <c r="AC103" s="32">
        <v>4837</v>
      </c>
      <c r="AD103" s="32">
        <v>4837</v>
      </c>
      <c r="AE103" s="32">
        <v>4837</v>
      </c>
      <c r="AF103" s="32">
        <v>4837</v>
      </c>
      <c r="AG103" s="32">
        <v>4837</v>
      </c>
      <c r="AH103" s="32">
        <v>4837</v>
      </c>
      <c r="AI103" s="32">
        <v>4837</v>
      </c>
      <c r="AJ103" s="32">
        <v>4837</v>
      </c>
    </row>
    <row r="104" spans="1:36" ht="35" x14ac:dyDescent="0.45">
      <c r="A104" s="34" t="s">
        <v>297</v>
      </c>
      <c r="B104" s="4" t="s">
        <v>280</v>
      </c>
      <c r="C104" s="4" t="s">
        <v>325</v>
      </c>
      <c r="D104" s="4" t="s">
        <v>416</v>
      </c>
      <c r="E104" s="19">
        <v>0.59853212121212129</v>
      </c>
      <c r="F104" s="19" t="s">
        <v>429</v>
      </c>
      <c r="G104" s="19">
        <f>$E$104</f>
        <v>0.59853212121212129</v>
      </c>
      <c r="H104" s="19">
        <f t="shared" ref="H104:AJ104" si="26">$E$104</f>
        <v>0.59853212121212129</v>
      </c>
      <c r="I104" s="19">
        <f t="shared" si="26"/>
        <v>0.59853212121212129</v>
      </c>
      <c r="J104" s="19">
        <f t="shared" si="26"/>
        <v>0.59853212121212129</v>
      </c>
      <c r="K104" s="19">
        <f t="shared" si="26"/>
        <v>0.59853212121212129</v>
      </c>
      <c r="L104" s="19">
        <f t="shared" si="26"/>
        <v>0.59853212121212129</v>
      </c>
      <c r="M104" s="19">
        <f t="shared" si="26"/>
        <v>0.59853212121212129</v>
      </c>
      <c r="N104" s="19">
        <f t="shared" si="26"/>
        <v>0.59853212121212129</v>
      </c>
      <c r="O104" s="19">
        <f t="shared" si="26"/>
        <v>0.59853212121212129</v>
      </c>
      <c r="P104" s="19">
        <f t="shared" si="26"/>
        <v>0.59853212121212129</v>
      </c>
      <c r="Q104" s="19">
        <f t="shared" si="26"/>
        <v>0.59853212121212129</v>
      </c>
      <c r="R104" s="19">
        <f t="shared" si="26"/>
        <v>0.59853212121212129</v>
      </c>
      <c r="S104" s="19">
        <f t="shared" si="26"/>
        <v>0.59853212121212129</v>
      </c>
      <c r="T104" s="19">
        <f t="shared" si="26"/>
        <v>0.59853212121212129</v>
      </c>
      <c r="U104" s="19">
        <f t="shared" si="26"/>
        <v>0.59853212121212129</v>
      </c>
      <c r="V104" s="19">
        <f t="shared" si="26"/>
        <v>0.59853212121212129</v>
      </c>
      <c r="W104" s="19">
        <f t="shared" si="26"/>
        <v>0.59853212121212129</v>
      </c>
      <c r="X104" s="19">
        <f t="shared" si="26"/>
        <v>0.59853212121212129</v>
      </c>
      <c r="Y104" s="19">
        <f t="shared" si="26"/>
        <v>0.59853212121212129</v>
      </c>
      <c r="Z104" s="19">
        <f t="shared" si="26"/>
        <v>0.59853212121212129</v>
      </c>
      <c r="AA104" s="19">
        <f t="shared" si="26"/>
        <v>0.59853212121212129</v>
      </c>
      <c r="AB104" s="19">
        <f t="shared" si="26"/>
        <v>0.59853212121212129</v>
      </c>
      <c r="AC104" s="19">
        <f t="shared" si="26"/>
        <v>0.59853212121212129</v>
      </c>
      <c r="AD104" s="19">
        <f t="shared" si="26"/>
        <v>0.59853212121212129</v>
      </c>
      <c r="AE104" s="19">
        <f t="shared" si="26"/>
        <v>0.59853212121212129</v>
      </c>
      <c r="AF104" s="19">
        <f t="shared" si="26"/>
        <v>0.59853212121212129</v>
      </c>
      <c r="AG104" s="19">
        <f t="shared" si="26"/>
        <v>0.59853212121212129</v>
      </c>
      <c r="AH104" s="19">
        <f t="shared" si="26"/>
        <v>0.59853212121212129</v>
      </c>
      <c r="AI104" s="19">
        <f t="shared" si="26"/>
        <v>0.59853212121212129</v>
      </c>
      <c r="AJ104" s="19">
        <f t="shared" si="26"/>
        <v>0.59853212121212129</v>
      </c>
    </row>
    <row r="105" spans="1:36" ht="35" x14ac:dyDescent="0.45">
      <c r="A105" s="34"/>
      <c r="B105" s="4" t="s">
        <v>281</v>
      </c>
      <c r="C105" s="4" t="s">
        <v>326</v>
      </c>
      <c r="D105" s="4" t="s">
        <v>416</v>
      </c>
      <c r="E105" s="19">
        <v>0.63523388888888899</v>
      </c>
      <c r="F105" s="19" t="s">
        <v>429</v>
      </c>
      <c r="G105" s="19">
        <f>$E$105</f>
        <v>0.63523388888888899</v>
      </c>
      <c r="H105" s="19">
        <f t="shared" ref="H105:AJ105" si="27">$E$105</f>
        <v>0.63523388888888899</v>
      </c>
      <c r="I105" s="19">
        <f t="shared" si="27"/>
        <v>0.63523388888888899</v>
      </c>
      <c r="J105" s="19">
        <f t="shared" si="27"/>
        <v>0.63523388888888899</v>
      </c>
      <c r="K105" s="19">
        <f t="shared" si="27"/>
        <v>0.63523388888888899</v>
      </c>
      <c r="L105" s="19">
        <f t="shared" si="27"/>
        <v>0.63523388888888899</v>
      </c>
      <c r="M105" s="19">
        <f t="shared" si="27"/>
        <v>0.63523388888888899</v>
      </c>
      <c r="N105" s="19">
        <f t="shared" si="27"/>
        <v>0.63523388888888899</v>
      </c>
      <c r="O105" s="19">
        <f t="shared" si="27"/>
        <v>0.63523388888888899</v>
      </c>
      <c r="P105" s="19">
        <f t="shared" si="27"/>
        <v>0.63523388888888899</v>
      </c>
      <c r="Q105" s="19">
        <f t="shared" si="27"/>
        <v>0.63523388888888899</v>
      </c>
      <c r="R105" s="19">
        <f t="shared" si="27"/>
        <v>0.63523388888888899</v>
      </c>
      <c r="S105" s="19">
        <f t="shared" si="27"/>
        <v>0.63523388888888899</v>
      </c>
      <c r="T105" s="19">
        <f t="shared" si="27"/>
        <v>0.63523388888888899</v>
      </c>
      <c r="U105" s="19">
        <f t="shared" si="27"/>
        <v>0.63523388888888899</v>
      </c>
      <c r="V105" s="19">
        <f t="shared" si="27"/>
        <v>0.63523388888888899</v>
      </c>
      <c r="W105" s="19">
        <f t="shared" si="27"/>
        <v>0.63523388888888899</v>
      </c>
      <c r="X105" s="19">
        <f t="shared" si="27"/>
        <v>0.63523388888888899</v>
      </c>
      <c r="Y105" s="19">
        <f t="shared" si="27"/>
        <v>0.63523388888888899</v>
      </c>
      <c r="Z105" s="19">
        <f t="shared" si="27"/>
        <v>0.63523388888888899</v>
      </c>
      <c r="AA105" s="19">
        <f t="shared" si="27"/>
        <v>0.63523388888888899</v>
      </c>
      <c r="AB105" s="19">
        <f t="shared" si="27"/>
        <v>0.63523388888888899</v>
      </c>
      <c r="AC105" s="19">
        <f t="shared" si="27"/>
        <v>0.63523388888888899</v>
      </c>
      <c r="AD105" s="19">
        <f t="shared" si="27"/>
        <v>0.63523388888888899</v>
      </c>
      <c r="AE105" s="19">
        <f t="shared" si="27"/>
        <v>0.63523388888888899</v>
      </c>
      <c r="AF105" s="19">
        <f t="shared" si="27"/>
        <v>0.63523388888888899</v>
      </c>
      <c r="AG105" s="19">
        <f t="shared" si="27"/>
        <v>0.63523388888888899</v>
      </c>
      <c r="AH105" s="19">
        <f t="shared" si="27"/>
        <v>0.63523388888888899</v>
      </c>
      <c r="AI105" s="19">
        <f t="shared" si="27"/>
        <v>0.63523388888888899</v>
      </c>
      <c r="AJ105" s="19">
        <f t="shared" si="27"/>
        <v>0.63523388888888899</v>
      </c>
    </row>
    <row r="106" spans="1:36" ht="35" x14ac:dyDescent="0.45">
      <c r="A106" s="34"/>
      <c r="B106" s="4" t="s">
        <v>282</v>
      </c>
      <c r="C106" s="4" t="s">
        <v>327</v>
      </c>
      <c r="D106" s="4" t="s">
        <v>416</v>
      </c>
      <c r="E106" s="19">
        <v>3.018390804597701</v>
      </c>
      <c r="F106" s="19" t="s">
        <v>429</v>
      </c>
      <c r="G106" s="19">
        <f>$E$106*0.9473^(G1-2020)</f>
        <v>2.8593216091954021</v>
      </c>
      <c r="H106" s="19">
        <f t="shared" ref="H106:AJ106" si="28">$E$106*0.9473^(H1-2020)</f>
        <v>2.7086353603908049</v>
      </c>
      <c r="I106" s="19">
        <f t="shared" si="28"/>
        <v>2.5658902768982097</v>
      </c>
      <c r="J106" s="19">
        <f t="shared" si="28"/>
        <v>2.4306678593056739</v>
      </c>
      <c r="K106" s="19">
        <f t="shared" si="28"/>
        <v>2.3025716631202648</v>
      </c>
      <c r="L106" s="19">
        <f t="shared" si="28"/>
        <v>2.181226136473827</v>
      </c>
      <c r="M106" s="19">
        <f t="shared" si="28"/>
        <v>2.0662755190816564</v>
      </c>
      <c r="N106" s="19">
        <f t="shared" si="28"/>
        <v>1.9573827992260533</v>
      </c>
      <c r="O106" s="19">
        <f t="shared" si="28"/>
        <v>1.8542287257068402</v>
      </c>
      <c r="P106" s="19">
        <f t="shared" si="28"/>
        <v>1.7565108718620899</v>
      </c>
      <c r="Q106" s="19">
        <f t="shared" si="28"/>
        <v>1.6639427489149579</v>
      </c>
      <c r="R106" s="19">
        <f t="shared" si="28"/>
        <v>1.5762529660471396</v>
      </c>
      <c r="S106" s="19">
        <f t="shared" si="28"/>
        <v>1.4931844347364556</v>
      </c>
      <c r="T106" s="19">
        <f t="shared" si="28"/>
        <v>1.4144936150258443</v>
      </c>
      <c r="U106" s="19">
        <f t="shared" si="28"/>
        <v>1.3399498015139824</v>
      </c>
      <c r="V106" s="19">
        <f t="shared" si="28"/>
        <v>1.2693344469741956</v>
      </c>
      <c r="W106" s="19">
        <f t="shared" si="28"/>
        <v>1.2024405216186556</v>
      </c>
      <c r="X106" s="19">
        <f t="shared" si="28"/>
        <v>1.1390719061293526</v>
      </c>
      <c r="Y106" s="19">
        <f t="shared" si="28"/>
        <v>1.0790428166763357</v>
      </c>
      <c r="Z106" s="19">
        <f t="shared" si="28"/>
        <v>1.0221772602374928</v>
      </c>
      <c r="AA106" s="19">
        <f t="shared" si="28"/>
        <v>0.96830851862297695</v>
      </c>
      <c r="AB106" s="19">
        <f t="shared" si="28"/>
        <v>0.91727865969154609</v>
      </c>
      <c r="AC106" s="19">
        <f t="shared" si="28"/>
        <v>0.86893807432580161</v>
      </c>
      <c r="AD106" s="19">
        <f t="shared" si="28"/>
        <v>0.82314503780883197</v>
      </c>
      <c r="AE106" s="19">
        <f t="shared" si="28"/>
        <v>0.77976529431630648</v>
      </c>
      <c r="AF106" s="19">
        <f t="shared" si="28"/>
        <v>0.73867166330583722</v>
      </c>
      <c r="AG106" s="19">
        <f t="shared" si="28"/>
        <v>0.69974366664961962</v>
      </c>
      <c r="AH106" s="19">
        <f t="shared" si="28"/>
        <v>0.66286717541718465</v>
      </c>
      <c r="AI106" s="19">
        <f t="shared" si="28"/>
        <v>0.62793407527269907</v>
      </c>
      <c r="AJ106" s="19">
        <f t="shared" si="28"/>
        <v>0.59484194950582781</v>
      </c>
    </row>
    <row r="107" spans="1:36" ht="35" x14ac:dyDescent="0.45">
      <c r="A107" s="34"/>
      <c r="B107" s="4" t="s">
        <v>283</v>
      </c>
      <c r="C107" s="4" t="s">
        <v>328</v>
      </c>
      <c r="D107" s="4" t="s">
        <v>416</v>
      </c>
      <c r="E107" s="19">
        <v>3.1830303030303031</v>
      </c>
      <c r="F107" s="19" t="s">
        <v>429</v>
      </c>
      <c r="G107" s="19">
        <f>$E$107*0.9452^(G1-2020)</f>
        <v>3.0086002424242424</v>
      </c>
      <c r="H107" s="19">
        <f t="shared" ref="H107:AJ107" si="29">$E$107*0.9452^(H1-2020)</f>
        <v>2.8437289491393942</v>
      </c>
      <c r="I107" s="19">
        <f t="shared" si="29"/>
        <v>2.6878926027265555</v>
      </c>
      <c r="J107" s="19">
        <f t="shared" si="29"/>
        <v>2.5405960880971401</v>
      </c>
      <c r="K107" s="19">
        <f t="shared" si="29"/>
        <v>2.4013714224694169</v>
      </c>
      <c r="L107" s="19">
        <f t="shared" si="29"/>
        <v>2.2697762685180929</v>
      </c>
      <c r="M107" s="19">
        <f t="shared" si="29"/>
        <v>2.1453925290033014</v>
      </c>
      <c r="N107" s="19">
        <f t="shared" si="29"/>
        <v>2.0278250184139206</v>
      </c>
      <c r="O107" s="19">
        <f t="shared" si="29"/>
        <v>1.9167002074048378</v>
      </c>
      <c r="P107" s="19">
        <f t="shared" si="29"/>
        <v>1.8116650360390527</v>
      </c>
      <c r="Q107" s="19">
        <f t="shared" si="29"/>
        <v>1.7123857920641128</v>
      </c>
      <c r="R107" s="19">
        <f t="shared" si="29"/>
        <v>1.6185470506589994</v>
      </c>
      <c r="S107" s="19">
        <f t="shared" si="29"/>
        <v>1.5298506722828862</v>
      </c>
      <c r="T107" s="19">
        <f t="shared" si="29"/>
        <v>1.4460148554417842</v>
      </c>
      <c r="U107" s="19">
        <f t="shared" si="29"/>
        <v>1.3667732413635743</v>
      </c>
      <c r="V107" s="19">
        <f t="shared" si="29"/>
        <v>1.2918740677368505</v>
      </c>
      <c r="W107" s="19">
        <f t="shared" si="29"/>
        <v>1.2210793688248713</v>
      </c>
      <c r="X107" s="19">
        <f t="shared" si="29"/>
        <v>1.1541642194132684</v>
      </c>
      <c r="Y107" s="19">
        <f t="shared" si="29"/>
        <v>1.0909160201894212</v>
      </c>
      <c r="Z107" s="19">
        <f t="shared" si="29"/>
        <v>1.0311338222830411</v>
      </c>
      <c r="AA107" s="19">
        <f t="shared" si="29"/>
        <v>0.9746276888219304</v>
      </c>
      <c r="AB107" s="19">
        <f t="shared" si="29"/>
        <v>0.92121809147448863</v>
      </c>
      <c r="AC107" s="19">
        <f t="shared" si="29"/>
        <v>0.87073534006168662</v>
      </c>
      <c r="AD107" s="19">
        <f t="shared" si="29"/>
        <v>0.82301904342630627</v>
      </c>
      <c r="AE107" s="19">
        <f t="shared" si="29"/>
        <v>0.77791759984654463</v>
      </c>
      <c r="AF107" s="19">
        <f t="shared" si="29"/>
        <v>0.73528771537495408</v>
      </c>
      <c r="AG107" s="19">
        <f t="shared" si="29"/>
        <v>0.69499394857240659</v>
      </c>
      <c r="AH107" s="19">
        <f t="shared" si="29"/>
        <v>0.65690828019063874</v>
      </c>
      <c r="AI107" s="19">
        <f t="shared" si="29"/>
        <v>0.6209097064361917</v>
      </c>
      <c r="AJ107" s="19">
        <f t="shared" si="29"/>
        <v>0.58688385452348846</v>
      </c>
    </row>
    <row r="108" spans="1:36" ht="35" x14ac:dyDescent="0.45">
      <c r="A108" s="34"/>
      <c r="B108" s="4" t="s">
        <v>284</v>
      </c>
      <c r="C108" s="4" t="s">
        <v>329</v>
      </c>
      <c r="D108" s="4" t="s">
        <v>416</v>
      </c>
      <c r="E108" s="19">
        <v>2.6662775757575758</v>
      </c>
      <c r="F108" s="19" t="s">
        <v>429</v>
      </c>
      <c r="G108" s="19">
        <f>$E$108*0.9514^(G1-2020)</f>
        <v>2.5366964855757579</v>
      </c>
      <c r="H108" s="19">
        <f t="shared" ref="H108:AJ108" si="30">$E$108*0.9514^(H1-2020)</f>
        <v>2.4134130363767761</v>
      </c>
      <c r="I108" s="19">
        <f t="shared" si="30"/>
        <v>2.2961211628088645</v>
      </c>
      <c r="J108" s="19">
        <f t="shared" si="30"/>
        <v>2.1845296742963538</v>
      </c>
      <c r="K108" s="19">
        <f t="shared" si="30"/>
        <v>2.0783615321255513</v>
      </c>
      <c r="L108" s="19">
        <f t="shared" si="30"/>
        <v>1.9773531616642495</v>
      </c>
      <c r="M108" s="19">
        <f t="shared" si="30"/>
        <v>1.8812537980073669</v>
      </c>
      <c r="N108" s="19">
        <f t="shared" si="30"/>
        <v>1.7898248634242089</v>
      </c>
      <c r="O108" s="19">
        <f t="shared" si="30"/>
        <v>1.7028393750617923</v>
      </c>
      <c r="P108" s="19">
        <f t="shared" si="30"/>
        <v>1.6200813814337893</v>
      </c>
      <c r="Q108" s="19">
        <f t="shared" si="30"/>
        <v>1.541345426296107</v>
      </c>
      <c r="R108" s="19">
        <f t="shared" si="30"/>
        <v>1.4664360385781163</v>
      </c>
      <c r="S108" s="19">
        <f t="shared" si="30"/>
        <v>1.3951672471032199</v>
      </c>
      <c r="T108" s="19">
        <f t="shared" si="30"/>
        <v>1.3273621188940035</v>
      </c>
      <c r="U108" s="19">
        <f t="shared" si="30"/>
        <v>1.2628523199157549</v>
      </c>
      <c r="V108" s="19">
        <f t="shared" si="30"/>
        <v>1.2014776971678491</v>
      </c>
      <c r="W108" s="19">
        <f t="shared" si="30"/>
        <v>1.1430858810854918</v>
      </c>
      <c r="X108" s="19">
        <f t="shared" si="30"/>
        <v>1.0875319072647369</v>
      </c>
      <c r="Y108" s="19">
        <f t="shared" si="30"/>
        <v>1.0346778565716706</v>
      </c>
      <c r="Z108" s="19">
        <f t="shared" si="30"/>
        <v>0.98439251274228745</v>
      </c>
      <c r="AA108" s="19">
        <f t="shared" si="30"/>
        <v>0.93655103662301242</v>
      </c>
      <c r="AB108" s="19">
        <f t="shared" si="30"/>
        <v>0.89103465624313394</v>
      </c>
      <c r="AC108" s="19">
        <f t="shared" si="30"/>
        <v>0.84773037194971768</v>
      </c>
      <c r="AD108" s="19">
        <f t="shared" si="30"/>
        <v>0.80653067587296146</v>
      </c>
      <c r="AE108" s="19">
        <f t="shared" si="30"/>
        <v>0.76733328502553544</v>
      </c>
      <c r="AF108" s="19">
        <f t="shared" si="30"/>
        <v>0.73004088737329453</v>
      </c>
      <c r="AG108" s="19">
        <f t="shared" si="30"/>
        <v>0.69456090024695238</v>
      </c>
      <c r="AH108" s="19">
        <f t="shared" si="30"/>
        <v>0.66080524049495049</v>
      </c>
      <c r="AI108" s="19">
        <f t="shared" si="30"/>
        <v>0.62869010580689588</v>
      </c>
      <c r="AJ108" s="19">
        <f t="shared" si="30"/>
        <v>0.59813576666468082</v>
      </c>
    </row>
    <row r="109" spans="1:36" ht="35" x14ac:dyDescent="0.45">
      <c r="A109" s="34"/>
      <c r="B109" s="4" t="s">
        <v>291</v>
      </c>
      <c r="C109" s="4" t="s">
        <v>330</v>
      </c>
      <c r="D109" s="4" t="s">
        <v>416</v>
      </c>
      <c r="E109" s="19">
        <v>11.630303030303031</v>
      </c>
      <c r="F109" s="19" t="s">
        <v>429</v>
      </c>
      <c r="G109" s="19">
        <f>$E$109*0.9058^(G1-2020)</f>
        <v>10.534728484848486</v>
      </c>
      <c r="H109" s="19">
        <f t="shared" ref="H109:AJ109" si="31">$E$109*0.9058^(H1-2020)</f>
        <v>9.5423570615757587</v>
      </c>
      <c r="I109" s="19">
        <f t="shared" si="31"/>
        <v>8.6434670263753244</v>
      </c>
      <c r="J109" s="19">
        <f t="shared" si="31"/>
        <v>7.829252432490768</v>
      </c>
      <c r="K109" s="19">
        <f t="shared" si="31"/>
        <v>7.0917368533501381</v>
      </c>
      <c r="L109" s="19">
        <f t="shared" si="31"/>
        <v>6.4236952417645563</v>
      </c>
      <c r="M109" s="19">
        <f t="shared" si="31"/>
        <v>5.8185831499903351</v>
      </c>
      <c r="N109" s="19">
        <f t="shared" si="31"/>
        <v>5.2704726172612455</v>
      </c>
      <c r="O109" s="19">
        <f t="shared" si="31"/>
        <v>4.7739940967152368</v>
      </c>
      <c r="P109" s="19">
        <f t="shared" si="31"/>
        <v>4.3242838528046619</v>
      </c>
      <c r="Q109" s="19">
        <f t="shared" si="31"/>
        <v>3.9169363138704627</v>
      </c>
      <c r="R109" s="19">
        <f t="shared" si="31"/>
        <v>3.5479609131038652</v>
      </c>
      <c r="S109" s="19">
        <f t="shared" si="31"/>
        <v>3.2137429950894814</v>
      </c>
      <c r="T109" s="19">
        <f t="shared" si="31"/>
        <v>2.9110084049520526</v>
      </c>
      <c r="U109" s="19">
        <f t="shared" si="31"/>
        <v>2.6367914132055694</v>
      </c>
      <c r="V109" s="19">
        <f t="shared" si="31"/>
        <v>2.3884056620816048</v>
      </c>
      <c r="W109" s="19">
        <f t="shared" si="31"/>
        <v>2.1634178487135176</v>
      </c>
      <c r="X109" s="19">
        <f t="shared" si="31"/>
        <v>1.9596238873647045</v>
      </c>
      <c r="Y109" s="19">
        <f t="shared" si="31"/>
        <v>1.7750273171749495</v>
      </c>
      <c r="Z109" s="19">
        <f t="shared" si="31"/>
        <v>1.6078197438970694</v>
      </c>
      <c r="AA109" s="19">
        <f t="shared" si="31"/>
        <v>1.4563631240219654</v>
      </c>
      <c r="AB109" s="19">
        <f t="shared" si="31"/>
        <v>1.3191737177390963</v>
      </c>
      <c r="AC109" s="19">
        <f t="shared" si="31"/>
        <v>1.1949075535280738</v>
      </c>
      <c r="AD109" s="19">
        <f t="shared" si="31"/>
        <v>1.0823472619857291</v>
      </c>
      <c r="AE109" s="19">
        <f t="shared" si="31"/>
        <v>0.98039014990667361</v>
      </c>
      <c r="AF109" s="19">
        <f t="shared" si="31"/>
        <v>0.88803739778546487</v>
      </c>
      <c r="AG109" s="19">
        <f t="shared" si="31"/>
        <v>0.80438427491407427</v>
      </c>
      <c r="AH109" s="19">
        <f t="shared" si="31"/>
        <v>0.72861127621716837</v>
      </c>
      <c r="AI109" s="19">
        <f t="shared" si="31"/>
        <v>0.65997609399751123</v>
      </c>
      <c r="AJ109" s="19">
        <f t="shared" si="31"/>
        <v>0.59780634594294568</v>
      </c>
    </row>
    <row r="110" spans="1:36" ht="35" x14ac:dyDescent="0.45">
      <c r="A110" s="34"/>
      <c r="B110" s="4" t="s">
        <v>285</v>
      </c>
      <c r="C110" s="4" t="s">
        <v>331</v>
      </c>
      <c r="D110" s="4" t="s">
        <v>416</v>
      </c>
      <c r="E110" s="19">
        <v>2.5249999999999999</v>
      </c>
      <c r="F110" s="19" t="s">
        <v>429</v>
      </c>
      <c r="G110" s="19">
        <f>$E$110</f>
        <v>2.5249999999999999</v>
      </c>
      <c r="H110" s="19">
        <f t="shared" ref="H110:AJ110" si="32">$E$110</f>
        <v>2.5249999999999999</v>
      </c>
      <c r="I110" s="19">
        <f t="shared" si="32"/>
        <v>2.5249999999999999</v>
      </c>
      <c r="J110" s="19">
        <f t="shared" si="32"/>
        <v>2.5249999999999999</v>
      </c>
      <c r="K110" s="19">
        <f t="shared" si="32"/>
        <v>2.5249999999999999</v>
      </c>
      <c r="L110" s="19">
        <f t="shared" si="32"/>
        <v>2.5249999999999999</v>
      </c>
      <c r="M110" s="19">
        <f t="shared" si="32"/>
        <v>2.5249999999999999</v>
      </c>
      <c r="N110" s="19">
        <f t="shared" si="32"/>
        <v>2.5249999999999999</v>
      </c>
      <c r="O110" s="19">
        <f t="shared" si="32"/>
        <v>2.5249999999999999</v>
      </c>
      <c r="P110" s="19">
        <f t="shared" si="32"/>
        <v>2.5249999999999999</v>
      </c>
      <c r="Q110" s="19">
        <f t="shared" si="32"/>
        <v>2.5249999999999999</v>
      </c>
      <c r="R110" s="19">
        <f t="shared" si="32"/>
        <v>2.5249999999999999</v>
      </c>
      <c r="S110" s="19">
        <f t="shared" si="32"/>
        <v>2.5249999999999999</v>
      </c>
      <c r="T110" s="19">
        <f t="shared" si="32"/>
        <v>2.5249999999999999</v>
      </c>
      <c r="U110" s="19">
        <f t="shared" si="32"/>
        <v>2.5249999999999999</v>
      </c>
      <c r="V110" s="19">
        <f t="shared" si="32"/>
        <v>2.5249999999999999</v>
      </c>
      <c r="W110" s="19">
        <f t="shared" si="32"/>
        <v>2.5249999999999999</v>
      </c>
      <c r="X110" s="19">
        <f t="shared" si="32"/>
        <v>2.5249999999999999</v>
      </c>
      <c r="Y110" s="19">
        <f t="shared" si="32"/>
        <v>2.5249999999999999</v>
      </c>
      <c r="Z110" s="19">
        <f t="shared" si="32"/>
        <v>2.5249999999999999</v>
      </c>
      <c r="AA110" s="19">
        <f t="shared" si="32"/>
        <v>2.5249999999999999</v>
      </c>
      <c r="AB110" s="19">
        <f t="shared" si="32"/>
        <v>2.5249999999999999</v>
      </c>
      <c r="AC110" s="19">
        <f t="shared" si="32"/>
        <v>2.5249999999999999</v>
      </c>
      <c r="AD110" s="19">
        <f t="shared" si="32"/>
        <v>2.5249999999999999</v>
      </c>
      <c r="AE110" s="19">
        <f t="shared" si="32"/>
        <v>2.5249999999999999</v>
      </c>
      <c r="AF110" s="19">
        <f t="shared" si="32"/>
        <v>2.5249999999999999</v>
      </c>
      <c r="AG110" s="19">
        <f t="shared" si="32"/>
        <v>2.5249999999999999</v>
      </c>
      <c r="AH110" s="19">
        <f t="shared" si="32"/>
        <v>2.5249999999999999</v>
      </c>
      <c r="AI110" s="19">
        <f t="shared" si="32"/>
        <v>2.5249999999999999</v>
      </c>
      <c r="AJ110" s="19">
        <f t="shared" si="32"/>
        <v>2.5249999999999999</v>
      </c>
    </row>
    <row r="111" spans="1:36" ht="35" x14ac:dyDescent="0.45">
      <c r="A111" s="34"/>
      <c r="B111" s="4" t="s">
        <v>286</v>
      </c>
      <c r="C111" s="4" t="s">
        <v>332</v>
      </c>
      <c r="D111" s="4" t="s">
        <v>416</v>
      </c>
      <c r="E111" s="19">
        <v>1.9516807142857142</v>
      </c>
      <c r="F111" s="19" t="s">
        <v>429</v>
      </c>
      <c r="G111" s="19">
        <f>$E$111</f>
        <v>1.9516807142857142</v>
      </c>
      <c r="H111" s="19">
        <f t="shared" ref="H111:AJ111" si="33">$E$111</f>
        <v>1.9516807142857142</v>
      </c>
      <c r="I111" s="19">
        <f t="shared" si="33"/>
        <v>1.9516807142857142</v>
      </c>
      <c r="J111" s="19">
        <f t="shared" si="33"/>
        <v>1.9516807142857142</v>
      </c>
      <c r="K111" s="19">
        <f t="shared" si="33"/>
        <v>1.9516807142857142</v>
      </c>
      <c r="L111" s="19">
        <f t="shared" si="33"/>
        <v>1.9516807142857142</v>
      </c>
      <c r="M111" s="19">
        <f t="shared" si="33"/>
        <v>1.9516807142857142</v>
      </c>
      <c r="N111" s="19">
        <f t="shared" si="33"/>
        <v>1.9516807142857142</v>
      </c>
      <c r="O111" s="19">
        <f t="shared" si="33"/>
        <v>1.9516807142857142</v>
      </c>
      <c r="P111" s="19">
        <f t="shared" si="33"/>
        <v>1.9516807142857142</v>
      </c>
      <c r="Q111" s="19">
        <f t="shared" si="33"/>
        <v>1.9516807142857142</v>
      </c>
      <c r="R111" s="19">
        <f t="shared" si="33"/>
        <v>1.9516807142857142</v>
      </c>
      <c r="S111" s="19">
        <f t="shared" si="33"/>
        <v>1.9516807142857142</v>
      </c>
      <c r="T111" s="19">
        <f t="shared" si="33"/>
        <v>1.9516807142857142</v>
      </c>
      <c r="U111" s="19">
        <f t="shared" si="33"/>
        <v>1.9516807142857142</v>
      </c>
      <c r="V111" s="19">
        <f t="shared" si="33"/>
        <v>1.9516807142857142</v>
      </c>
      <c r="W111" s="19">
        <f t="shared" si="33"/>
        <v>1.9516807142857142</v>
      </c>
      <c r="X111" s="19">
        <f t="shared" si="33"/>
        <v>1.9516807142857142</v>
      </c>
      <c r="Y111" s="19">
        <f t="shared" si="33"/>
        <v>1.9516807142857142</v>
      </c>
      <c r="Z111" s="19">
        <f t="shared" si="33"/>
        <v>1.9516807142857142</v>
      </c>
      <c r="AA111" s="19">
        <f t="shared" si="33"/>
        <v>1.9516807142857142</v>
      </c>
      <c r="AB111" s="19">
        <f t="shared" si="33"/>
        <v>1.9516807142857142</v>
      </c>
      <c r="AC111" s="19">
        <f t="shared" si="33"/>
        <v>1.9516807142857142</v>
      </c>
      <c r="AD111" s="19">
        <f t="shared" si="33"/>
        <v>1.9516807142857142</v>
      </c>
      <c r="AE111" s="19">
        <f t="shared" si="33"/>
        <v>1.9516807142857142</v>
      </c>
      <c r="AF111" s="19">
        <f t="shared" si="33"/>
        <v>1.9516807142857142</v>
      </c>
      <c r="AG111" s="19">
        <f t="shared" si="33"/>
        <v>1.9516807142857142</v>
      </c>
      <c r="AH111" s="19">
        <f t="shared" si="33"/>
        <v>1.9516807142857142</v>
      </c>
      <c r="AI111" s="19">
        <f t="shared" si="33"/>
        <v>1.9516807142857142</v>
      </c>
      <c r="AJ111" s="19">
        <f t="shared" si="33"/>
        <v>1.9516807142857142</v>
      </c>
    </row>
    <row r="112" spans="1:36" ht="35" x14ac:dyDescent="0.45">
      <c r="A112" s="34"/>
      <c r="B112" s="4" t="s">
        <v>287</v>
      </c>
      <c r="C112" s="4" t="s">
        <v>333</v>
      </c>
      <c r="D112" s="4" t="s">
        <v>416</v>
      </c>
      <c r="E112" s="19">
        <v>8.5884353741496593</v>
      </c>
      <c r="F112" s="19" t="s">
        <v>429</v>
      </c>
      <c r="G112" s="19">
        <f>$E$112*0.9518^(G1-2020)</f>
        <v>8.1744727891156455</v>
      </c>
      <c r="H112" s="19">
        <f t="shared" ref="H112:AJ112" si="34">$E$112*0.9518^(H1-2020)</f>
        <v>7.7804632006802708</v>
      </c>
      <c r="I112" s="19">
        <f t="shared" si="34"/>
        <v>7.4054448744074817</v>
      </c>
      <c r="J112" s="19">
        <f t="shared" si="34"/>
        <v>7.0485024314610403</v>
      </c>
      <c r="K112" s="19">
        <f t="shared" si="34"/>
        <v>6.7087646142646182</v>
      </c>
      <c r="L112" s="19">
        <f t="shared" si="34"/>
        <v>6.3854021598570636</v>
      </c>
      <c r="M112" s="19">
        <f t="shared" si="34"/>
        <v>6.0776257757519527</v>
      </c>
      <c r="N112" s="19">
        <f t="shared" si="34"/>
        <v>5.7846842133607081</v>
      </c>
      <c r="O112" s="19">
        <f t="shared" si="34"/>
        <v>5.5058624342767226</v>
      </c>
      <c r="P112" s="19">
        <f t="shared" si="34"/>
        <v>5.2404798649445832</v>
      </c>
      <c r="Q112" s="19">
        <f t="shared" si="34"/>
        <v>4.9878887354542547</v>
      </c>
      <c r="R112" s="19">
        <f t="shared" si="34"/>
        <v>4.7474724984053589</v>
      </c>
      <c r="S112" s="19">
        <f t="shared" si="34"/>
        <v>4.5186443239822207</v>
      </c>
      <c r="T112" s="19">
        <f t="shared" si="34"/>
        <v>4.3008456675662776</v>
      </c>
      <c r="U112" s="19">
        <f t="shared" si="34"/>
        <v>4.0935449063895826</v>
      </c>
      <c r="V112" s="19">
        <f t="shared" si="34"/>
        <v>3.8962360419016044</v>
      </c>
      <c r="W112" s="19">
        <f t="shared" si="34"/>
        <v>3.7084374646819467</v>
      </c>
      <c r="X112" s="19">
        <f t="shared" si="34"/>
        <v>3.5296907788842771</v>
      </c>
      <c r="Y112" s="19">
        <f t="shared" si="34"/>
        <v>3.3595596833420549</v>
      </c>
      <c r="Z112" s="19">
        <f t="shared" si="34"/>
        <v>3.1976289066049675</v>
      </c>
      <c r="AA112" s="19">
        <f t="shared" si="34"/>
        <v>3.0435031933066083</v>
      </c>
      <c r="AB112" s="19">
        <f t="shared" si="34"/>
        <v>2.8968063393892294</v>
      </c>
      <c r="AC112" s="19">
        <f t="shared" si="34"/>
        <v>2.7571802738306683</v>
      </c>
      <c r="AD112" s="19">
        <f t="shared" si="34"/>
        <v>2.6242841846320299</v>
      </c>
      <c r="AE112" s="19">
        <f t="shared" si="34"/>
        <v>2.4977936869327659</v>
      </c>
      <c r="AF112" s="19">
        <f t="shared" si="34"/>
        <v>2.3774000312226065</v>
      </c>
      <c r="AG112" s="19">
        <f t="shared" si="34"/>
        <v>2.2628093497176769</v>
      </c>
      <c r="AH112" s="19">
        <f t="shared" si="34"/>
        <v>2.1537419390612849</v>
      </c>
      <c r="AI112" s="19">
        <f t="shared" si="34"/>
        <v>2.0499315775985312</v>
      </c>
      <c r="AJ112" s="19">
        <f t="shared" si="34"/>
        <v>1.9511248755582817</v>
      </c>
    </row>
    <row r="113" spans="1:36" ht="35" x14ac:dyDescent="0.45">
      <c r="A113" s="34"/>
      <c r="B113" s="4" t="s">
        <v>288</v>
      </c>
      <c r="C113" s="4" t="s">
        <v>334</v>
      </c>
      <c r="D113" s="4" t="s">
        <v>416</v>
      </c>
      <c r="E113" s="19">
        <v>5.4828571428571431</v>
      </c>
      <c r="F113" s="19" t="s">
        <v>429</v>
      </c>
      <c r="G113" s="19">
        <f>$E$113*0.9662^(G1-2020)</f>
        <v>5.2975365714285712</v>
      </c>
      <c r="H113" s="19">
        <f t="shared" ref="H113:AJ113" si="35">$E$113*0.9662^(H1-2020)</f>
        <v>5.1184798353142851</v>
      </c>
      <c r="I113" s="19">
        <f t="shared" si="35"/>
        <v>4.9454752168806619</v>
      </c>
      <c r="J113" s="19">
        <f t="shared" si="35"/>
        <v>4.7783181545500959</v>
      </c>
      <c r="K113" s="19">
        <f t="shared" si="35"/>
        <v>4.6168110009263019</v>
      </c>
      <c r="L113" s="19">
        <f t="shared" si="35"/>
        <v>4.4607627890949928</v>
      </c>
      <c r="M113" s="19">
        <f t="shared" si="35"/>
        <v>4.3099890068235815</v>
      </c>
      <c r="N113" s="19">
        <f t="shared" si="35"/>
        <v>4.1643113783929442</v>
      </c>
      <c r="O113" s="19">
        <f t="shared" si="35"/>
        <v>4.0235576538032625</v>
      </c>
      <c r="P113" s="19">
        <f t="shared" si="35"/>
        <v>3.8875614051047123</v>
      </c>
      <c r="Q113" s="19">
        <f t="shared" si="35"/>
        <v>3.7561618296121728</v>
      </c>
      <c r="R113" s="19">
        <f t="shared" si="35"/>
        <v>3.6292035597712808</v>
      </c>
      <c r="S113" s="19">
        <f t="shared" si="35"/>
        <v>3.5065364794510114</v>
      </c>
      <c r="T113" s="19">
        <f t="shared" si="35"/>
        <v>3.3880155464455668</v>
      </c>
      <c r="U113" s="19">
        <f t="shared" si="35"/>
        <v>3.2735006209757067</v>
      </c>
      <c r="V113" s="19">
        <f t="shared" si="35"/>
        <v>3.1628562999867276</v>
      </c>
      <c r="W113" s="19">
        <f t="shared" si="35"/>
        <v>3.0559517570471759</v>
      </c>
      <c r="X113" s="19">
        <f t="shared" si="35"/>
        <v>2.9526605876589809</v>
      </c>
      <c r="Y113" s="19">
        <f t="shared" si="35"/>
        <v>2.8528606597961073</v>
      </c>
      <c r="Z113" s="19">
        <f t="shared" si="35"/>
        <v>2.7564339694949993</v>
      </c>
      <c r="AA113" s="19">
        <f t="shared" si="35"/>
        <v>2.6632665013260675</v>
      </c>
      <c r="AB113" s="19">
        <f t="shared" si="35"/>
        <v>2.5732480935812463</v>
      </c>
      <c r="AC113" s="19">
        <f t="shared" si="35"/>
        <v>2.4862723080182003</v>
      </c>
      <c r="AD113" s="19">
        <f t="shared" si="35"/>
        <v>2.402236304007185</v>
      </c>
      <c r="AE113" s="19">
        <f t="shared" si="35"/>
        <v>2.321040716931742</v>
      </c>
      <c r="AF113" s="19">
        <f t="shared" si="35"/>
        <v>2.2425895406994489</v>
      </c>
      <c r="AG113" s="19">
        <f t="shared" si="35"/>
        <v>2.1667900142238072</v>
      </c>
      <c r="AH113" s="19">
        <f t="shared" si="35"/>
        <v>2.0935525117430425</v>
      </c>
      <c r="AI113" s="19">
        <f t="shared" si="35"/>
        <v>2.0227904368461278</v>
      </c>
      <c r="AJ113" s="19">
        <f t="shared" si="35"/>
        <v>1.9544201200807283</v>
      </c>
    </row>
    <row r="114" spans="1:36" ht="35" x14ac:dyDescent="0.45">
      <c r="A114" s="34"/>
      <c r="B114" s="4" t="s">
        <v>289</v>
      </c>
      <c r="C114" s="4" t="s">
        <v>335</v>
      </c>
      <c r="D114" s="4" t="s">
        <v>416</v>
      </c>
      <c r="E114" s="19">
        <v>11.222254285714286</v>
      </c>
      <c r="F114" s="19" t="s">
        <v>429</v>
      </c>
      <c r="G114" s="19">
        <f>$E$114*0.9434^(G1-2020)</f>
        <v>10.587074693142856</v>
      </c>
      <c r="H114" s="19">
        <f t="shared" ref="H114:AJ114" si="36">$E$114*0.9434^(H1-2020)</f>
        <v>9.9878462655109708</v>
      </c>
      <c r="I114" s="19">
        <f t="shared" si="36"/>
        <v>9.4225341668830502</v>
      </c>
      <c r="J114" s="19">
        <f t="shared" si="36"/>
        <v>8.8892187330374703</v>
      </c>
      <c r="K114" s="19">
        <f t="shared" si="36"/>
        <v>8.3860889527475493</v>
      </c>
      <c r="L114" s="19">
        <f t="shared" si="36"/>
        <v>7.9114363180220373</v>
      </c>
      <c r="M114" s="19">
        <f t="shared" si="36"/>
        <v>7.4636490224219907</v>
      </c>
      <c r="N114" s="19">
        <f t="shared" si="36"/>
        <v>7.0412064877529064</v>
      </c>
      <c r="O114" s="19">
        <f t="shared" si="36"/>
        <v>6.642674200546093</v>
      </c>
      <c r="P114" s="19">
        <f t="shared" si="36"/>
        <v>6.2666988407951836</v>
      </c>
      <c r="Q114" s="19">
        <f t="shared" si="36"/>
        <v>5.9120036864061758</v>
      </c>
      <c r="R114" s="19">
        <f t="shared" si="36"/>
        <v>5.577384277755586</v>
      </c>
      <c r="S114" s="19">
        <f t="shared" si="36"/>
        <v>5.2617043276346198</v>
      </c>
      <c r="T114" s="19">
        <f t="shared" si="36"/>
        <v>4.9638918626905006</v>
      </c>
      <c r="U114" s="19">
        <f t="shared" si="36"/>
        <v>4.6829355832622186</v>
      </c>
      <c r="V114" s="19">
        <f t="shared" si="36"/>
        <v>4.4178814292495767</v>
      </c>
      <c r="W114" s="19">
        <f t="shared" si="36"/>
        <v>4.1678293403540509</v>
      </c>
      <c r="X114" s="19">
        <f t="shared" si="36"/>
        <v>3.931930199690012</v>
      </c>
      <c r="Y114" s="19">
        <f t="shared" si="36"/>
        <v>3.7093829503875573</v>
      </c>
      <c r="Z114" s="19">
        <f t="shared" si="36"/>
        <v>3.4994318753956217</v>
      </c>
      <c r="AA114" s="19">
        <f t="shared" si="36"/>
        <v>3.3013640312482293</v>
      </c>
      <c r="AB114" s="19">
        <f t="shared" si="36"/>
        <v>3.1145068270795795</v>
      </c>
      <c r="AC114" s="19">
        <f t="shared" si="36"/>
        <v>2.9382257406668755</v>
      </c>
      <c r="AD114" s="19">
        <f t="shared" si="36"/>
        <v>2.7719221637451303</v>
      </c>
      <c r="AE114" s="19">
        <f t="shared" si="36"/>
        <v>2.6150313692771561</v>
      </c>
      <c r="AF114" s="19">
        <f t="shared" si="36"/>
        <v>2.467020593776069</v>
      </c>
      <c r="AG114" s="19">
        <f t="shared" si="36"/>
        <v>2.3273872281683436</v>
      </c>
      <c r="AH114" s="19">
        <f t="shared" si="36"/>
        <v>2.1956571110540151</v>
      </c>
      <c r="AI114" s="19">
        <f t="shared" si="36"/>
        <v>2.0713829185683577</v>
      </c>
      <c r="AJ114" s="19">
        <f t="shared" si="36"/>
        <v>1.9541426453773891</v>
      </c>
    </row>
    <row r="115" spans="1:36" ht="35" x14ac:dyDescent="0.45">
      <c r="A115" s="34"/>
      <c r="B115" s="4" t="s">
        <v>290</v>
      </c>
      <c r="C115" s="4" t="s">
        <v>336</v>
      </c>
      <c r="D115" s="4" t="s">
        <v>416</v>
      </c>
      <c r="E115" s="19">
        <v>14.717142857142857</v>
      </c>
      <c r="F115" s="19" t="s">
        <v>429</v>
      </c>
      <c r="G115" s="19">
        <f>$E$115*0.9349^(G1-2020)</f>
        <v>13.759056857142856</v>
      </c>
      <c r="H115" s="19">
        <f t="shared" ref="H115:AJ115" si="37">$E$115*0.9349^(H1-2020)</f>
        <v>12.863342255742856</v>
      </c>
      <c r="I115" s="19">
        <f t="shared" si="37"/>
        <v>12.025938674893995</v>
      </c>
      <c r="J115" s="19">
        <f t="shared" si="37"/>
        <v>11.243050067158396</v>
      </c>
      <c r="K115" s="19">
        <f t="shared" si="37"/>
        <v>10.511127507786384</v>
      </c>
      <c r="L115" s="19">
        <f t="shared" si="37"/>
        <v>9.8268531070294909</v>
      </c>
      <c r="M115" s="19">
        <f t="shared" si="37"/>
        <v>9.1871249697618698</v>
      </c>
      <c r="N115" s="19">
        <f t="shared" si="37"/>
        <v>8.5890431342303728</v>
      </c>
      <c r="O115" s="19">
        <f t="shared" si="37"/>
        <v>8.029896426191975</v>
      </c>
      <c r="P115" s="19">
        <f t="shared" si="37"/>
        <v>7.5071501688468771</v>
      </c>
      <c r="Q115" s="19">
        <f t="shared" si="37"/>
        <v>7.0184346928549441</v>
      </c>
      <c r="R115" s="19">
        <f t="shared" si="37"/>
        <v>6.5615345943500873</v>
      </c>
      <c r="S115" s="19">
        <f t="shared" si="37"/>
        <v>6.1343786922578971</v>
      </c>
      <c r="T115" s="19">
        <f t="shared" si="37"/>
        <v>5.7350306393919075</v>
      </c>
      <c r="U115" s="19">
        <f t="shared" si="37"/>
        <v>5.3616801447674938</v>
      </c>
      <c r="V115" s="19">
        <f t="shared" si="37"/>
        <v>5.0126347673431306</v>
      </c>
      <c r="W115" s="19">
        <f t="shared" si="37"/>
        <v>4.6863122439890921</v>
      </c>
      <c r="X115" s="19">
        <f t="shared" si="37"/>
        <v>4.3812333169054023</v>
      </c>
      <c r="Y115" s="19">
        <f t="shared" si="37"/>
        <v>4.0960150279748602</v>
      </c>
      <c r="Z115" s="19">
        <f t="shared" si="37"/>
        <v>3.8293644496536969</v>
      </c>
      <c r="AA115" s="19">
        <f t="shared" si="37"/>
        <v>3.5800728239812414</v>
      </c>
      <c r="AB115" s="19">
        <f t="shared" si="37"/>
        <v>3.3470100831400624</v>
      </c>
      <c r="AC115" s="19">
        <f t="shared" si="37"/>
        <v>3.129119726727644</v>
      </c>
      <c r="AD115" s="19">
        <f t="shared" si="37"/>
        <v>2.9254140325176747</v>
      </c>
      <c r="AE115" s="19">
        <f t="shared" si="37"/>
        <v>2.7349695790007735</v>
      </c>
      <c r="AF115" s="19">
        <f t="shared" si="37"/>
        <v>2.5569230594078234</v>
      </c>
      <c r="AG115" s="19">
        <f t="shared" si="37"/>
        <v>2.3904673682403739</v>
      </c>
      <c r="AH115" s="19">
        <f t="shared" si="37"/>
        <v>2.2348479425679253</v>
      </c>
      <c r="AI115" s="19">
        <f t="shared" si="37"/>
        <v>2.0893593415067535</v>
      </c>
      <c r="AJ115" s="19">
        <f t="shared" si="37"/>
        <v>1.9533420483746635</v>
      </c>
    </row>
    <row r="116" spans="1:36" ht="35" x14ac:dyDescent="0.45">
      <c r="A116" s="34"/>
      <c r="B116" s="4" t="s">
        <v>292</v>
      </c>
      <c r="C116" s="4" t="s">
        <v>337</v>
      </c>
      <c r="D116" s="4" t="s">
        <v>416</v>
      </c>
      <c r="E116" s="19">
        <v>0.12695138888888888</v>
      </c>
      <c r="F116" s="19" t="s">
        <v>429</v>
      </c>
      <c r="G116" s="19">
        <f>$E$116</f>
        <v>0.12695138888888888</v>
      </c>
      <c r="H116" s="19">
        <f t="shared" ref="H116:AJ116" si="38">$E$116</f>
        <v>0.12695138888888888</v>
      </c>
      <c r="I116" s="19">
        <f t="shared" si="38"/>
        <v>0.12695138888888888</v>
      </c>
      <c r="J116" s="19">
        <f t="shared" si="38"/>
        <v>0.12695138888888888</v>
      </c>
      <c r="K116" s="19">
        <f t="shared" si="38"/>
        <v>0.12695138888888888</v>
      </c>
      <c r="L116" s="19">
        <f t="shared" si="38"/>
        <v>0.12695138888888888</v>
      </c>
      <c r="M116" s="19">
        <f t="shared" si="38"/>
        <v>0.12695138888888888</v>
      </c>
      <c r="N116" s="19">
        <f t="shared" si="38"/>
        <v>0.12695138888888888</v>
      </c>
      <c r="O116" s="19">
        <f t="shared" si="38"/>
        <v>0.12695138888888888</v>
      </c>
      <c r="P116" s="19">
        <f t="shared" si="38"/>
        <v>0.12695138888888888</v>
      </c>
      <c r="Q116" s="19">
        <f t="shared" si="38"/>
        <v>0.12695138888888888</v>
      </c>
      <c r="R116" s="19">
        <f t="shared" si="38"/>
        <v>0.12695138888888888</v>
      </c>
      <c r="S116" s="19">
        <f t="shared" si="38"/>
        <v>0.12695138888888888</v>
      </c>
      <c r="T116" s="19">
        <f t="shared" si="38"/>
        <v>0.12695138888888888</v>
      </c>
      <c r="U116" s="19">
        <f t="shared" si="38"/>
        <v>0.12695138888888888</v>
      </c>
      <c r="V116" s="19">
        <f t="shared" si="38"/>
        <v>0.12695138888888888</v>
      </c>
      <c r="W116" s="19">
        <f t="shared" si="38"/>
        <v>0.12695138888888888</v>
      </c>
      <c r="X116" s="19">
        <f t="shared" si="38"/>
        <v>0.12695138888888888</v>
      </c>
      <c r="Y116" s="19">
        <f t="shared" si="38"/>
        <v>0.12695138888888888</v>
      </c>
      <c r="Z116" s="19">
        <f t="shared" si="38"/>
        <v>0.12695138888888888</v>
      </c>
      <c r="AA116" s="19">
        <f t="shared" si="38"/>
        <v>0.12695138888888888</v>
      </c>
      <c r="AB116" s="19">
        <f t="shared" si="38"/>
        <v>0.12695138888888888</v>
      </c>
      <c r="AC116" s="19">
        <f t="shared" si="38"/>
        <v>0.12695138888888888</v>
      </c>
      <c r="AD116" s="19">
        <f t="shared" si="38"/>
        <v>0.12695138888888888</v>
      </c>
      <c r="AE116" s="19">
        <f t="shared" si="38"/>
        <v>0.12695138888888888</v>
      </c>
      <c r="AF116" s="19">
        <f t="shared" si="38"/>
        <v>0.12695138888888888</v>
      </c>
      <c r="AG116" s="19">
        <f t="shared" si="38"/>
        <v>0.12695138888888888</v>
      </c>
      <c r="AH116" s="19">
        <f t="shared" si="38"/>
        <v>0.12695138888888888</v>
      </c>
      <c r="AI116" s="19">
        <f t="shared" si="38"/>
        <v>0.12695138888888888</v>
      </c>
      <c r="AJ116" s="19">
        <f t="shared" si="38"/>
        <v>0.12695138888888888</v>
      </c>
    </row>
    <row r="117" spans="1:36" ht="35" x14ac:dyDescent="0.45">
      <c r="A117" s="34"/>
      <c r="B117" s="4" t="s">
        <v>293</v>
      </c>
      <c r="C117" s="4" t="s">
        <v>338</v>
      </c>
      <c r="D117" s="4" t="s">
        <v>416</v>
      </c>
      <c r="E117" s="19">
        <v>6.9664102564102562E-2</v>
      </c>
      <c r="F117" s="19" t="s">
        <v>429</v>
      </c>
      <c r="G117" s="19">
        <f>$E$117</f>
        <v>6.9664102564102562E-2</v>
      </c>
      <c r="H117" s="19">
        <f t="shared" ref="H117:AJ117" si="39">$E$117</f>
        <v>6.9664102564102562E-2</v>
      </c>
      <c r="I117" s="19">
        <f t="shared" si="39"/>
        <v>6.9664102564102562E-2</v>
      </c>
      <c r="J117" s="19">
        <f t="shared" si="39"/>
        <v>6.9664102564102562E-2</v>
      </c>
      <c r="K117" s="19">
        <f t="shared" si="39"/>
        <v>6.9664102564102562E-2</v>
      </c>
      <c r="L117" s="19">
        <f t="shared" si="39"/>
        <v>6.9664102564102562E-2</v>
      </c>
      <c r="M117" s="19">
        <f t="shared" si="39"/>
        <v>6.9664102564102562E-2</v>
      </c>
      <c r="N117" s="19">
        <f t="shared" si="39"/>
        <v>6.9664102564102562E-2</v>
      </c>
      <c r="O117" s="19">
        <f t="shared" si="39"/>
        <v>6.9664102564102562E-2</v>
      </c>
      <c r="P117" s="19">
        <f t="shared" si="39"/>
        <v>6.9664102564102562E-2</v>
      </c>
      <c r="Q117" s="19">
        <f t="shared" si="39"/>
        <v>6.9664102564102562E-2</v>
      </c>
      <c r="R117" s="19">
        <f t="shared" si="39"/>
        <v>6.9664102564102562E-2</v>
      </c>
      <c r="S117" s="19">
        <f t="shared" si="39"/>
        <v>6.9664102564102562E-2</v>
      </c>
      <c r="T117" s="19">
        <f t="shared" si="39"/>
        <v>6.9664102564102562E-2</v>
      </c>
      <c r="U117" s="19">
        <f t="shared" si="39"/>
        <v>6.9664102564102562E-2</v>
      </c>
      <c r="V117" s="19">
        <f t="shared" si="39"/>
        <v>6.9664102564102562E-2</v>
      </c>
      <c r="W117" s="19">
        <f t="shared" si="39"/>
        <v>6.9664102564102562E-2</v>
      </c>
      <c r="X117" s="19">
        <f t="shared" si="39"/>
        <v>6.9664102564102562E-2</v>
      </c>
      <c r="Y117" s="19">
        <f t="shared" si="39"/>
        <v>6.9664102564102562E-2</v>
      </c>
      <c r="Z117" s="19">
        <f t="shared" si="39"/>
        <v>6.9664102564102562E-2</v>
      </c>
      <c r="AA117" s="19">
        <f t="shared" si="39"/>
        <v>6.9664102564102562E-2</v>
      </c>
      <c r="AB117" s="19">
        <f t="shared" si="39"/>
        <v>6.9664102564102562E-2</v>
      </c>
      <c r="AC117" s="19">
        <f t="shared" si="39"/>
        <v>6.9664102564102562E-2</v>
      </c>
      <c r="AD117" s="19">
        <f t="shared" si="39"/>
        <v>6.9664102564102562E-2</v>
      </c>
      <c r="AE117" s="19">
        <f t="shared" si="39"/>
        <v>6.9664102564102562E-2</v>
      </c>
      <c r="AF117" s="19">
        <f t="shared" si="39"/>
        <v>6.9664102564102562E-2</v>
      </c>
      <c r="AG117" s="19">
        <f t="shared" si="39"/>
        <v>6.9664102564102562E-2</v>
      </c>
      <c r="AH117" s="19">
        <f t="shared" si="39"/>
        <v>6.9664102564102562E-2</v>
      </c>
      <c r="AI117" s="19">
        <f t="shared" si="39"/>
        <v>6.9664102564102562E-2</v>
      </c>
      <c r="AJ117" s="19">
        <f t="shared" si="39"/>
        <v>6.9664102564102562E-2</v>
      </c>
    </row>
    <row r="118" spans="1:36" ht="35" x14ac:dyDescent="0.45">
      <c r="A118" s="34"/>
      <c r="B118" s="4" t="s">
        <v>294</v>
      </c>
      <c r="C118" s="4" t="s">
        <v>339</v>
      </c>
      <c r="D118" s="4" t="s">
        <v>416</v>
      </c>
      <c r="E118" s="19">
        <v>9.0226666666666663E-2</v>
      </c>
      <c r="F118" s="19" t="s">
        <v>429</v>
      </c>
      <c r="G118" s="19">
        <f>$E$118*0.9914^(G1-2020)</f>
        <v>8.9450717333333332E-2</v>
      </c>
      <c r="H118" s="19">
        <f t="shared" ref="H118:AJ118" si="40">$E$118*0.9914^(H1-2020)</f>
        <v>8.8681441164266656E-2</v>
      </c>
      <c r="I118" s="19">
        <f t="shared" si="40"/>
        <v>8.791878077025396E-2</v>
      </c>
      <c r="J118" s="19">
        <f t="shared" si="40"/>
        <v>8.7162679255629774E-2</v>
      </c>
      <c r="K118" s="19">
        <f t="shared" si="40"/>
        <v>8.6413080214031351E-2</v>
      </c>
      <c r="L118" s="19">
        <f t="shared" si="40"/>
        <v>8.5669927724190686E-2</v>
      </c>
      <c r="M118" s="19">
        <f t="shared" si="40"/>
        <v>8.4933166345762645E-2</v>
      </c>
      <c r="N118" s="19">
        <f t="shared" si="40"/>
        <v>8.4202741115189092E-2</v>
      </c>
      <c r="O118" s="19">
        <f t="shared" si="40"/>
        <v>8.3478597541598462E-2</v>
      </c>
      <c r="P118" s="19">
        <f t="shared" si="40"/>
        <v>8.2760681602740707E-2</v>
      </c>
      <c r="Q118" s="19">
        <f t="shared" si="40"/>
        <v>8.204893974095713E-2</v>
      </c>
      <c r="R118" s="19">
        <f t="shared" si="40"/>
        <v>8.1343318859184902E-2</v>
      </c>
      <c r="S118" s="19">
        <f t="shared" si="40"/>
        <v>8.0643766316995907E-2</v>
      </c>
      <c r="T118" s="19">
        <f t="shared" si="40"/>
        <v>7.9950229926669739E-2</v>
      </c>
      <c r="U118" s="19">
        <f t="shared" si="40"/>
        <v>7.9262657949300375E-2</v>
      </c>
      <c r="V118" s="19">
        <f t="shared" si="40"/>
        <v>7.8580999090936396E-2</v>
      </c>
      <c r="W118" s="19">
        <f t="shared" si="40"/>
        <v>7.790520249875435E-2</v>
      </c>
      <c r="X118" s="19">
        <f t="shared" si="40"/>
        <v>7.7235217757265051E-2</v>
      </c>
      <c r="Y118" s="19">
        <f t="shared" si="40"/>
        <v>7.6570994884552573E-2</v>
      </c>
      <c r="Z118" s="19">
        <f t="shared" si="40"/>
        <v>7.5912484328545415E-2</v>
      </c>
      <c r="AA118" s="19">
        <f t="shared" si="40"/>
        <v>7.5259636963319915E-2</v>
      </c>
      <c r="AB118" s="19">
        <f t="shared" si="40"/>
        <v>7.4612404085435374E-2</v>
      </c>
      <c r="AC118" s="19">
        <f t="shared" si="40"/>
        <v>7.3970737410300622E-2</v>
      </c>
      <c r="AD118" s="19">
        <f t="shared" si="40"/>
        <v>7.3334589068572043E-2</v>
      </c>
      <c r="AE118" s="19">
        <f t="shared" si="40"/>
        <v>7.2703911602582313E-2</v>
      </c>
      <c r="AF118" s="19">
        <f t="shared" si="40"/>
        <v>7.2078657962800108E-2</v>
      </c>
      <c r="AG118" s="19">
        <f t="shared" si="40"/>
        <v>7.1458781504320015E-2</v>
      </c>
      <c r="AH118" s="19">
        <f t="shared" si="40"/>
        <v>7.0844235983382867E-2</v>
      </c>
      <c r="AI118" s="19">
        <f t="shared" si="40"/>
        <v>7.0234975553925771E-2</v>
      </c>
      <c r="AJ118" s="19">
        <f t="shared" si="40"/>
        <v>6.9630954764162006E-2</v>
      </c>
    </row>
    <row r="119" spans="1:36" ht="35" x14ac:dyDescent="0.45">
      <c r="A119" s="34"/>
      <c r="B119" s="4" t="s">
        <v>295</v>
      </c>
      <c r="C119" s="4" t="s">
        <v>340</v>
      </c>
      <c r="D119" s="4" t="s">
        <v>416</v>
      </c>
      <c r="E119" s="19">
        <v>0.43252314814814813</v>
      </c>
      <c r="F119" s="19" t="s">
        <v>429</v>
      </c>
      <c r="G119" s="19">
        <f>$E$119*0.941^(G1-2020)</f>
        <v>0.40700428240740738</v>
      </c>
      <c r="H119" s="19">
        <f t="shared" ref="H119:AJ119" si="41">$E$119*0.941^(H1-2020)</f>
        <v>0.3829910297453703</v>
      </c>
      <c r="I119" s="19">
        <f t="shared" si="41"/>
        <v>0.36039455899039341</v>
      </c>
      <c r="J119" s="19">
        <f t="shared" si="41"/>
        <v>0.33913128000996018</v>
      </c>
      <c r="K119" s="19">
        <f t="shared" si="41"/>
        <v>0.3191225344893725</v>
      </c>
      <c r="L119" s="19">
        <f t="shared" si="41"/>
        <v>0.30029430495449955</v>
      </c>
      <c r="M119" s="19">
        <f t="shared" si="41"/>
        <v>0.282576940962184</v>
      </c>
      <c r="N119" s="19">
        <f t="shared" si="41"/>
        <v>0.26590490144541512</v>
      </c>
      <c r="O119" s="19">
        <f t="shared" si="41"/>
        <v>0.25021651226013564</v>
      </c>
      <c r="P119" s="19">
        <f t="shared" si="41"/>
        <v>0.23545373803678757</v>
      </c>
      <c r="Q119" s="19">
        <f t="shared" si="41"/>
        <v>0.22156196749261708</v>
      </c>
      <c r="R119" s="19">
        <f t="shared" si="41"/>
        <v>0.20848981141055267</v>
      </c>
      <c r="S119" s="19">
        <f t="shared" si="41"/>
        <v>0.19618891253733006</v>
      </c>
      <c r="T119" s="19">
        <f t="shared" si="41"/>
        <v>0.18461376669762761</v>
      </c>
      <c r="U119" s="19">
        <f t="shared" si="41"/>
        <v>0.17372155446246754</v>
      </c>
      <c r="V119" s="19">
        <f t="shared" si="41"/>
        <v>0.16347198274918193</v>
      </c>
      <c r="W119" s="19">
        <f t="shared" si="41"/>
        <v>0.15382713576698021</v>
      </c>
      <c r="X119" s="19">
        <f t="shared" si="41"/>
        <v>0.14475133475672836</v>
      </c>
      <c r="Y119" s="19">
        <f t="shared" si="41"/>
        <v>0.13621100600608135</v>
      </c>
      <c r="Z119" s="19">
        <f t="shared" si="41"/>
        <v>0.12817455665172253</v>
      </c>
      <c r="AA119" s="19">
        <f t="shared" si="41"/>
        <v>0.1206122578092709</v>
      </c>
      <c r="AB119" s="19">
        <f t="shared" si="41"/>
        <v>0.11349613459852392</v>
      </c>
      <c r="AC119" s="19">
        <f t="shared" si="41"/>
        <v>0.10679986265721099</v>
      </c>
      <c r="AD119" s="19">
        <f t="shared" si="41"/>
        <v>0.10049867076043553</v>
      </c>
      <c r="AE119" s="19">
        <f t="shared" si="41"/>
        <v>9.4569249185569831E-2</v>
      </c>
      <c r="AF119" s="19">
        <f t="shared" si="41"/>
        <v>8.8989663483621195E-2</v>
      </c>
      <c r="AG119" s="19">
        <f t="shared" si="41"/>
        <v>8.3739273338087533E-2</v>
      </c>
      <c r="AH119" s="19">
        <f t="shared" si="41"/>
        <v>7.8798656211140364E-2</v>
      </c>
      <c r="AI119" s="19">
        <f t="shared" si="41"/>
        <v>7.4149535494683089E-2</v>
      </c>
      <c r="AJ119" s="19">
        <f t="shared" si="41"/>
        <v>6.9774712900496791E-2</v>
      </c>
    </row>
    <row r="120" spans="1:36" ht="35" x14ac:dyDescent="0.45">
      <c r="A120" s="34"/>
      <c r="B120" s="4" t="s">
        <v>296</v>
      </c>
      <c r="C120" s="4" t="s">
        <v>341</v>
      </c>
      <c r="D120" s="4" t="s">
        <v>416</v>
      </c>
      <c r="E120" s="19">
        <v>1.3443287037037037</v>
      </c>
      <c r="F120" s="19" t="s">
        <v>429</v>
      </c>
      <c r="G120" s="19">
        <f>$E$120*0.906^(G1-2020)</f>
        <v>1.2179618055555557</v>
      </c>
      <c r="H120" s="19">
        <f t="shared" ref="H120:AJ120" si="42">$E$120*0.906^(H1-2020)</f>
        <v>1.1034733958333334</v>
      </c>
      <c r="I120" s="19">
        <f t="shared" si="42"/>
        <v>0.99974689662500005</v>
      </c>
      <c r="J120" s="19">
        <f t="shared" si="42"/>
        <v>0.90577068834225005</v>
      </c>
      <c r="K120" s="19">
        <f t="shared" si="42"/>
        <v>0.82062824363807851</v>
      </c>
      <c r="L120" s="19">
        <f t="shared" si="42"/>
        <v>0.74348918873609926</v>
      </c>
      <c r="M120" s="19">
        <f t="shared" si="42"/>
        <v>0.67360120499490594</v>
      </c>
      <c r="N120" s="19">
        <f t="shared" si="42"/>
        <v>0.61028269172538474</v>
      </c>
      <c r="O120" s="19">
        <f t="shared" si="42"/>
        <v>0.55291611870319857</v>
      </c>
      <c r="P120" s="19">
        <f t="shared" si="42"/>
        <v>0.50094200354509788</v>
      </c>
      <c r="Q120" s="19">
        <f t="shared" si="42"/>
        <v>0.45385345521185877</v>
      </c>
      <c r="R120" s="19">
        <f t="shared" si="42"/>
        <v>0.41119123042194405</v>
      </c>
      <c r="S120" s="19">
        <f t="shared" si="42"/>
        <v>0.37253925476228134</v>
      </c>
      <c r="T120" s="19">
        <f t="shared" si="42"/>
        <v>0.33752056481462683</v>
      </c>
      <c r="U120" s="19">
        <f t="shared" si="42"/>
        <v>0.30579363172205198</v>
      </c>
      <c r="V120" s="19">
        <f t="shared" si="42"/>
        <v>0.27704903034017908</v>
      </c>
      <c r="W120" s="19">
        <f t="shared" si="42"/>
        <v>0.25100642148820224</v>
      </c>
      <c r="X120" s="19">
        <f t="shared" si="42"/>
        <v>0.22741181786831122</v>
      </c>
      <c r="Y120" s="19">
        <f t="shared" si="42"/>
        <v>0.20603510698868999</v>
      </c>
      <c r="Z120" s="19">
        <f t="shared" si="42"/>
        <v>0.18666780693175314</v>
      </c>
      <c r="AA120" s="19">
        <f t="shared" si="42"/>
        <v>0.16912103308016835</v>
      </c>
      <c r="AB120" s="19">
        <f t="shared" si="42"/>
        <v>0.15322365597063251</v>
      </c>
      <c r="AC120" s="19">
        <f t="shared" si="42"/>
        <v>0.13882063230939307</v>
      </c>
      <c r="AD120" s="19">
        <f t="shared" si="42"/>
        <v>0.12577149287231013</v>
      </c>
      <c r="AE120" s="19">
        <f t="shared" si="42"/>
        <v>0.11394897254231298</v>
      </c>
      <c r="AF120" s="19">
        <f t="shared" si="42"/>
        <v>0.10323776912333554</v>
      </c>
      <c r="AG120" s="19">
        <f t="shared" si="42"/>
        <v>9.3533418825742023E-2</v>
      </c>
      <c r="AH120" s="19">
        <f t="shared" si="42"/>
        <v>8.4741277456122255E-2</v>
      </c>
      <c r="AI120" s="19">
        <f t="shared" si="42"/>
        <v>7.6775597375246779E-2</v>
      </c>
      <c r="AJ120" s="19">
        <f t="shared" si="42"/>
        <v>6.955869122197357E-2</v>
      </c>
    </row>
    <row r="121" spans="1:36" ht="35" x14ac:dyDescent="0.45">
      <c r="A121" s="34" t="s">
        <v>313</v>
      </c>
      <c r="B121" s="4" t="s">
        <v>298</v>
      </c>
      <c r="C121" s="4" t="s">
        <v>342</v>
      </c>
      <c r="D121" s="4" t="s">
        <v>416</v>
      </c>
      <c r="E121" s="19">
        <v>0.11222477272727273</v>
      </c>
      <c r="F121" s="19" t="s">
        <v>429</v>
      </c>
      <c r="G121" s="19">
        <f>$E$121</f>
        <v>0.11222477272727273</v>
      </c>
      <c r="H121" s="19">
        <f t="shared" ref="H121:AJ121" si="43">$E$121</f>
        <v>0.11222477272727273</v>
      </c>
      <c r="I121" s="19">
        <f t="shared" si="43"/>
        <v>0.11222477272727273</v>
      </c>
      <c r="J121" s="19">
        <f t="shared" si="43"/>
        <v>0.11222477272727273</v>
      </c>
      <c r="K121" s="19">
        <f t="shared" si="43"/>
        <v>0.11222477272727273</v>
      </c>
      <c r="L121" s="19">
        <f t="shared" si="43"/>
        <v>0.11222477272727273</v>
      </c>
      <c r="M121" s="19">
        <f t="shared" si="43"/>
        <v>0.11222477272727273</v>
      </c>
      <c r="N121" s="19">
        <f t="shared" si="43"/>
        <v>0.11222477272727273</v>
      </c>
      <c r="O121" s="19">
        <f t="shared" si="43"/>
        <v>0.11222477272727273</v>
      </c>
      <c r="P121" s="19">
        <f t="shared" si="43"/>
        <v>0.11222477272727273</v>
      </c>
      <c r="Q121" s="19">
        <f t="shared" si="43"/>
        <v>0.11222477272727273</v>
      </c>
      <c r="R121" s="19">
        <f t="shared" si="43"/>
        <v>0.11222477272727273</v>
      </c>
      <c r="S121" s="19">
        <f t="shared" si="43"/>
        <v>0.11222477272727273</v>
      </c>
      <c r="T121" s="19">
        <f t="shared" si="43"/>
        <v>0.11222477272727273</v>
      </c>
      <c r="U121" s="19">
        <f t="shared" si="43"/>
        <v>0.11222477272727273</v>
      </c>
      <c r="V121" s="19">
        <f t="shared" si="43"/>
        <v>0.11222477272727273</v>
      </c>
      <c r="W121" s="19">
        <f t="shared" si="43"/>
        <v>0.11222477272727273</v>
      </c>
      <c r="X121" s="19">
        <f t="shared" si="43"/>
        <v>0.11222477272727273</v>
      </c>
      <c r="Y121" s="19">
        <f t="shared" si="43"/>
        <v>0.11222477272727273</v>
      </c>
      <c r="Z121" s="19">
        <f t="shared" si="43"/>
        <v>0.11222477272727273</v>
      </c>
      <c r="AA121" s="19">
        <f t="shared" si="43"/>
        <v>0.11222477272727273</v>
      </c>
      <c r="AB121" s="19">
        <f t="shared" si="43"/>
        <v>0.11222477272727273</v>
      </c>
      <c r="AC121" s="19">
        <f t="shared" si="43"/>
        <v>0.11222477272727273</v>
      </c>
      <c r="AD121" s="19">
        <f t="shared" si="43"/>
        <v>0.11222477272727273</v>
      </c>
      <c r="AE121" s="19">
        <f t="shared" si="43"/>
        <v>0.11222477272727273</v>
      </c>
      <c r="AF121" s="19">
        <f t="shared" si="43"/>
        <v>0.11222477272727273</v>
      </c>
      <c r="AG121" s="19">
        <f t="shared" si="43"/>
        <v>0.11222477272727273</v>
      </c>
      <c r="AH121" s="19">
        <f t="shared" si="43"/>
        <v>0.11222477272727273</v>
      </c>
      <c r="AI121" s="19">
        <f t="shared" si="43"/>
        <v>0.11222477272727273</v>
      </c>
      <c r="AJ121" s="19">
        <f t="shared" si="43"/>
        <v>0.11222477272727273</v>
      </c>
    </row>
    <row r="122" spans="1:36" ht="35" x14ac:dyDescent="0.45">
      <c r="A122" s="34"/>
      <c r="B122" s="4" t="s">
        <v>299</v>
      </c>
      <c r="C122" s="4" t="s">
        <v>343</v>
      </c>
      <c r="D122" s="4" t="s">
        <v>416</v>
      </c>
      <c r="E122" s="19">
        <v>0.17324560606060607</v>
      </c>
      <c r="F122" s="19" t="s">
        <v>429</v>
      </c>
      <c r="G122" s="19">
        <f>$E$122</f>
        <v>0.17324560606060607</v>
      </c>
      <c r="H122" s="19">
        <f t="shared" ref="H122:AJ122" si="44">$E$122</f>
        <v>0.17324560606060607</v>
      </c>
      <c r="I122" s="19">
        <f t="shared" si="44"/>
        <v>0.17324560606060607</v>
      </c>
      <c r="J122" s="19">
        <f t="shared" si="44"/>
        <v>0.17324560606060607</v>
      </c>
      <c r="K122" s="19">
        <f t="shared" si="44"/>
        <v>0.17324560606060607</v>
      </c>
      <c r="L122" s="19">
        <f t="shared" si="44"/>
        <v>0.17324560606060607</v>
      </c>
      <c r="M122" s="19">
        <f t="shared" si="44"/>
        <v>0.17324560606060607</v>
      </c>
      <c r="N122" s="19">
        <f t="shared" si="44"/>
        <v>0.17324560606060607</v>
      </c>
      <c r="O122" s="19">
        <f t="shared" si="44"/>
        <v>0.17324560606060607</v>
      </c>
      <c r="P122" s="19">
        <f t="shared" si="44"/>
        <v>0.17324560606060607</v>
      </c>
      <c r="Q122" s="19">
        <f t="shared" si="44"/>
        <v>0.17324560606060607</v>
      </c>
      <c r="R122" s="19">
        <f t="shared" si="44"/>
        <v>0.17324560606060607</v>
      </c>
      <c r="S122" s="19">
        <f t="shared" si="44"/>
        <v>0.17324560606060607</v>
      </c>
      <c r="T122" s="19">
        <f t="shared" si="44"/>
        <v>0.17324560606060607</v>
      </c>
      <c r="U122" s="19">
        <f t="shared" si="44"/>
        <v>0.17324560606060607</v>
      </c>
      <c r="V122" s="19">
        <f t="shared" si="44"/>
        <v>0.17324560606060607</v>
      </c>
      <c r="W122" s="19">
        <f t="shared" si="44"/>
        <v>0.17324560606060607</v>
      </c>
      <c r="X122" s="19">
        <f t="shared" si="44"/>
        <v>0.17324560606060607</v>
      </c>
      <c r="Y122" s="19">
        <f t="shared" si="44"/>
        <v>0.17324560606060607</v>
      </c>
      <c r="Z122" s="19">
        <f t="shared" si="44"/>
        <v>0.17324560606060607</v>
      </c>
      <c r="AA122" s="19">
        <f t="shared" si="44"/>
        <v>0.17324560606060607</v>
      </c>
      <c r="AB122" s="19">
        <f t="shared" si="44"/>
        <v>0.17324560606060607</v>
      </c>
      <c r="AC122" s="19">
        <f t="shared" si="44"/>
        <v>0.17324560606060607</v>
      </c>
      <c r="AD122" s="19">
        <f t="shared" si="44"/>
        <v>0.17324560606060607</v>
      </c>
      <c r="AE122" s="19">
        <f t="shared" si="44"/>
        <v>0.17324560606060607</v>
      </c>
      <c r="AF122" s="19">
        <f t="shared" si="44"/>
        <v>0.17324560606060607</v>
      </c>
      <c r="AG122" s="19">
        <f t="shared" si="44"/>
        <v>0.17324560606060607</v>
      </c>
      <c r="AH122" s="19">
        <f t="shared" si="44"/>
        <v>0.17324560606060607</v>
      </c>
      <c r="AI122" s="19">
        <f t="shared" si="44"/>
        <v>0.17324560606060607</v>
      </c>
      <c r="AJ122" s="19">
        <f t="shared" si="44"/>
        <v>0.17324560606060607</v>
      </c>
    </row>
    <row r="123" spans="1:36" ht="35" x14ac:dyDescent="0.45">
      <c r="A123" s="34"/>
      <c r="B123" s="4" t="s">
        <v>300</v>
      </c>
      <c r="C123" s="4" t="s">
        <v>344</v>
      </c>
      <c r="D123" s="4" t="s">
        <v>416</v>
      </c>
      <c r="E123" s="19">
        <v>0.27439916405433645</v>
      </c>
      <c r="F123" s="19" t="s">
        <v>429</v>
      </c>
      <c r="G123" s="19">
        <f>$E$123*0.9706^(G1-2020)</f>
        <v>0.26633182863113897</v>
      </c>
      <c r="H123" s="19">
        <f t="shared" ref="H123:AJ123" si="45">$E$123*0.9706^(H1-2020)</f>
        <v>0.25850167286938347</v>
      </c>
      <c r="I123" s="19">
        <f t="shared" si="45"/>
        <v>0.25090172368702363</v>
      </c>
      <c r="J123" s="19">
        <f t="shared" si="45"/>
        <v>0.24352521301062513</v>
      </c>
      <c r="K123" s="19">
        <f t="shared" si="45"/>
        <v>0.23636557174811276</v>
      </c>
      <c r="L123" s="19">
        <f t="shared" si="45"/>
        <v>0.22941642393871825</v>
      </c>
      <c r="M123" s="19">
        <f t="shared" si="45"/>
        <v>0.22267158107491997</v>
      </c>
      <c r="N123" s="19">
        <f t="shared" si="45"/>
        <v>0.21612503659131729</v>
      </c>
      <c r="O123" s="19">
        <f t="shared" si="45"/>
        <v>0.2097709605155326</v>
      </c>
      <c r="P123" s="19">
        <f t="shared" si="45"/>
        <v>0.20360369427637592</v>
      </c>
      <c r="Q123" s="19">
        <f t="shared" si="45"/>
        <v>0.19761774566465048</v>
      </c>
      <c r="R123" s="19">
        <f t="shared" si="45"/>
        <v>0.19180778394210976</v>
      </c>
      <c r="S123" s="19">
        <f t="shared" si="45"/>
        <v>0.18616863509421172</v>
      </c>
      <c r="T123" s="19">
        <f t="shared" si="45"/>
        <v>0.18069527722244191</v>
      </c>
      <c r="U123" s="19">
        <f t="shared" si="45"/>
        <v>0.17538283607210214</v>
      </c>
      <c r="V123" s="19">
        <f t="shared" si="45"/>
        <v>0.17022658069158234</v>
      </c>
      <c r="W123" s="19">
        <f t="shared" si="45"/>
        <v>0.16522191921924981</v>
      </c>
      <c r="X123" s="19">
        <f t="shared" si="45"/>
        <v>0.16036439479420386</v>
      </c>
      <c r="Y123" s="19">
        <f t="shared" si="45"/>
        <v>0.15564968158725428</v>
      </c>
      <c r="Z123" s="19">
        <f t="shared" si="45"/>
        <v>0.15107358094858903</v>
      </c>
      <c r="AA123" s="19">
        <f t="shared" si="45"/>
        <v>0.14663201766870054</v>
      </c>
      <c r="AB123" s="19">
        <f t="shared" si="45"/>
        <v>0.14232103634924073</v>
      </c>
      <c r="AC123" s="19">
        <f t="shared" si="45"/>
        <v>0.13813679788057304</v>
      </c>
      <c r="AD123" s="19">
        <f t="shared" si="45"/>
        <v>0.1340755760228842</v>
      </c>
      <c r="AE123" s="19">
        <f t="shared" si="45"/>
        <v>0.13013375408781142</v>
      </c>
      <c r="AF123" s="19">
        <f t="shared" si="45"/>
        <v>0.12630782171762975</v>
      </c>
      <c r="AG123" s="19">
        <f t="shared" si="45"/>
        <v>0.12259437175913145</v>
      </c>
      <c r="AH123" s="19">
        <f t="shared" si="45"/>
        <v>0.11899009722941299</v>
      </c>
      <c r="AI123" s="19">
        <f t="shared" si="45"/>
        <v>0.11549178837086825</v>
      </c>
      <c r="AJ123" s="19">
        <f t="shared" si="45"/>
        <v>0.11209632979276472</v>
      </c>
    </row>
    <row r="124" spans="1:36" ht="35" x14ac:dyDescent="0.45">
      <c r="A124" s="34"/>
      <c r="B124" s="4" t="s">
        <v>301</v>
      </c>
      <c r="C124" s="4" t="s">
        <v>345</v>
      </c>
      <c r="D124" s="4" t="s">
        <v>416</v>
      </c>
      <c r="E124" s="19">
        <v>0.5968181818181818</v>
      </c>
      <c r="F124" s="19" t="s">
        <v>429</v>
      </c>
      <c r="G124" s="19">
        <f>$E$124*0.9458^(G1-2020)</f>
        <v>0.56447063636363637</v>
      </c>
      <c r="H124" s="19">
        <f t="shared" ref="H124:AJ124" si="46">$E$124*0.9458^(H1-2020)</f>
        <v>0.53387632787272721</v>
      </c>
      <c r="I124" s="19">
        <f t="shared" si="46"/>
        <v>0.50494023090202533</v>
      </c>
      <c r="J124" s="19">
        <f t="shared" si="46"/>
        <v>0.47757247038713557</v>
      </c>
      <c r="K124" s="19">
        <f t="shared" si="46"/>
        <v>0.45168804249215277</v>
      </c>
      <c r="L124" s="19">
        <f t="shared" si="46"/>
        <v>0.42720655058907814</v>
      </c>
      <c r="M124" s="19">
        <f t="shared" si="46"/>
        <v>0.40405195554715007</v>
      </c>
      <c r="N124" s="19">
        <f t="shared" si="46"/>
        <v>0.38215233955649447</v>
      </c>
      <c r="O124" s="19">
        <f t="shared" si="46"/>
        <v>0.36143968275253247</v>
      </c>
      <c r="P124" s="19">
        <f t="shared" si="46"/>
        <v>0.34184965194734518</v>
      </c>
      <c r="Q124" s="19">
        <f t="shared" si="46"/>
        <v>0.32332140081179905</v>
      </c>
      <c r="R124" s="19">
        <f t="shared" si="46"/>
        <v>0.30579738088779956</v>
      </c>
      <c r="S124" s="19">
        <f t="shared" si="46"/>
        <v>0.28922316284368077</v>
      </c>
      <c r="T124" s="19">
        <f t="shared" si="46"/>
        <v>0.27354726741755331</v>
      </c>
      <c r="U124" s="19">
        <f t="shared" si="46"/>
        <v>0.25872100552352184</v>
      </c>
      <c r="V124" s="19">
        <f t="shared" si="46"/>
        <v>0.24469832702414696</v>
      </c>
      <c r="W124" s="19">
        <f t="shared" si="46"/>
        <v>0.23143567769943818</v>
      </c>
      <c r="X124" s="19">
        <f t="shared" si="46"/>
        <v>0.21889186396812862</v>
      </c>
      <c r="Y124" s="19">
        <f t="shared" si="46"/>
        <v>0.20702792494105604</v>
      </c>
      <c r="Z124" s="19">
        <f t="shared" si="46"/>
        <v>0.19580701140925078</v>
      </c>
      <c r="AA124" s="19">
        <f t="shared" si="46"/>
        <v>0.18519427139086939</v>
      </c>
      <c r="AB124" s="19">
        <f t="shared" si="46"/>
        <v>0.17515674188148428</v>
      </c>
      <c r="AC124" s="19">
        <f t="shared" si="46"/>
        <v>0.16566324647150782</v>
      </c>
      <c r="AD124" s="19">
        <f t="shared" si="46"/>
        <v>0.15668429851275209</v>
      </c>
      <c r="AE124" s="19">
        <f t="shared" si="46"/>
        <v>0.1481920095333609</v>
      </c>
      <c r="AF124" s="19">
        <f t="shared" si="46"/>
        <v>0.14016000261665273</v>
      </c>
      <c r="AG124" s="19">
        <f t="shared" si="46"/>
        <v>0.13256333047483015</v>
      </c>
      <c r="AH124" s="19">
        <f t="shared" si="46"/>
        <v>0.12537839796309436</v>
      </c>
      <c r="AI124" s="19">
        <f t="shared" si="46"/>
        <v>0.11858288879349463</v>
      </c>
      <c r="AJ124" s="19">
        <f t="shared" si="46"/>
        <v>0.11215569622088722</v>
      </c>
    </row>
    <row r="125" spans="1:36" ht="35" x14ac:dyDescent="0.45">
      <c r="A125" s="34"/>
      <c r="B125" s="4" t="s">
        <v>302</v>
      </c>
      <c r="C125" s="4" t="s">
        <v>346</v>
      </c>
      <c r="D125" s="4" t="s">
        <v>416</v>
      </c>
      <c r="E125" s="19">
        <v>0.4987793181818182</v>
      </c>
      <c r="F125" s="19" t="s">
        <v>429</v>
      </c>
      <c r="G125" s="19">
        <f>$E$125*0.9515^(G1-2020)</f>
        <v>0.47458852125000001</v>
      </c>
      <c r="H125" s="19">
        <f t="shared" ref="H125:AJ125" si="47">$E$125*0.9515^(H1-2020)</f>
        <v>0.45157097796937501</v>
      </c>
      <c r="I125" s="19">
        <f t="shared" si="47"/>
        <v>0.42966978553786028</v>
      </c>
      <c r="J125" s="19">
        <f t="shared" si="47"/>
        <v>0.40883080093927404</v>
      </c>
      <c r="K125" s="19">
        <f t="shared" si="47"/>
        <v>0.38900250709371925</v>
      </c>
      <c r="L125" s="19">
        <f t="shared" si="47"/>
        <v>0.37013588549967391</v>
      </c>
      <c r="M125" s="19">
        <f t="shared" si="47"/>
        <v>0.35218429505293969</v>
      </c>
      <c r="N125" s="19">
        <f t="shared" si="47"/>
        <v>0.33510335674287206</v>
      </c>
      <c r="O125" s="19">
        <f t="shared" si="47"/>
        <v>0.31885084394084279</v>
      </c>
      <c r="P125" s="19">
        <f t="shared" si="47"/>
        <v>0.30338657800971192</v>
      </c>
      <c r="Q125" s="19">
        <f t="shared" si="47"/>
        <v>0.28867232897624084</v>
      </c>
      <c r="R125" s="19">
        <f t="shared" si="47"/>
        <v>0.27467172102089316</v>
      </c>
      <c r="S125" s="19">
        <f t="shared" si="47"/>
        <v>0.26135014255137984</v>
      </c>
      <c r="T125" s="19">
        <f t="shared" si="47"/>
        <v>0.24867466063763793</v>
      </c>
      <c r="U125" s="19">
        <f t="shared" si="47"/>
        <v>0.23661393959671248</v>
      </c>
      <c r="V125" s="19">
        <f t="shared" si="47"/>
        <v>0.22513816352627192</v>
      </c>
      <c r="W125" s="19">
        <f t="shared" si="47"/>
        <v>0.21421896259524772</v>
      </c>
      <c r="X125" s="19">
        <f t="shared" si="47"/>
        <v>0.20382934290937821</v>
      </c>
      <c r="Y125" s="19">
        <f t="shared" si="47"/>
        <v>0.19394361977827337</v>
      </c>
      <c r="Z125" s="19">
        <f t="shared" si="47"/>
        <v>0.18453735421902709</v>
      </c>
      <c r="AA125" s="19">
        <f t="shared" si="47"/>
        <v>0.17558729253940428</v>
      </c>
      <c r="AB125" s="19">
        <f t="shared" si="47"/>
        <v>0.16707130885124319</v>
      </c>
      <c r="AC125" s="19">
        <f t="shared" si="47"/>
        <v>0.15896835037195789</v>
      </c>
      <c r="AD125" s="19">
        <f t="shared" si="47"/>
        <v>0.15125838537891789</v>
      </c>
      <c r="AE125" s="19">
        <f t="shared" si="47"/>
        <v>0.14392235368804038</v>
      </c>
      <c r="AF125" s="19">
        <f t="shared" si="47"/>
        <v>0.1369421195341704</v>
      </c>
      <c r="AG125" s="19">
        <f t="shared" si="47"/>
        <v>0.13030042673676315</v>
      </c>
      <c r="AH125" s="19">
        <f t="shared" si="47"/>
        <v>0.12398085604003013</v>
      </c>
      <c r="AI125" s="19">
        <f t="shared" si="47"/>
        <v>0.11796778452208866</v>
      </c>
      <c r="AJ125" s="19">
        <f t="shared" si="47"/>
        <v>0.11224634697276736</v>
      </c>
    </row>
    <row r="126" spans="1:36" ht="35" x14ac:dyDescent="0.45">
      <c r="A126" s="34"/>
      <c r="B126" s="4" t="s">
        <v>303</v>
      </c>
      <c r="C126" s="4" t="s">
        <v>347</v>
      </c>
      <c r="D126" s="4" t="s">
        <v>416</v>
      </c>
      <c r="E126" s="19">
        <v>2.1806818181818182</v>
      </c>
      <c r="F126" s="19" t="s">
        <v>429</v>
      </c>
      <c r="G126" s="19">
        <f>$E$126*0.9058^(G1-2020)</f>
        <v>1.9752615909090909</v>
      </c>
      <c r="H126" s="19">
        <f t="shared" ref="H126:AJ126" si="48">$E$126*0.9058^(H1-2020)</f>
        <v>1.7891919490454549</v>
      </c>
      <c r="I126" s="19">
        <f t="shared" si="48"/>
        <v>1.6206500674453732</v>
      </c>
      <c r="J126" s="19">
        <f t="shared" si="48"/>
        <v>1.4679848310920189</v>
      </c>
      <c r="K126" s="19">
        <f t="shared" si="48"/>
        <v>1.3297006600031509</v>
      </c>
      <c r="L126" s="19">
        <f t="shared" si="48"/>
        <v>1.2044428578308541</v>
      </c>
      <c r="M126" s="19">
        <f t="shared" si="48"/>
        <v>1.0909843406231878</v>
      </c>
      <c r="N126" s="19">
        <f t="shared" si="48"/>
        <v>0.98821361573648347</v>
      </c>
      <c r="O126" s="19">
        <f t="shared" si="48"/>
        <v>0.89512389313410679</v>
      </c>
      <c r="P126" s="19">
        <f t="shared" si="48"/>
        <v>0.81080322240087399</v>
      </c>
      <c r="Q126" s="19">
        <f t="shared" si="48"/>
        <v>0.7344255588507117</v>
      </c>
      <c r="R126" s="19">
        <f t="shared" si="48"/>
        <v>0.66524267120697467</v>
      </c>
      <c r="S126" s="19">
        <f t="shared" si="48"/>
        <v>0.60257681157927778</v>
      </c>
      <c r="T126" s="19">
        <f t="shared" si="48"/>
        <v>0.54581407592850983</v>
      </c>
      <c r="U126" s="19">
        <f t="shared" si="48"/>
        <v>0.49439838997604424</v>
      </c>
      <c r="V126" s="19">
        <f t="shared" si="48"/>
        <v>0.44782606164030087</v>
      </c>
      <c r="W126" s="19">
        <f t="shared" si="48"/>
        <v>0.40564084663378458</v>
      </c>
      <c r="X126" s="19">
        <f t="shared" si="48"/>
        <v>0.36742947888088207</v>
      </c>
      <c r="Y126" s="19">
        <f t="shared" si="48"/>
        <v>0.33281762197030301</v>
      </c>
      <c r="Z126" s="19">
        <f t="shared" si="48"/>
        <v>0.30146620198070045</v>
      </c>
      <c r="AA126" s="19">
        <f t="shared" si="48"/>
        <v>0.27306808575411851</v>
      </c>
      <c r="AB126" s="19">
        <f t="shared" si="48"/>
        <v>0.24734507207608056</v>
      </c>
      <c r="AC126" s="19">
        <f t="shared" si="48"/>
        <v>0.2240451662865138</v>
      </c>
      <c r="AD126" s="19">
        <f t="shared" si="48"/>
        <v>0.2029401116223242</v>
      </c>
      <c r="AE126" s="19">
        <f t="shared" si="48"/>
        <v>0.18382315310750127</v>
      </c>
      <c r="AF126" s="19">
        <f t="shared" si="48"/>
        <v>0.16650701208477467</v>
      </c>
      <c r="AG126" s="19">
        <f t="shared" si="48"/>
        <v>0.15082205154638892</v>
      </c>
      <c r="AH126" s="19">
        <f t="shared" si="48"/>
        <v>0.13661461429071906</v>
      </c>
      <c r="AI126" s="19">
        <f t="shared" si="48"/>
        <v>0.12374551762453334</v>
      </c>
      <c r="AJ126" s="19">
        <f t="shared" si="48"/>
        <v>0.1120886898643023</v>
      </c>
    </row>
    <row r="127" spans="1:36" ht="35" x14ac:dyDescent="0.45">
      <c r="A127" s="34"/>
      <c r="B127" s="4" t="s">
        <v>304</v>
      </c>
      <c r="C127" s="4" t="s">
        <v>348</v>
      </c>
      <c r="D127" s="4" t="s">
        <v>416</v>
      </c>
      <c r="E127" s="19">
        <v>0.56056856617647055</v>
      </c>
      <c r="F127" s="19" t="s">
        <v>429</v>
      </c>
      <c r="G127" s="19">
        <f>$E$127</f>
        <v>0.56056856617647055</v>
      </c>
      <c r="H127" s="19">
        <f t="shared" ref="H127:AJ127" si="49">$E$127</f>
        <v>0.56056856617647055</v>
      </c>
      <c r="I127" s="19">
        <f t="shared" si="49"/>
        <v>0.56056856617647055</v>
      </c>
      <c r="J127" s="19">
        <f t="shared" si="49"/>
        <v>0.56056856617647055</v>
      </c>
      <c r="K127" s="19">
        <f t="shared" si="49"/>
        <v>0.56056856617647055</v>
      </c>
      <c r="L127" s="19">
        <f t="shared" si="49"/>
        <v>0.56056856617647055</v>
      </c>
      <c r="M127" s="19">
        <f t="shared" si="49"/>
        <v>0.56056856617647055</v>
      </c>
      <c r="N127" s="19">
        <f t="shared" si="49"/>
        <v>0.56056856617647055</v>
      </c>
      <c r="O127" s="19">
        <f t="shared" si="49"/>
        <v>0.56056856617647055</v>
      </c>
      <c r="P127" s="19">
        <f t="shared" si="49"/>
        <v>0.56056856617647055</v>
      </c>
      <c r="Q127" s="19">
        <f t="shared" si="49"/>
        <v>0.56056856617647055</v>
      </c>
      <c r="R127" s="19">
        <f t="shared" si="49"/>
        <v>0.56056856617647055</v>
      </c>
      <c r="S127" s="19">
        <f t="shared" si="49"/>
        <v>0.56056856617647055</v>
      </c>
      <c r="T127" s="19">
        <f t="shared" si="49"/>
        <v>0.56056856617647055</v>
      </c>
      <c r="U127" s="19">
        <f t="shared" si="49"/>
        <v>0.56056856617647055</v>
      </c>
      <c r="V127" s="19">
        <f t="shared" si="49"/>
        <v>0.56056856617647055</v>
      </c>
      <c r="W127" s="19">
        <f t="shared" si="49"/>
        <v>0.56056856617647055</v>
      </c>
      <c r="X127" s="19">
        <f t="shared" si="49"/>
        <v>0.56056856617647055</v>
      </c>
      <c r="Y127" s="19">
        <f t="shared" si="49"/>
        <v>0.56056856617647055</v>
      </c>
      <c r="Z127" s="19">
        <f t="shared" si="49"/>
        <v>0.56056856617647055</v>
      </c>
      <c r="AA127" s="19">
        <f t="shared" si="49"/>
        <v>0.56056856617647055</v>
      </c>
      <c r="AB127" s="19">
        <f t="shared" si="49"/>
        <v>0.56056856617647055</v>
      </c>
      <c r="AC127" s="19">
        <f t="shared" si="49"/>
        <v>0.56056856617647055</v>
      </c>
      <c r="AD127" s="19">
        <f t="shared" si="49"/>
        <v>0.56056856617647055</v>
      </c>
      <c r="AE127" s="19">
        <f t="shared" si="49"/>
        <v>0.56056856617647055</v>
      </c>
      <c r="AF127" s="19">
        <f t="shared" si="49"/>
        <v>0.56056856617647055</v>
      </c>
      <c r="AG127" s="19">
        <f t="shared" si="49"/>
        <v>0.56056856617647055</v>
      </c>
      <c r="AH127" s="19">
        <f t="shared" si="49"/>
        <v>0.56056856617647055</v>
      </c>
      <c r="AI127" s="19">
        <f t="shared" si="49"/>
        <v>0.56056856617647055</v>
      </c>
      <c r="AJ127" s="19">
        <f t="shared" si="49"/>
        <v>0.56056856617647055</v>
      </c>
    </row>
    <row r="128" spans="1:36" ht="35" x14ac:dyDescent="0.45">
      <c r="A128" s="34"/>
      <c r="B128" s="4" t="s">
        <v>305</v>
      </c>
      <c r="C128" s="4" t="s">
        <v>349</v>
      </c>
      <c r="D128" s="4" t="s">
        <v>416</v>
      </c>
      <c r="E128" s="19">
        <v>5.1547957516339872E-2</v>
      </c>
      <c r="F128" s="19" t="s">
        <v>429</v>
      </c>
      <c r="G128" s="19">
        <f>$E$128</f>
        <v>5.1547957516339872E-2</v>
      </c>
      <c r="H128" s="19">
        <f t="shared" ref="H128:AJ128" si="50">$E$128</f>
        <v>5.1547957516339872E-2</v>
      </c>
      <c r="I128" s="19">
        <f t="shared" si="50"/>
        <v>5.1547957516339872E-2</v>
      </c>
      <c r="J128" s="19">
        <f t="shared" si="50"/>
        <v>5.1547957516339872E-2</v>
      </c>
      <c r="K128" s="19">
        <f t="shared" si="50"/>
        <v>5.1547957516339872E-2</v>
      </c>
      <c r="L128" s="19">
        <f t="shared" si="50"/>
        <v>5.1547957516339872E-2</v>
      </c>
      <c r="M128" s="19">
        <f t="shared" si="50"/>
        <v>5.1547957516339872E-2</v>
      </c>
      <c r="N128" s="19">
        <f t="shared" si="50"/>
        <v>5.1547957516339872E-2</v>
      </c>
      <c r="O128" s="19">
        <f t="shared" si="50"/>
        <v>5.1547957516339872E-2</v>
      </c>
      <c r="P128" s="19">
        <f t="shared" si="50"/>
        <v>5.1547957516339872E-2</v>
      </c>
      <c r="Q128" s="19">
        <f t="shared" si="50"/>
        <v>5.1547957516339872E-2</v>
      </c>
      <c r="R128" s="19">
        <f t="shared" si="50"/>
        <v>5.1547957516339872E-2</v>
      </c>
      <c r="S128" s="19">
        <f t="shared" si="50"/>
        <v>5.1547957516339872E-2</v>
      </c>
      <c r="T128" s="19">
        <f t="shared" si="50"/>
        <v>5.1547957516339872E-2</v>
      </c>
      <c r="U128" s="19">
        <f t="shared" si="50"/>
        <v>5.1547957516339872E-2</v>
      </c>
      <c r="V128" s="19">
        <f t="shared" si="50"/>
        <v>5.1547957516339872E-2</v>
      </c>
      <c r="W128" s="19">
        <f t="shared" si="50"/>
        <v>5.1547957516339872E-2</v>
      </c>
      <c r="X128" s="19">
        <f t="shared" si="50"/>
        <v>5.1547957516339872E-2</v>
      </c>
      <c r="Y128" s="19">
        <f t="shared" si="50"/>
        <v>5.1547957516339872E-2</v>
      </c>
      <c r="Z128" s="19">
        <f t="shared" si="50"/>
        <v>5.1547957516339872E-2</v>
      </c>
      <c r="AA128" s="19">
        <f t="shared" si="50"/>
        <v>5.1547957516339872E-2</v>
      </c>
      <c r="AB128" s="19">
        <f t="shared" si="50"/>
        <v>5.1547957516339872E-2</v>
      </c>
      <c r="AC128" s="19">
        <f t="shared" si="50"/>
        <v>5.1547957516339872E-2</v>
      </c>
      <c r="AD128" s="19">
        <f t="shared" si="50"/>
        <v>5.1547957516339872E-2</v>
      </c>
      <c r="AE128" s="19">
        <f t="shared" si="50"/>
        <v>5.1547957516339872E-2</v>
      </c>
      <c r="AF128" s="19">
        <f t="shared" si="50"/>
        <v>5.1547957516339872E-2</v>
      </c>
      <c r="AG128" s="19">
        <f t="shared" si="50"/>
        <v>5.1547957516339872E-2</v>
      </c>
      <c r="AH128" s="19">
        <f t="shared" si="50"/>
        <v>5.1547957516339872E-2</v>
      </c>
      <c r="AI128" s="19">
        <f t="shared" si="50"/>
        <v>5.1547957516339872E-2</v>
      </c>
      <c r="AJ128" s="19">
        <f t="shared" si="50"/>
        <v>5.1547957516339872E-2</v>
      </c>
    </row>
    <row r="129" spans="1:36" ht="35" x14ac:dyDescent="0.45">
      <c r="A129" s="34"/>
      <c r="B129" s="4" t="s">
        <v>306</v>
      </c>
      <c r="C129" s="4" t="s">
        <v>350</v>
      </c>
      <c r="D129" s="4" t="s">
        <v>416</v>
      </c>
      <c r="E129" s="19">
        <v>0.25992647058823531</v>
      </c>
      <c r="F129" s="19" t="s">
        <v>429</v>
      </c>
      <c r="G129" s="19">
        <f>$E$129*0.9475^(G1-2020)</f>
        <v>0.24628033088235296</v>
      </c>
      <c r="H129" s="19">
        <f t="shared" ref="H129:AJ129" si="51">$E$129*0.9475^(H1-2020)</f>
        <v>0.23335061351102943</v>
      </c>
      <c r="I129" s="19">
        <f t="shared" si="51"/>
        <v>0.22109970630170039</v>
      </c>
      <c r="J129" s="19">
        <f t="shared" si="51"/>
        <v>0.20949197172086115</v>
      </c>
      <c r="K129" s="19">
        <f t="shared" si="51"/>
        <v>0.19849364320551593</v>
      </c>
      <c r="L129" s="19">
        <f t="shared" si="51"/>
        <v>0.18807272693722638</v>
      </c>
      <c r="M129" s="19">
        <f t="shared" si="51"/>
        <v>0.17819890877302197</v>
      </c>
      <c r="N129" s="19">
        <f t="shared" si="51"/>
        <v>0.16884346606243833</v>
      </c>
      <c r="O129" s="19">
        <f t="shared" si="51"/>
        <v>0.15997918409416031</v>
      </c>
      <c r="P129" s="19">
        <f t="shared" si="51"/>
        <v>0.15158027692921691</v>
      </c>
      <c r="Q129" s="19">
        <f t="shared" si="51"/>
        <v>0.14362231239043299</v>
      </c>
      <c r="R129" s="19">
        <f t="shared" si="51"/>
        <v>0.13608214098993529</v>
      </c>
      <c r="S129" s="19">
        <f t="shared" si="51"/>
        <v>0.12893782858796368</v>
      </c>
      <c r="T129" s="19">
        <f t="shared" si="51"/>
        <v>0.1221685925870956</v>
      </c>
      <c r="U129" s="19">
        <f t="shared" si="51"/>
        <v>0.11575474147627307</v>
      </c>
      <c r="V129" s="19">
        <f t="shared" si="51"/>
        <v>0.10967761754876874</v>
      </c>
      <c r="W129" s="19">
        <f t="shared" si="51"/>
        <v>0.10391954262745838</v>
      </c>
      <c r="X129" s="19">
        <f t="shared" si="51"/>
        <v>9.8463766639516823E-2</v>
      </c>
      <c r="Y129" s="19">
        <f t="shared" si="51"/>
        <v>9.3294418890942185E-2</v>
      </c>
      <c r="Z129" s="19">
        <f t="shared" si="51"/>
        <v>8.8396461899167736E-2</v>
      </c>
      <c r="AA129" s="19">
        <f t="shared" si="51"/>
        <v>8.3755647649461432E-2</v>
      </c>
      <c r="AB129" s="19">
        <f t="shared" si="51"/>
        <v>7.9358476147864704E-2</v>
      </c>
      <c r="AC129" s="19">
        <f t="shared" si="51"/>
        <v>7.5192156150101802E-2</v>
      </c>
      <c r="AD129" s="19">
        <f t="shared" si="51"/>
        <v>7.1244567952221463E-2</v>
      </c>
      <c r="AE129" s="19">
        <f t="shared" si="51"/>
        <v>6.7504228134729838E-2</v>
      </c>
      <c r="AF129" s="19">
        <f t="shared" si="51"/>
        <v>6.3960256157656534E-2</v>
      </c>
      <c r="AG129" s="19">
        <f t="shared" si="51"/>
        <v>6.0602342709379559E-2</v>
      </c>
      <c r="AH129" s="19">
        <f t="shared" si="51"/>
        <v>5.7420719717137129E-2</v>
      </c>
      <c r="AI129" s="19">
        <f t="shared" si="51"/>
        <v>5.4406131931987435E-2</v>
      </c>
      <c r="AJ129" s="19">
        <f t="shared" si="51"/>
        <v>5.1549810005558097E-2</v>
      </c>
    </row>
    <row r="130" spans="1:36" ht="35" x14ac:dyDescent="0.45">
      <c r="A130" s="34"/>
      <c r="B130" s="4" t="s">
        <v>311</v>
      </c>
      <c r="C130" s="4" t="s">
        <v>351</v>
      </c>
      <c r="D130" s="4" t="s">
        <v>416</v>
      </c>
      <c r="E130" s="19">
        <v>0.25992647058823531</v>
      </c>
      <c r="F130" s="19" t="s">
        <v>429</v>
      </c>
      <c r="G130" s="19">
        <f>$E$130*0.9475^(G1-2020)</f>
        <v>0.24628033088235296</v>
      </c>
      <c r="H130" s="19">
        <f t="shared" ref="H130:AJ130" si="52">$E$130*0.9475^(H1-2020)</f>
        <v>0.23335061351102943</v>
      </c>
      <c r="I130" s="19">
        <f t="shared" si="52"/>
        <v>0.22109970630170039</v>
      </c>
      <c r="J130" s="19">
        <f t="shared" si="52"/>
        <v>0.20949197172086115</v>
      </c>
      <c r="K130" s="19">
        <f t="shared" si="52"/>
        <v>0.19849364320551593</v>
      </c>
      <c r="L130" s="19">
        <f t="shared" si="52"/>
        <v>0.18807272693722638</v>
      </c>
      <c r="M130" s="19">
        <f t="shared" si="52"/>
        <v>0.17819890877302197</v>
      </c>
      <c r="N130" s="19">
        <f t="shared" si="52"/>
        <v>0.16884346606243833</v>
      </c>
      <c r="O130" s="19">
        <f t="shared" si="52"/>
        <v>0.15997918409416031</v>
      </c>
      <c r="P130" s="19">
        <f t="shared" si="52"/>
        <v>0.15158027692921691</v>
      </c>
      <c r="Q130" s="19">
        <f t="shared" si="52"/>
        <v>0.14362231239043299</v>
      </c>
      <c r="R130" s="19">
        <f t="shared" si="52"/>
        <v>0.13608214098993529</v>
      </c>
      <c r="S130" s="19">
        <f t="shared" si="52"/>
        <v>0.12893782858796368</v>
      </c>
      <c r="T130" s="19">
        <f t="shared" si="52"/>
        <v>0.1221685925870956</v>
      </c>
      <c r="U130" s="19">
        <f t="shared" si="52"/>
        <v>0.11575474147627307</v>
      </c>
      <c r="V130" s="19">
        <f t="shared" si="52"/>
        <v>0.10967761754876874</v>
      </c>
      <c r="W130" s="19">
        <f t="shared" si="52"/>
        <v>0.10391954262745838</v>
      </c>
      <c r="X130" s="19">
        <f t="shared" si="52"/>
        <v>9.8463766639516823E-2</v>
      </c>
      <c r="Y130" s="19">
        <f t="shared" si="52"/>
        <v>9.3294418890942185E-2</v>
      </c>
      <c r="Z130" s="19">
        <f t="shared" si="52"/>
        <v>8.8396461899167736E-2</v>
      </c>
      <c r="AA130" s="19">
        <f t="shared" si="52"/>
        <v>8.3755647649461432E-2</v>
      </c>
      <c r="AB130" s="19">
        <f t="shared" si="52"/>
        <v>7.9358476147864704E-2</v>
      </c>
      <c r="AC130" s="19">
        <f t="shared" si="52"/>
        <v>7.5192156150101802E-2</v>
      </c>
      <c r="AD130" s="19">
        <f t="shared" si="52"/>
        <v>7.1244567952221463E-2</v>
      </c>
      <c r="AE130" s="19">
        <f t="shared" si="52"/>
        <v>6.7504228134729838E-2</v>
      </c>
      <c r="AF130" s="19">
        <f t="shared" si="52"/>
        <v>6.3960256157656534E-2</v>
      </c>
      <c r="AG130" s="19">
        <f t="shared" si="52"/>
        <v>6.0602342709379559E-2</v>
      </c>
      <c r="AH130" s="19">
        <f t="shared" si="52"/>
        <v>5.7420719717137129E-2</v>
      </c>
      <c r="AI130" s="19">
        <f t="shared" si="52"/>
        <v>5.4406131931987435E-2</v>
      </c>
      <c r="AJ130" s="19">
        <f t="shared" si="52"/>
        <v>5.1549810005558097E-2</v>
      </c>
    </row>
    <row r="131" spans="1:36" ht="35" x14ac:dyDescent="0.45">
      <c r="A131" s="34"/>
      <c r="B131" s="4" t="s">
        <v>307</v>
      </c>
      <c r="C131" s="4" t="s">
        <v>352</v>
      </c>
      <c r="D131" s="4" t="s">
        <v>416</v>
      </c>
      <c r="E131" s="19">
        <v>0.88375000000000004</v>
      </c>
      <c r="F131" s="19" t="s">
        <v>429</v>
      </c>
      <c r="G131" s="19">
        <f>$E$131*0.9096^(G1-2020)</f>
        <v>0.80385899999999999</v>
      </c>
      <c r="H131" s="19">
        <f t="shared" ref="H131:AJ131" si="53">$E$131*0.9096^(H1-2020)</f>
        <v>0.73119014639999991</v>
      </c>
      <c r="I131" s="19">
        <f t="shared" si="53"/>
        <v>0.66509055716543997</v>
      </c>
      <c r="J131" s="19">
        <f t="shared" si="53"/>
        <v>0.60496637079768412</v>
      </c>
      <c r="K131" s="19">
        <f t="shared" si="53"/>
        <v>0.55027741087757354</v>
      </c>
      <c r="L131" s="19">
        <f t="shared" si="53"/>
        <v>0.50053233293424082</v>
      </c>
      <c r="M131" s="19">
        <f t="shared" si="53"/>
        <v>0.45528421003698549</v>
      </c>
      <c r="N131" s="19">
        <f t="shared" si="53"/>
        <v>0.41412651744964196</v>
      </c>
      <c r="O131" s="19">
        <f t="shared" si="53"/>
        <v>0.37668948027219429</v>
      </c>
      <c r="P131" s="19">
        <f t="shared" si="53"/>
        <v>0.3426367512555879</v>
      </c>
      <c r="Q131" s="19">
        <f t="shared" si="53"/>
        <v>0.31166238894208276</v>
      </c>
      <c r="R131" s="19">
        <f t="shared" si="53"/>
        <v>0.2834881089817185</v>
      </c>
      <c r="S131" s="19">
        <f t="shared" si="53"/>
        <v>0.25786078392977113</v>
      </c>
      <c r="T131" s="19">
        <f t="shared" si="53"/>
        <v>0.23455016906251977</v>
      </c>
      <c r="U131" s="19">
        <f t="shared" si="53"/>
        <v>0.21334683377926802</v>
      </c>
      <c r="V131" s="19">
        <f t="shared" si="53"/>
        <v>0.19406028000562217</v>
      </c>
      <c r="W131" s="19">
        <f t="shared" si="53"/>
        <v>0.1765172306931139</v>
      </c>
      <c r="X131" s="19">
        <f t="shared" si="53"/>
        <v>0.16056007303845643</v>
      </c>
      <c r="Y131" s="19">
        <f t="shared" si="53"/>
        <v>0.14604544243577994</v>
      </c>
      <c r="Z131" s="19">
        <f t="shared" si="53"/>
        <v>0.13284293443958542</v>
      </c>
      <c r="AA131" s="19">
        <f t="shared" si="53"/>
        <v>0.12083393316624691</v>
      </c>
      <c r="AB131" s="19">
        <f t="shared" si="53"/>
        <v>0.10991054560801818</v>
      </c>
      <c r="AC131" s="19">
        <f t="shared" si="53"/>
        <v>9.9974632285053336E-2</v>
      </c>
      <c r="AD131" s="19">
        <f t="shared" si="53"/>
        <v>9.0936925526484511E-2</v>
      </c>
      <c r="AE131" s="19">
        <f t="shared" si="53"/>
        <v>8.2716227458890304E-2</v>
      </c>
      <c r="AF131" s="19">
        <f t="shared" si="53"/>
        <v>7.5238680496606619E-2</v>
      </c>
      <c r="AG131" s="19">
        <f t="shared" si="53"/>
        <v>6.8437103779713376E-2</v>
      </c>
      <c r="AH131" s="19">
        <f t="shared" si="53"/>
        <v>6.2250389598027284E-2</v>
      </c>
      <c r="AI131" s="19">
        <f t="shared" si="53"/>
        <v>5.6622954378365627E-2</v>
      </c>
      <c r="AJ131" s="19">
        <f t="shared" si="53"/>
        <v>5.1504239302561365E-2</v>
      </c>
    </row>
    <row r="132" spans="1:36" ht="35" x14ac:dyDescent="0.45">
      <c r="A132" s="34"/>
      <c r="B132" s="4" t="s">
        <v>367</v>
      </c>
      <c r="C132" s="4" t="s">
        <v>184</v>
      </c>
      <c r="D132" s="4" t="s">
        <v>416</v>
      </c>
      <c r="E132" s="19">
        <v>0.259256843575419</v>
      </c>
      <c r="F132" s="19" t="s">
        <v>429</v>
      </c>
      <c r="G132" s="19">
        <f>$E$132</f>
        <v>0.259256843575419</v>
      </c>
      <c r="H132" s="19">
        <f t="shared" ref="H132:AJ132" si="54">$E$132</f>
        <v>0.259256843575419</v>
      </c>
      <c r="I132" s="19">
        <f t="shared" si="54"/>
        <v>0.259256843575419</v>
      </c>
      <c r="J132" s="19">
        <f t="shared" si="54"/>
        <v>0.259256843575419</v>
      </c>
      <c r="K132" s="19">
        <f t="shared" si="54"/>
        <v>0.259256843575419</v>
      </c>
      <c r="L132" s="19">
        <f t="shared" si="54"/>
        <v>0.259256843575419</v>
      </c>
      <c r="M132" s="19">
        <f t="shared" si="54"/>
        <v>0.259256843575419</v>
      </c>
      <c r="N132" s="19">
        <f t="shared" si="54"/>
        <v>0.259256843575419</v>
      </c>
      <c r="O132" s="19">
        <f t="shared" si="54"/>
        <v>0.259256843575419</v>
      </c>
      <c r="P132" s="19">
        <f t="shared" si="54"/>
        <v>0.259256843575419</v>
      </c>
      <c r="Q132" s="19">
        <f t="shared" si="54"/>
        <v>0.259256843575419</v>
      </c>
      <c r="R132" s="19">
        <f t="shared" si="54"/>
        <v>0.259256843575419</v>
      </c>
      <c r="S132" s="19">
        <f t="shared" si="54"/>
        <v>0.259256843575419</v>
      </c>
      <c r="T132" s="19">
        <f t="shared" si="54"/>
        <v>0.259256843575419</v>
      </c>
      <c r="U132" s="19">
        <f t="shared" si="54"/>
        <v>0.259256843575419</v>
      </c>
      <c r="V132" s="19">
        <f t="shared" si="54"/>
        <v>0.259256843575419</v>
      </c>
      <c r="W132" s="19">
        <f t="shared" si="54"/>
        <v>0.259256843575419</v>
      </c>
      <c r="X132" s="19">
        <f t="shared" si="54"/>
        <v>0.259256843575419</v>
      </c>
      <c r="Y132" s="19">
        <f t="shared" si="54"/>
        <v>0.259256843575419</v>
      </c>
      <c r="Z132" s="19">
        <f t="shared" si="54"/>
        <v>0.259256843575419</v>
      </c>
      <c r="AA132" s="19">
        <f t="shared" si="54"/>
        <v>0.259256843575419</v>
      </c>
      <c r="AB132" s="19">
        <f t="shared" si="54"/>
        <v>0.259256843575419</v>
      </c>
      <c r="AC132" s="19">
        <f t="shared" si="54"/>
        <v>0.259256843575419</v>
      </c>
      <c r="AD132" s="19">
        <f t="shared" si="54"/>
        <v>0.259256843575419</v>
      </c>
      <c r="AE132" s="19">
        <f t="shared" si="54"/>
        <v>0.259256843575419</v>
      </c>
      <c r="AF132" s="19">
        <f t="shared" si="54"/>
        <v>0.259256843575419</v>
      </c>
      <c r="AG132" s="19">
        <f t="shared" si="54"/>
        <v>0.259256843575419</v>
      </c>
      <c r="AH132" s="19">
        <f t="shared" si="54"/>
        <v>0.259256843575419</v>
      </c>
      <c r="AI132" s="19">
        <f t="shared" si="54"/>
        <v>0.259256843575419</v>
      </c>
      <c r="AJ132" s="19">
        <f t="shared" si="54"/>
        <v>0.259256843575419</v>
      </c>
    </row>
    <row r="133" spans="1:36" ht="35" x14ac:dyDescent="0.45">
      <c r="A133" s="34"/>
      <c r="B133" s="4" t="s">
        <v>308</v>
      </c>
      <c r="C133" s="4" t="s">
        <v>182</v>
      </c>
      <c r="D133" s="4" t="s">
        <v>416</v>
      </c>
      <c r="E133" s="19">
        <v>7.9467230498655086E-3</v>
      </c>
      <c r="F133" s="19" t="s">
        <v>429</v>
      </c>
      <c r="G133" s="19">
        <f>$E$133</f>
        <v>7.9467230498655086E-3</v>
      </c>
      <c r="H133" s="19">
        <f t="shared" ref="H133:AJ133" si="55">$E$133</f>
        <v>7.9467230498655086E-3</v>
      </c>
      <c r="I133" s="19">
        <f t="shared" si="55"/>
        <v>7.9467230498655086E-3</v>
      </c>
      <c r="J133" s="19">
        <f t="shared" si="55"/>
        <v>7.9467230498655086E-3</v>
      </c>
      <c r="K133" s="19">
        <f t="shared" si="55"/>
        <v>7.9467230498655086E-3</v>
      </c>
      <c r="L133" s="19">
        <f t="shared" si="55"/>
        <v>7.9467230498655086E-3</v>
      </c>
      <c r="M133" s="19">
        <f t="shared" si="55"/>
        <v>7.9467230498655086E-3</v>
      </c>
      <c r="N133" s="19">
        <f t="shared" si="55"/>
        <v>7.9467230498655086E-3</v>
      </c>
      <c r="O133" s="19">
        <f t="shared" si="55"/>
        <v>7.9467230498655086E-3</v>
      </c>
      <c r="P133" s="19">
        <f t="shared" si="55"/>
        <v>7.9467230498655086E-3</v>
      </c>
      <c r="Q133" s="19">
        <f t="shared" si="55"/>
        <v>7.9467230498655086E-3</v>
      </c>
      <c r="R133" s="19">
        <f t="shared" si="55"/>
        <v>7.9467230498655086E-3</v>
      </c>
      <c r="S133" s="19">
        <f t="shared" si="55"/>
        <v>7.9467230498655086E-3</v>
      </c>
      <c r="T133" s="19">
        <f t="shared" si="55"/>
        <v>7.9467230498655086E-3</v>
      </c>
      <c r="U133" s="19">
        <f t="shared" si="55"/>
        <v>7.9467230498655086E-3</v>
      </c>
      <c r="V133" s="19">
        <f t="shared" si="55"/>
        <v>7.9467230498655086E-3</v>
      </c>
      <c r="W133" s="19">
        <f t="shared" si="55"/>
        <v>7.9467230498655086E-3</v>
      </c>
      <c r="X133" s="19">
        <f t="shared" si="55"/>
        <v>7.9467230498655086E-3</v>
      </c>
      <c r="Y133" s="19">
        <f t="shared" si="55"/>
        <v>7.9467230498655086E-3</v>
      </c>
      <c r="Z133" s="19">
        <f t="shared" si="55"/>
        <v>7.9467230498655086E-3</v>
      </c>
      <c r="AA133" s="19">
        <f t="shared" si="55"/>
        <v>7.9467230498655086E-3</v>
      </c>
      <c r="AB133" s="19">
        <f t="shared" si="55"/>
        <v>7.9467230498655086E-3</v>
      </c>
      <c r="AC133" s="19">
        <f t="shared" si="55"/>
        <v>7.9467230498655086E-3</v>
      </c>
      <c r="AD133" s="19">
        <f t="shared" si="55"/>
        <v>7.9467230498655086E-3</v>
      </c>
      <c r="AE133" s="19">
        <f t="shared" si="55"/>
        <v>7.9467230498655086E-3</v>
      </c>
      <c r="AF133" s="19">
        <f t="shared" si="55"/>
        <v>7.9467230498655086E-3</v>
      </c>
      <c r="AG133" s="19">
        <f t="shared" si="55"/>
        <v>7.9467230498655086E-3</v>
      </c>
      <c r="AH133" s="19">
        <f t="shared" si="55"/>
        <v>7.9467230498655086E-3</v>
      </c>
      <c r="AI133" s="19">
        <f t="shared" si="55"/>
        <v>7.9467230498655086E-3</v>
      </c>
      <c r="AJ133" s="19">
        <f t="shared" si="55"/>
        <v>7.9467230498655086E-3</v>
      </c>
    </row>
    <row r="134" spans="1:36" ht="35" x14ac:dyDescent="0.45">
      <c r="A134" s="34"/>
      <c r="B134" s="4" t="s">
        <v>309</v>
      </c>
      <c r="C134" s="4" t="s">
        <v>353</v>
      </c>
      <c r="D134" s="4" t="s">
        <v>416</v>
      </c>
      <c r="E134" s="19">
        <v>5.9559279950341409E-2</v>
      </c>
      <c r="F134" s="19" t="s">
        <v>429</v>
      </c>
      <c r="G134" s="19">
        <f>$E$134*0.9351^(G1-2020)</f>
        <v>5.5693882681564257E-2</v>
      </c>
      <c r="H134" s="19">
        <f t="shared" ref="H134:AJ134" si="56">$E$134*0.9351^(H1-2020)</f>
        <v>5.2079349695530741E-2</v>
      </c>
      <c r="I134" s="19">
        <f t="shared" si="56"/>
        <v>4.8699399900290798E-2</v>
      </c>
      <c r="J134" s="19">
        <f t="shared" si="56"/>
        <v>4.5538808846761931E-2</v>
      </c>
      <c r="K134" s="19">
        <f t="shared" si="56"/>
        <v>4.2583340152607084E-2</v>
      </c>
      <c r="L134" s="19">
        <f t="shared" si="56"/>
        <v>3.9819681376702887E-2</v>
      </c>
      <c r="M134" s="19">
        <f t="shared" si="56"/>
        <v>3.723538405535487E-2</v>
      </c>
      <c r="N134" s="19">
        <f t="shared" si="56"/>
        <v>3.4818807630162339E-2</v>
      </c>
      <c r="O134" s="19">
        <f t="shared" si="56"/>
        <v>3.2559067014964804E-2</v>
      </c>
      <c r="P134" s="19">
        <f t="shared" si="56"/>
        <v>3.0445983565693592E-2</v>
      </c>
      <c r="Q134" s="19">
        <f t="shared" si="56"/>
        <v>2.847003923228008E-2</v>
      </c>
      <c r="R134" s="19">
        <f t="shared" si="56"/>
        <v>2.6622333686105108E-2</v>
      </c>
      <c r="S134" s="19">
        <f t="shared" si="56"/>
        <v>2.4894544229876886E-2</v>
      </c>
      <c r="T134" s="19">
        <f t="shared" si="56"/>
        <v>2.3278888309357877E-2</v>
      </c>
      <c r="U134" s="19">
        <f t="shared" si="56"/>
        <v>2.1768088458080554E-2</v>
      </c>
      <c r="V134" s="19">
        <f t="shared" si="56"/>
        <v>2.0355339517151124E-2</v>
      </c>
      <c r="W134" s="19">
        <f t="shared" si="56"/>
        <v>1.9034277982488017E-2</v>
      </c>
      <c r="X134" s="19">
        <f t="shared" si="56"/>
        <v>1.7798953341424548E-2</v>
      </c>
      <c r="Y134" s="19">
        <f t="shared" si="56"/>
        <v>1.6643801269566095E-2</v>
      </c>
      <c r="Z134" s="19">
        <f t="shared" si="56"/>
        <v>1.5563618567171257E-2</v>
      </c>
      <c r="AA134" s="19">
        <f t="shared" si="56"/>
        <v>1.4553539722161843E-2</v>
      </c>
      <c r="AB134" s="19">
        <f t="shared" si="56"/>
        <v>1.3609014994193539E-2</v>
      </c>
      <c r="AC134" s="19">
        <f t="shared" si="56"/>
        <v>1.2725789921070381E-2</v>
      </c>
      <c r="AD134" s="19">
        <f t="shared" si="56"/>
        <v>1.1899886155192914E-2</v>
      </c>
      <c r="AE134" s="19">
        <f t="shared" si="56"/>
        <v>1.1127583543720895E-2</v>
      </c>
      <c r="AF134" s="19">
        <f t="shared" si="56"/>
        <v>1.040540337173341E-2</v>
      </c>
      <c r="AG134" s="19">
        <f t="shared" si="56"/>
        <v>9.7300926929079108E-3</v>
      </c>
      <c r="AH134" s="19">
        <f t="shared" si="56"/>
        <v>9.0986096771381898E-3</v>
      </c>
      <c r="AI134" s="19">
        <f t="shared" si="56"/>
        <v>8.5081099090919213E-3</v>
      </c>
      <c r="AJ134" s="19">
        <f t="shared" si="56"/>
        <v>7.955933575991855E-3</v>
      </c>
    </row>
    <row r="135" spans="1:36" ht="35" x14ac:dyDescent="0.45">
      <c r="A135" s="34"/>
      <c r="B135" s="4" t="s">
        <v>312</v>
      </c>
      <c r="C135" s="4" t="s">
        <v>183</v>
      </c>
      <c r="D135" s="4" t="s">
        <v>416</v>
      </c>
      <c r="E135" s="19">
        <v>9.4040968342644332E-2</v>
      </c>
      <c r="F135" s="19" t="s">
        <v>429</v>
      </c>
      <c r="G135" s="19">
        <f>$E$135*0.9209^(G1-2020)</f>
        <v>8.6602327746741176E-2</v>
      </c>
      <c r="H135" s="19">
        <f t="shared" ref="H135:AJ135" si="57">$E$135*0.9209^(H1-2020)</f>
        <v>7.9752083621973946E-2</v>
      </c>
      <c r="I135" s="19">
        <f t="shared" si="57"/>
        <v>7.3443693807475813E-2</v>
      </c>
      <c r="J135" s="19">
        <f t="shared" si="57"/>
        <v>6.7634297627304482E-2</v>
      </c>
      <c r="K135" s="19">
        <f t="shared" si="57"/>
        <v>6.2284424684984706E-2</v>
      </c>
      <c r="L135" s="19">
        <f t="shared" si="57"/>
        <v>5.7357726692402418E-2</v>
      </c>
      <c r="M135" s="19">
        <f t="shared" si="57"/>
        <v>5.2820730511033386E-2</v>
      </c>
      <c r="N135" s="19">
        <f t="shared" si="57"/>
        <v>4.8642610727610655E-2</v>
      </c>
      <c r="O135" s="19">
        <f t="shared" si="57"/>
        <v>4.4794980219056653E-2</v>
      </c>
      <c r="P135" s="19">
        <f t="shared" si="57"/>
        <v>4.1251697283729273E-2</v>
      </c>
      <c r="Q135" s="19">
        <f t="shared" si="57"/>
        <v>3.7988688028586286E-2</v>
      </c>
      <c r="R135" s="19">
        <f t="shared" si="57"/>
        <v>3.4983782805525117E-2</v>
      </c>
      <c r="S135" s="19">
        <f t="shared" si="57"/>
        <v>3.2216565585608085E-2</v>
      </c>
      <c r="T135" s="19">
        <f t="shared" si="57"/>
        <v>2.9668235247786487E-2</v>
      </c>
      <c r="U135" s="19">
        <f t="shared" si="57"/>
        <v>2.7321477839686577E-2</v>
      </c>
      <c r="V135" s="19">
        <f t="shared" si="57"/>
        <v>2.5160348942567374E-2</v>
      </c>
      <c r="W135" s="19">
        <f t="shared" si="57"/>
        <v>2.3170165341210296E-2</v>
      </c>
      <c r="X135" s="19">
        <f t="shared" si="57"/>
        <v>2.1337405262720564E-2</v>
      </c>
      <c r="Y135" s="19">
        <f t="shared" si="57"/>
        <v>1.9649616506439364E-2</v>
      </c>
      <c r="Z135" s="19">
        <f t="shared" si="57"/>
        <v>1.8095331840780014E-2</v>
      </c>
      <c r="AA135" s="19">
        <f t="shared" si="57"/>
        <v>1.6663991092174316E-2</v>
      </c>
      <c r="AB135" s="19">
        <f t="shared" si="57"/>
        <v>1.5345869396783328E-2</v>
      </c>
      <c r="AC135" s="19">
        <f t="shared" si="57"/>
        <v>1.4132011127497767E-2</v>
      </c>
      <c r="AD135" s="19">
        <f t="shared" si="57"/>
        <v>1.3014169047312698E-2</v>
      </c>
      <c r="AE135" s="19">
        <f t="shared" si="57"/>
        <v>1.1984748275670263E-2</v>
      </c>
      <c r="AF135" s="19">
        <f t="shared" si="57"/>
        <v>1.1036754687064745E-2</v>
      </c>
      <c r="AG135" s="19">
        <f t="shared" si="57"/>
        <v>1.0163747391317923E-2</v>
      </c>
      <c r="AH135" s="19">
        <f t="shared" si="57"/>
        <v>9.3597949726646774E-3</v>
      </c>
      <c r="AI135" s="19">
        <f t="shared" si="57"/>
        <v>8.6194351903269018E-3</v>
      </c>
      <c r="AJ135" s="19">
        <f t="shared" si="57"/>
        <v>7.9376378667720456E-3</v>
      </c>
    </row>
    <row r="136" spans="1:36" ht="35" x14ac:dyDescent="0.45">
      <c r="A136" s="34"/>
      <c r="B136" s="4" t="s">
        <v>310</v>
      </c>
      <c r="C136" s="4" t="s">
        <v>185</v>
      </c>
      <c r="D136" s="4" t="s">
        <v>416</v>
      </c>
      <c r="E136" s="19">
        <v>0.1350010345541072</v>
      </c>
      <c r="F136" s="19" t="s">
        <v>429</v>
      </c>
      <c r="G136" s="19">
        <f>$E$136*0.9099^(G1-2020)</f>
        <v>0.12283744134078214</v>
      </c>
      <c r="H136" s="19">
        <f t="shared" ref="H136:AJ136" si="58">$E$136*0.9099^(H1-2020)</f>
        <v>0.11176978787597767</v>
      </c>
      <c r="I136" s="19">
        <f t="shared" si="58"/>
        <v>0.10169932998835209</v>
      </c>
      <c r="J136" s="19">
        <f t="shared" si="58"/>
        <v>9.2536220356401577E-2</v>
      </c>
      <c r="K136" s="19">
        <f t="shared" si="58"/>
        <v>8.4198706902289797E-2</v>
      </c>
      <c r="L136" s="19">
        <f t="shared" si="58"/>
        <v>7.6612403410393493E-2</v>
      </c>
      <c r="M136" s="19">
        <f t="shared" si="58"/>
        <v>6.9709625863117033E-2</v>
      </c>
      <c r="N136" s="19">
        <f t="shared" si="58"/>
        <v>6.3428788572850198E-2</v>
      </c>
      <c r="O136" s="19">
        <f t="shared" si="58"/>
        <v>5.7713854722436397E-2</v>
      </c>
      <c r="P136" s="19">
        <f t="shared" si="58"/>
        <v>5.2513836411944875E-2</v>
      </c>
      <c r="Q136" s="19">
        <f t="shared" si="58"/>
        <v>4.7782339751228642E-2</v>
      </c>
      <c r="R136" s="19">
        <f t="shared" si="58"/>
        <v>4.3477150939642939E-2</v>
      </c>
      <c r="S136" s="19">
        <f t="shared" si="58"/>
        <v>3.9559859639981119E-2</v>
      </c>
      <c r="T136" s="19">
        <f t="shared" si="58"/>
        <v>3.5995516286418817E-2</v>
      </c>
      <c r="U136" s="19">
        <f t="shared" si="58"/>
        <v>3.275232026901248E-2</v>
      </c>
      <c r="V136" s="19">
        <f t="shared" si="58"/>
        <v>2.9801336212774459E-2</v>
      </c>
      <c r="W136" s="19">
        <f t="shared" si="58"/>
        <v>2.7116235820003484E-2</v>
      </c>
      <c r="X136" s="19">
        <f t="shared" si="58"/>
        <v>2.4673062972621167E-2</v>
      </c>
      <c r="Y136" s="19">
        <f t="shared" si="58"/>
        <v>2.2450019998788002E-2</v>
      </c>
      <c r="Z136" s="19">
        <f t="shared" si="58"/>
        <v>2.0427273196897206E-2</v>
      </c>
      <c r="AA136" s="19">
        <f t="shared" si="58"/>
        <v>1.8586775881856768E-2</v>
      </c>
      <c r="AB136" s="19">
        <f t="shared" si="58"/>
        <v>1.6912107374901474E-2</v>
      </c>
      <c r="AC136" s="19">
        <f t="shared" si="58"/>
        <v>1.538832650042285E-2</v>
      </c>
      <c r="AD136" s="19">
        <f t="shared" si="58"/>
        <v>1.4001838282734753E-2</v>
      </c>
      <c r="AE136" s="19">
        <f t="shared" si="58"/>
        <v>1.2740272653460352E-2</v>
      </c>
      <c r="AF136" s="19">
        <f t="shared" si="58"/>
        <v>1.1592374087383573E-2</v>
      </c>
      <c r="AG136" s="19">
        <f t="shared" si="58"/>
        <v>1.0547901182110315E-2</v>
      </c>
      <c r="AH136" s="19">
        <f t="shared" si="58"/>
        <v>9.5975352856021746E-3</v>
      </c>
      <c r="AI136" s="19">
        <f t="shared" si="58"/>
        <v>8.7327973563694223E-3</v>
      </c>
      <c r="AJ136" s="19">
        <f t="shared" si="58"/>
        <v>7.9459723145605347E-3</v>
      </c>
    </row>
    <row r="137" spans="1:36" ht="35" x14ac:dyDescent="0.45">
      <c r="A137" s="34" t="s">
        <v>324</v>
      </c>
      <c r="B137" s="4" t="s">
        <v>316</v>
      </c>
      <c r="C137" s="4" t="s">
        <v>354</v>
      </c>
      <c r="D137" s="4" t="s">
        <v>417</v>
      </c>
      <c r="E137" s="19">
        <v>2.0059701818181819</v>
      </c>
      <c r="F137" s="19" t="s">
        <v>429</v>
      </c>
      <c r="G137" s="19">
        <f>$E$137</f>
        <v>2.0059701818181819</v>
      </c>
      <c r="H137" s="19">
        <f t="shared" ref="H137:AJ137" si="59">$E$137</f>
        <v>2.0059701818181819</v>
      </c>
      <c r="I137" s="19">
        <f t="shared" si="59"/>
        <v>2.0059701818181819</v>
      </c>
      <c r="J137" s="19">
        <f t="shared" si="59"/>
        <v>2.0059701818181819</v>
      </c>
      <c r="K137" s="19">
        <f t="shared" si="59"/>
        <v>2.0059701818181819</v>
      </c>
      <c r="L137" s="19">
        <f t="shared" si="59"/>
        <v>2.0059701818181819</v>
      </c>
      <c r="M137" s="19">
        <f t="shared" si="59"/>
        <v>2.0059701818181819</v>
      </c>
      <c r="N137" s="19">
        <f t="shared" si="59"/>
        <v>2.0059701818181819</v>
      </c>
      <c r="O137" s="19">
        <f t="shared" si="59"/>
        <v>2.0059701818181819</v>
      </c>
      <c r="P137" s="19">
        <f t="shared" si="59"/>
        <v>2.0059701818181819</v>
      </c>
      <c r="Q137" s="19">
        <f t="shared" si="59"/>
        <v>2.0059701818181819</v>
      </c>
      <c r="R137" s="19">
        <f t="shared" si="59"/>
        <v>2.0059701818181819</v>
      </c>
      <c r="S137" s="19">
        <f t="shared" si="59"/>
        <v>2.0059701818181819</v>
      </c>
      <c r="T137" s="19">
        <f t="shared" si="59"/>
        <v>2.0059701818181819</v>
      </c>
      <c r="U137" s="19">
        <f t="shared" si="59"/>
        <v>2.0059701818181819</v>
      </c>
      <c r="V137" s="19">
        <f t="shared" si="59"/>
        <v>2.0059701818181819</v>
      </c>
      <c r="W137" s="19">
        <f t="shared" si="59"/>
        <v>2.0059701818181819</v>
      </c>
      <c r="X137" s="19">
        <f t="shared" si="59"/>
        <v>2.0059701818181819</v>
      </c>
      <c r="Y137" s="19">
        <f t="shared" si="59"/>
        <v>2.0059701818181819</v>
      </c>
      <c r="Z137" s="19">
        <f t="shared" si="59"/>
        <v>2.0059701818181819</v>
      </c>
      <c r="AA137" s="19">
        <f t="shared" si="59"/>
        <v>2.0059701818181819</v>
      </c>
      <c r="AB137" s="19">
        <f t="shared" si="59"/>
        <v>2.0059701818181819</v>
      </c>
      <c r="AC137" s="19">
        <f t="shared" si="59"/>
        <v>2.0059701818181819</v>
      </c>
      <c r="AD137" s="19">
        <f t="shared" si="59"/>
        <v>2.0059701818181819</v>
      </c>
      <c r="AE137" s="19">
        <f t="shared" si="59"/>
        <v>2.0059701818181819</v>
      </c>
      <c r="AF137" s="19">
        <f t="shared" si="59"/>
        <v>2.0059701818181819</v>
      </c>
      <c r="AG137" s="19">
        <f t="shared" si="59"/>
        <v>2.0059701818181819</v>
      </c>
      <c r="AH137" s="19">
        <f t="shared" si="59"/>
        <v>2.0059701818181819</v>
      </c>
      <c r="AI137" s="19">
        <f t="shared" si="59"/>
        <v>2.0059701818181819</v>
      </c>
      <c r="AJ137" s="19">
        <f t="shared" si="59"/>
        <v>2.0059701818181819</v>
      </c>
    </row>
    <row r="138" spans="1:36" ht="35" x14ac:dyDescent="0.45">
      <c r="A138" s="34"/>
      <c r="B138" s="4" t="s">
        <v>314</v>
      </c>
      <c r="C138" s="4" t="s">
        <v>355</v>
      </c>
      <c r="D138" s="4" t="s">
        <v>417</v>
      </c>
      <c r="E138" s="19">
        <v>0.17291200000000001</v>
      </c>
      <c r="F138" s="19" t="s">
        <v>429</v>
      </c>
      <c r="G138" s="19">
        <f>$E$138</f>
        <v>0.17291200000000001</v>
      </c>
      <c r="H138" s="19">
        <f t="shared" ref="H138:AJ138" si="60">$E$138</f>
        <v>0.17291200000000001</v>
      </c>
      <c r="I138" s="19">
        <f t="shared" si="60"/>
        <v>0.17291200000000001</v>
      </c>
      <c r="J138" s="19">
        <f t="shared" si="60"/>
        <v>0.17291200000000001</v>
      </c>
      <c r="K138" s="19">
        <f t="shared" si="60"/>
        <v>0.17291200000000001</v>
      </c>
      <c r="L138" s="19">
        <f t="shared" si="60"/>
        <v>0.17291200000000001</v>
      </c>
      <c r="M138" s="19">
        <f t="shared" si="60"/>
        <v>0.17291200000000001</v>
      </c>
      <c r="N138" s="19">
        <f t="shared" si="60"/>
        <v>0.17291200000000001</v>
      </c>
      <c r="O138" s="19">
        <f t="shared" si="60"/>
        <v>0.17291200000000001</v>
      </c>
      <c r="P138" s="19">
        <f t="shared" si="60"/>
        <v>0.17291200000000001</v>
      </c>
      <c r="Q138" s="19">
        <f t="shared" si="60"/>
        <v>0.17291200000000001</v>
      </c>
      <c r="R138" s="19">
        <f t="shared" si="60"/>
        <v>0.17291200000000001</v>
      </c>
      <c r="S138" s="19">
        <f t="shared" si="60"/>
        <v>0.17291200000000001</v>
      </c>
      <c r="T138" s="19">
        <f t="shared" si="60"/>
        <v>0.17291200000000001</v>
      </c>
      <c r="U138" s="19">
        <f t="shared" si="60"/>
        <v>0.17291200000000001</v>
      </c>
      <c r="V138" s="19">
        <f t="shared" si="60"/>
        <v>0.17291200000000001</v>
      </c>
      <c r="W138" s="19">
        <f t="shared" si="60"/>
        <v>0.17291200000000001</v>
      </c>
      <c r="X138" s="19">
        <f t="shared" si="60"/>
        <v>0.17291200000000001</v>
      </c>
      <c r="Y138" s="19">
        <f t="shared" si="60"/>
        <v>0.17291200000000001</v>
      </c>
      <c r="Z138" s="19">
        <f t="shared" si="60"/>
        <v>0.17291200000000001</v>
      </c>
      <c r="AA138" s="19">
        <f t="shared" si="60"/>
        <v>0.17291200000000001</v>
      </c>
      <c r="AB138" s="19">
        <f t="shared" si="60"/>
        <v>0.17291200000000001</v>
      </c>
      <c r="AC138" s="19">
        <f t="shared" si="60"/>
        <v>0.17291200000000001</v>
      </c>
      <c r="AD138" s="19">
        <f t="shared" si="60"/>
        <v>0.17291200000000001</v>
      </c>
      <c r="AE138" s="19">
        <f t="shared" si="60"/>
        <v>0.17291200000000001</v>
      </c>
      <c r="AF138" s="19">
        <f t="shared" si="60"/>
        <v>0.17291200000000001</v>
      </c>
      <c r="AG138" s="19">
        <f t="shared" si="60"/>
        <v>0.17291200000000001</v>
      </c>
      <c r="AH138" s="19">
        <f t="shared" si="60"/>
        <v>0.17291200000000001</v>
      </c>
      <c r="AI138" s="19">
        <f t="shared" si="60"/>
        <v>0.17291200000000001</v>
      </c>
      <c r="AJ138" s="19">
        <f t="shared" si="60"/>
        <v>0.17291200000000001</v>
      </c>
    </row>
    <row r="139" spans="1:36" ht="35" x14ac:dyDescent="0.45">
      <c r="A139" s="34"/>
      <c r="B139" s="4" t="s">
        <v>315</v>
      </c>
      <c r="C139" s="4" t="s">
        <v>356</v>
      </c>
      <c r="D139" s="4" t="s">
        <v>417</v>
      </c>
      <c r="E139" s="19">
        <v>1.0559090909090909</v>
      </c>
      <c r="F139" s="19" t="s">
        <v>429</v>
      </c>
      <c r="G139" s="19">
        <f>$E$139*0.9415^(G1-2020)</f>
        <v>0.99413840909090911</v>
      </c>
      <c r="H139" s="19">
        <f t="shared" ref="H139:AJ139" si="61">$E$139*0.9415^(H1-2020)</f>
        <v>0.93598131215909086</v>
      </c>
      <c r="I139" s="19">
        <f t="shared" si="61"/>
        <v>0.88122640539778407</v>
      </c>
      <c r="J139" s="19">
        <f t="shared" si="61"/>
        <v>0.82967466068201356</v>
      </c>
      <c r="K139" s="19">
        <f t="shared" si="61"/>
        <v>0.78113869303211592</v>
      </c>
      <c r="L139" s="19">
        <f t="shared" si="61"/>
        <v>0.73544207948973706</v>
      </c>
      <c r="M139" s="19">
        <f t="shared" si="61"/>
        <v>0.69241871783958742</v>
      </c>
      <c r="N139" s="19">
        <f t="shared" si="61"/>
        <v>0.6519122228459715</v>
      </c>
      <c r="O139" s="19">
        <f t="shared" si="61"/>
        <v>0.61377535780948211</v>
      </c>
      <c r="P139" s="19">
        <f t="shared" si="61"/>
        <v>0.57786949937762733</v>
      </c>
      <c r="Q139" s="19">
        <f t="shared" si="61"/>
        <v>0.54406413366403616</v>
      </c>
      <c r="R139" s="19">
        <f t="shared" si="61"/>
        <v>0.51223638184469</v>
      </c>
      <c r="S139" s="19">
        <f t="shared" si="61"/>
        <v>0.48227055350677572</v>
      </c>
      <c r="T139" s="19">
        <f t="shared" si="61"/>
        <v>0.45405772612662931</v>
      </c>
      <c r="U139" s="19">
        <f t="shared" si="61"/>
        <v>0.42749534914822146</v>
      </c>
      <c r="V139" s="19">
        <f t="shared" si="61"/>
        <v>0.40248687122305049</v>
      </c>
      <c r="W139" s="19">
        <f t="shared" si="61"/>
        <v>0.37894138925650206</v>
      </c>
      <c r="X139" s="19">
        <f t="shared" si="61"/>
        <v>0.35677331798499667</v>
      </c>
      <c r="Y139" s="19">
        <f t="shared" si="61"/>
        <v>0.33590207888287438</v>
      </c>
      <c r="Z139" s="19">
        <f t="shared" si="61"/>
        <v>0.31625180726822616</v>
      </c>
      <c r="AA139" s="19">
        <f t="shared" si="61"/>
        <v>0.29775107654303495</v>
      </c>
      <c r="AB139" s="19">
        <f t="shared" si="61"/>
        <v>0.28033263856526741</v>
      </c>
      <c r="AC139" s="19">
        <f t="shared" si="61"/>
        <v>0.26393317920919923</v>
      </c>
      <c r="AD139" s="19">
        <f t="shared" si="61"/>
        <v>0.24849308822546107</v>
      </c>
      <c r="AE139" s="19">
        <f t="shared" si="61"/>
        <v>0.23395624256427158</v>
      </c>
      <c r="AF139" s="19">
        <f t="shared" si="61"/>
        <v>0.22026980237426166</v>
      </c>
      <c r="AG139" s="19">
        <f t="shared" si="61"/>
        <v>0.20738401893536737</v>
      </c>
      <c r="AH139" s="19">
        <f t="shared" si="61"/>
        <v>0.19525205382764838</v>
      </c>
      <c r="AI139" s="19">
        <f t="shared" si="61"/>
        <v>0.18382980867873097</v>
      </c>
      <c r="AJ139" s="19">
        <f t="shared" si="61"/>
        <v>0.17307576487102519</v>
      </c>
    </row>
    <row r="140" spans="1:36" ht="35" x14ac:dyDescent="0.45">
      <c r="A140" s="34"/>
      <c r="B140" s="4" t="s">
        <v>317</v>
      </c>
      <c r="C140" s="4" t="s">
        <v>357</v>
      </c>
      <c r="D140" s="4" t="s">
        <v>417</v>
      </c>
      <c r="E140" s="19">
        <v>0.5509090909090909</v>
      </c>
      <c r="F140" s="19" t="s">
        <v>429</v>
      </c>
      <c r="G140" s="19">
        <f>$E$140*0.9621^(G1-2020)</f>
        <v>0.53002963636363631</v>
      </c>
      <c r="H140" s="19">
        <f t="shared" ref="H140:AJ140" si="62">$E$140*0.9621^(H1-2020)</f>
        <v>0.50994151314545455</v>
      </c>
      <c r="I140" s="19">
        <f t="shared" si="62"/>
        <v>0.49061472979724174</v>
      </c>
      <c r="J140" s="19">
        <f t="shared" si="62"/>
        <v>0.47202043153792633</v>
      </c>
      <c r="K140" s="19">
        <f t="shared" si="62"/>
        <v>0.4541308571826389</v>
      </c>
      <c r="L140" s="19">
        <f t="shared" si="62"/>
        <v>0.43691929769541688</v>
      </c>
      <c r="M140" s="19">
        <f t="shared" si="62"/>
        <v>0.42036005631276052</v>
      </c>
      <c r="N140" s="19">
        <f t="shared" si="62"/>
        <v>0.40442841017850695</v>
      </c>
      <c r="O140" s="19">
        <f t="shared" si="62"/>
        <v>0.38910057343274151</v>
      </c>
      <c r="P140" s="19">
        <f t="shared" si="62"/>
        <v>0.37435366169964063</v>
      </c>
      <c r="Q140" s="19">
        <f t="shared" si="62"/>
        <v>0.36016565792122424</v>
      </c>
      <c r="R140" s="19">
        <f t="shared" si="62"/>
        <v>0.3465153794860098</v>
      </c>
      <c r="S140" s="19">
        <f t="shared" si="62"/>
        <v>0.33338244660349003</v>
      </c>
      <c r="T140" s="19">
        <f t="shared" si="62"/>
        <v>0.32074725187721775</v>
      </c>
      <c r="U140" s="19">
        <f t="shared" si="62"/>
        <v>0.30859093103107116</v>
      </c>
      <c r="V140" s="19">
        <f t="shared" si="62"/>
        <v>0.29689533474499363</v>
      </c>
      <c r="W140" s="19">
        <f t="shared" si="62"/>
        <v>0.28564300155815836</v>
      </c>
      <c r="X140" s="19">
        <f t="shared" si="62"/>
        <v>0.27481713179910416</v>
      </c>
      <c r="Y140" s="19">
        <f t="shared" si="62"/>
        <v>0.26440156250391805</v>
      </c>
      <c r="Z140" s="19">
        <f t="shared" si="62"/>
        <v>0.25438074328501958</v>
      </c>
      <c r="AA140" s="19">
        <f t="shared" si="62"/>
        <v>0.24473971311451734</v>
      </c>
      <c r="AB140" s="19">
        <f t="shared" si="62"/>
        <v>0.23546407798747712</v>
      </c>
      <c r="AC140" s="19">
        <f t="shared" si="62"/>
        <v>0.22653998943175171</v>
      </c>
      <c r="AD140" s="19">
        <f t="shared" si="62"/>
        <v>0.21795412383228835</v>
      </c>
      <c r="AE140" s="19">
        <f t="shared" si="62"/>
        <v>0.20969366253904462</v>
      </c>
      <c r="AF140" s="19">
        <f t="shared" si="62"/>
        <v>0.20174627272881482</v>
      </c>
      <c r="AG140" s="19">
        <f t="shared" si="62"/>
        <v>0.19410008899239273</v>
      </c>
      <c r="AH140" s="19">
        <f t="shared" si="62"/>
        <v>0.18674369561958104</v>
      </c>
      <c r="AI140" s="19">
        <f t="shared" si="62"/>
        <v>0.17966610955559895</v>
      </c>
      <c r="AJ140" s="19">
        <f t="shared" si="62"/>
        <v>0.17285676400344169</v>
      </c>
    </row>
    <row r="141" spans="1:36" ht="35" x14ac:dyDescent="0.45">
      <c r="A141" s="34"/>
      <c r="B141" s="4" t="s">
        <v>318</v>
      </c>
      <c r="C141" s="4" t="s">
        <v>358</v>
      </c>
      <c r="D141" s="4" t="s">
        <v>417</v>
      </c>
      <c r="E141" s="19">
        <v>1.9147151515151515</v>
      </c>
      <c r="F141" s="19" t="s">
        <v>429</v>
      </c>
      <c r="G141" s="19">
        <f>$E$141*0.923^(G1-2020)</f>
        <v>1.7672820848484849</v>
      </c>
      <c r="H141" s="19">
        <f t="shared" ref="H141:AJ141" si="63">$E$141*0.923^(H1-2020)</f>
        <v>1.6312013643151515</v>
      </c>
      <c r="I141" s="19">
        <f t="shared" si="63"/>
        <v>1.5055988592628851</v>
      </c>
      <c r="J141" s="19">
        <f t="shared" si="63"/>
        <v>1.389667747099643</v>
      </c>
      <c r="K141" s="19">
        <f t="shared" si="63"/>
        <v>1.2826633305729704</v>
      </c>
      <c r="L141" s="19">
        <f t="shared" si="63"/>
        <v>1.1838982541188516</v>
      </c>
      <c r="M141" s="19">
        <f t="shared" si="63"/>
        <v>1.0927380885517004</v>
      </c>
      <c r="N141" s="19">
        <f t="shared" si="63"/>
        <v>1.0085972557332195</v>
      </c>
      <c r="O141" s="19">
        <f t="shared" si="63"/>
        <v>0.93093526704176155</v>
      </c>
      <c r="P141" s="19">
        <f t="shared" si="63"/>
        <v>0.8592532514795459</v>
      </c>
      <c r="Q141" s="19">
        <f t="shared" si="63"/>
        <v>0.79309075111562088</v>
      </c>
      <c r="R141" s="19">
        <f t="shared" si="63"/>
        <v>0.73202276327971816</v>
      </c>
      <c r="S141" s="19">
        <f t="shared" si="63"/>
        <v>0.67565701050717997</v>
      </c>
      <c r="T141" s="19">
        <f t="shared" si="63"/>
        <v>0.62363142069812694</v>
      </c>
      <c r="U141" s="19">
        <f t="shared" si="63"/>
        <v>0.5756118013043714</v>
      </c>
      <c r="V141" s="19">
        <f t="shared" si="63"/>
        <v>0.53128969260393477</v>
      </c>
      <c r="W141" s="19">
        <f t="shared" si="63"/>
        <v>0.49038038627343178</v>
      </c>
      <c r="X141" s="19">
        <f t="shared" si="63"/>
        <v>0.45262109653037752</v>
      </c>
      <c r="Y141" s="19">
        <f t="shared" si="63"/>
        <v>0.41776927209753845</v>
      </c>
      <c r="Z141" s="19">
        <f t="shared" si="63"/>
        <v>0.38560103814602803</v>
      </c>
      <c r="AA141" s="19">
        <f t="shared" si="63"/>
        <v>0.3559097582087839</v>
      </c>
      <c r="AB141" s="19">
        <f t="shared" si="63"/>
        <v>0.32850470682670752</v>
      </c>
      <c r="AC141" s="19">
        <f t="shared" si="63"/>
        <v>0.30320984440105109</v>
      </c>
      <c r="AD141" s="19">
        <f t="shared" si="63"/>
        <v>0.27986268638217016</v>
      </c>
      <c r="AE141" s="19">
        <f t="shared" si="63"/>
        <v>0.25831325953074308</v>
      </c>
      <c r="AF141" s="19">
        <f t="shared" si="63"/>
        <v>0.23842313854687586</v>
      </c>
      <c r="AG141" s="19">
        <f t="shared" si="63"/>
        <v>0.22006455687876644</v>
      </c>
      <c r="AH141" s="19">
        <f t="shared" si="63"/>
        <v>0.20311958599910143</v>
      </c>
      <c r="AI141" s="19">
        <f t="shared" si="63"/>
        <v>0.18747937787717064</v>
      </c>
      <c r="AJ141" s="19">
        <f t="shared" si="63"/>
        <v>0.17304346578062846</v>
      </c>
    </row>
    <row r="142" spans="1:36" ht="35" x14ac:dyDescent="0.45">
      <c r="A142" s="34"/>
      <c r="B142" s="4" t="s">
        <v>321</v>
      </c>
      <c r="C142" s="4" t="s">
        <v>359</v>
      </c>
      <c r="D142" s="4" t="s">
        <v>417</v>
      </c>
      <c r="E142" s="19">
        <v>0.98267472636815922</v>
      </c>
      <c r="F142" s="19" t="s">
        <v>429</v>
      </c>
      <c r="G142" s="19">
        <f>$E$142</f>
        <v>0.98267472636815922</v>
      </c>
      <c r="H142" s="19">
        <f t="shared" ref="H142:AJ142" si="64">$E$142</f>
        <v>0.98267472636815922</v>
      </c>
      <c r="I142" s="19">
        <f t="shared" si="64"/>
        <v>0.98267472636815922</v>
      </c>
      <c r="J142" s="19">
        <f t="shared" si="64"/>
        <v>0.98267472636815922</v>
      </c>
      <c r="K142" s="19">
        <f t="shared" si="64"/>
        <v>0.98267472636815922</v>
      </c>
      <c r="L142" s="19">
        <f t="shared" si="64"/>
        <v>0.98267472636815922</v>
      </c>
      <c r="M142" s="19">
        <f t="shared" si="64"/>
        <v>0.98267472636815922</v>
      </c>
      <c r="N142" s="19">
        <f t="shared" si="64"/>
        <v>0.98267472636815922</v>
      </c>
      <c r="O142" s="19">
        <f t="shared" si="64"/>
        <v>0.98267472636815922</v>
      </c>
      <c r="P142" s="19">
        <f t="shared" si="64"/>
        <v>0.98267472636815922</v>
      </c>
      <c r="Q142" s="19">
        <f t="shared" si="64"/>
        <v>0.98267472636815922</v>
      </c>
      <c r="R142" s="19">
        <f t="shared" si="64"/>
        <v>0.98267472636815922</v>
      </c>
      <c r="S142" s="19">
        <f t="shared" si="64"/>
        <v>0.98267472636815922</v>
      </c>
      <c r="T142" s="19">
        <f t="shared" si="64"/>
        <v>0.98267472636815922</v>
      </c>
      <c r="U142" s="19">
        <f t="shared" si="64"/>
        <v>0.98267472636815922</v>
      </c>
      <c r="V142" s="19">
        <f t="shared" si="64"/>
        <v>0.98267472636815922</v>
      </c>
      <c r="W142" s="19">
        <f t="shared" si="64"/>
        <v>0.98267472636815922</v>
      </c>
      <c r="X142" s="19">
        <f t="shared" si="64"/>
        <v>0.98267472636815922</v>
      </c>
      <c r="Y142" s="19">
        <f t="shared" si="64"/>
        <v>0.98267472636815922</v>
      </c>
      <c r="Z142" s="19">
        <f t="shared" si="64"/>
        <v>0.98267472636815922</v>
      </c>
      <c r="AA142" s="19">
        <f t="shared" si="64"/>
        <v>0.98267472636815922</v>
      </c>
      <c r="AB142" s="19">
        <f t="shared" si="64"/>
        <v>0.98267472636815922</v>
      </c>
      <c r="AC142" s="19">
        <f t="shared" si="64"/>
        <v>0.98267472636815922</v>
      </c>
      <c r="AD142" s="19">
        <f t="shared" si="64"/>
        <v>0.98267472636815922</v>
      </c>
      <c r="AE142" s="19">
        <f t="shared" si="64"/>
        <v>0.98267472636815922</v>
      </c>
      <c r="AF142" s="19">
        <f t="shared" si="64"/>
        <v>0.98267472636815922</v>
      </c>
      <c r="AG142" s="19">
        <f t="shared" si="64"/>
        <v>0.98267472636815922</v>
      </c>
      <c r="AH142" s="19">
        <f t="shared" si="64"/>
        <v>0.98267472636815922</v>
      </c>
      <c r="AI142" s="19">
        <f t="shared" si="64"/>
        <v>0.98267472636815922</v>
      </c>
      <c r="AJ142" s="19">
        <f t="shared" si="64"/>
        <v>0.98267472636815922</v>
      </c>
    </row>
    <row r="143" spans="1:36" ht="35" x14ac:dyDescent="0.45">
      <c r="A143" s="34"/>
      <c r="B143" s="4" t="s">
        <v>319</v>
      </c>
      <c r="C143" s="4" t="s">
        <v>360</v>
      </c>
      <c r="D143" s="4" t="s">
        <v>417</v>
      </c>
      <c r="E143" s="19">
        <v>7.7989985139238868E-2</v>
      </c>
      <c r="F143" s="19" t="s">
        <v>429</v>
      </c>
      <c r="G143" s="19">
        <f>$E$143</f>
        <v>7.7989985139238868E-2</v>
      </c>
      <c r="H143" s="19">
        <f t="shared" ref="H143:AJ143" si="65">$E$143</f>
        <v>7.7989985139238868E-2</v>
      </c>
      <c r="I143" s="19">
        <f t="shared" si="65"/>
        <v>7.7989985139238868E-2</v>
      </c>
      <c r="J143" s="19">
        <f t="shared" si="65"/>
        <v>7.7989985139238868E-2</v>
      </c>
      <c r="K143" s="19">
        <f t="shared" si="65"/>
        <v>7.7989985139238868E-2</v>
      </c>
      <c r="L143" s="19">
        <f t="shared" si="65"/>
        <v>7.7989985139238868E-2</v>
      </c>
      <c r="M143" s="19">
        <f t="shared" si="65"/>
        <v>7.7989985139238868E-2</v>
      </c>
      <c r="N143" s="19">
        <f t="shared" si="65"/>
        <v>7.7989985139238868E-2</v>
      </c>
      <c r="O143" s="19">
        <f t="shared" si="65"/>
        <v>7.7989985139238868E-2</v>
      </c>
      <c r="P143" s="19">
        <f t="shared" si="65"/>
        <v>7.7989985139238868E-2</v>
      </c>
      <c r="Q143" s="19">
        <f t="shared" si="65"/>
        <v>7.7989985139238868E-2</v>
      </c>
      <c r="R143" s="19">
        <f t="shared" si="65"/>
        <v>7.7989985139238868E-2</v>
      </c>
      <c r="S143" s="19">
        <f t="shared" si="65"/>
        <v>7.7989985139238868E-2</v>
      </c>
      <c r="T143" s="19">
        <f t="shared" si="65"/>
        <v>7.7989985139238868E-2</v>
      </c>
      <c r="U143" s="19">
        <f t="shared" si="65"/>
        <v>7.7989985139238868E-2</v>
      </c>
      <c r="V143" s="19">
        <f t="shared" si="65"/>
        <v>7.7989985139238868E-2</v>
      </c>
      <c r="W143" s="19">
        <f t="shared" si="65"/>
        <v>7.7989985139238868E-2</v>
      </c>
      <c r="X143" s="19">
        <f t="shared" si="65"/>
        <v>7.7989985139238868E-2</v>
      </c>
      <c r="Y143" s="19">
        <f t="shared" si="65"/>
        <v>7.7989985139238868E-2</v>
      </c>
      <c r="Z143" s="19">
        <f t="shared" si="65"/>
        <v>7.7989985139238868E-2</v>
      </c>
      <c r="AA143" s="19">
        <f t="shared" si="65"/>
        <v>7.7989985139238868E-2</v>
      </c>
      <c r="AB143" s="19">
        <f t="shared" si="65"/>
        <v>7.7989985139238868E-2</v>
      </c>
      <c r="AC143" s="19">
        <f t="shared" si="65"/>
        <v>7.7989985139238868E-2</v>
      </c>
      <c r="AD143" s="19">
        <f t="shared" si="65"/>
        <v>7.7989985139238868E-2</v>
      </c>
      <c r="AE143" s="19">
        <f t="shared" si="65"/>
        <v>7.7989985139238868E-2</v>
      </c>
      <c r="AF143" s="19">
        <f t="shared" si="65"/>
        <v>7.7989985139238868E-2</v>
      </c>
      <c r="AG143" s="19">
        <f t="shared" si="65"/>
        <v>7.7989985139238868E-2</v>
      </c>
      <c r="AH143" s="19">
        <f t="shared" si="65"/>
        <v>7.7989985139238868E-2</v>
      </c>
      <c r="AI143" s="19">
        <f t="shared" si="65"/>
        <v>7.7989985139238868E-2</v>
      </c>
      <c r="AJ143" s="19">
        <f t="shared" si="65"/>
        <v>7.7989985139238868E-2</v>
      </c>
    </row>
    <row r="144" spans="1:36" ht="35" x14ac:dyDescent="0.45">
      <c r="A144" s="34"/>
      <c r="B144" s="4" t="s">
        <v>320</v>
      </c>
      <c r="C144" s="4" t="s">
        <v>361</v>
      </c>
      <c r="D144" s="4" t="s">
        <v>417</v>
      </c>
      <c r="E144" s="19">
        <v>0.30963142036297386</v>
      </c>
      <c r="F144" s="19" t="s">
        <v>429</v>
      </c>
      <c r="G144" s="19">
        <f>$E$144*0.955^(G1-2020)</f>
        <v>0.29569800644664002</v>
      </c>
      <c r="H144" s="19">
        <f t="shared" ref="H144:AJ144" si="66">$E$144*0.955^(H1-2020)</f>
        <v>0.28239159615654125</v>
      </c>
      <c r="I144" s="19">
        <f t="shared" si="66"/>
        <v>0.26968397432949687</v>
      </c>
      <c r="J144" s="19">
        <f t="shared" si="66"/>
        <v>0.25754819548466951</v>
      </c>
      <c r="K144" s="19">
        <f t="shared" si="66"/>
        <v>0.24595852668785936</v>
      </c>
      <c r="L144" s="19">
        <f t="shared" si="66"/>
        <v>0.2348903929869057</v>
      </c>
      <c r="M144" s="19">
        <f t="shared" si="66"/>
        <v>0.22432032530249493</v>
      </c>
      <c r="N144" s="19">
        <f t="shared" si="66"/>
        <v>0.21422591066388266</v>
      </c>
      <c r="O144" s="19">
        <f t="shared" si="66"/>
        <v>0.20458574468400792</v>
      </c>
      <c r="P144" s="19">
        <f t="shared" si="66"/>
        <v>0.19537938617322759</v>
      </c>
      <c r="Q144" s="19">
        <f t="shared" si="66"/>
        <v>0.18658731379543234</v>
      </c>
      <c r="R144" s="19">
        <f t="shared" si="66"/>
        <v>0.17819088467463787</v>
      </c>
      <c r="S144" s="19">
        <f t="shared" si="66"/>
        <v>0.17017229486427918</v>
      </c>
      <c r="T144" s="19">
        <f t="shared" si="66"/>
        <v>0.16251454159538661</v>
      </c>
      <c r="U144" s="19">
        <f t="shared" si="66"/>
        <v>0.15520138722359419</v>
      </c>
      <c r="V144" s="19">
        <f t="shared" si="66"/>
        <v>0.14821732479853247</v>
      </c>
      <c r="W144" s="19">
        <f t="shared" si="66"/>
        <v>0.14154754518259849</v>
      </c>
      <c r="X144" s="19">
        <f t="shared" si="66"/>
        <v>0.13517790564938156</v>
      </c>
      <c r="Y144" s="19">
        <f t="shared" si="66"/>
        <v>0.1290948998951594</v>
      </c>
      <c r="Z144" s="19">
        <f t="shared" si="66"/>
        <v>0.12328562939987722</v>
      </c>
      <c r="AA144" s="19">
        <f t="shared" si="66"/>
        <v>0.11773777607688274</v>
      </c>
      <c r="AB144" s="19">
        <f t="shared" si="66"/>
        <v>0.11243957615342302</v>
      </c>
      <c r="AC144" s="19">
        <f t="shared" si="66"/>
        <v>0.10737979522651897</v>
      </c>
      <c r="AD144" s="19">
        <f t="shared" si="66"/>
        <v>0.10254770444132562</v>
      </c>
      <c r="AE144" s="19">
        <f t="shared" si="66"/>
        <v>9.7933057741465962E-2</v>
      </c>
      <c r="AF144" s="19">
        <f t="shared" si="66"/>
        <v>9.3526070143100007E-2</v>
      </c>
      <c r="AG144" s="19">
        <f t="shared" si="66"/>
        <v>8.9317396986660497E-2</v>
      </c>
      <c r="AH144" s="19">
        <f t="shared" si="66"/>
        <v>8.5298114122260779E-2</v>
      </c>
      <c r="AI144" s="19">
        <f t="shared" si="66"/>
        <v>8.1459698986759047E-2</v>
      </c>
      <c r="AJ144" s="19">
        <f t="shared" si="66"/>
        <v>7.7794012532354892E-2</v>
      </c>
    </row>
    <row r="145" spans="1:36" ht="35" x14ac:dyDescent="0.45">
      <c r="A145" s="34"/>
      <c r="B145" s="4" t="s">
        <v>322</v>
      </c>
      <c r="C145" s="4" t="s">
        <v>362</v>
      </c>
      <c r="D145" s="4" t="s">
        <v>417</v>
      </c>
      <c r="E145" s="19">
        <v>0.24080248110098856</v>
      </c>
      <c r="F145" s="19" t="s">
        <v>429</v>
      </c>
      <c r="G145" s="19">
        <f>$E$145*0.9631^(G1-2020)</f>
        <v>0.23191686954836208</v>
      </c>
      <c r="H145" s="19">
        <f t="shared" ref="H145:AJ145" si="67">$E$145*0.9631^(H1-2020)</f>
        <v>0.22335913706202751</v>
      </c>
      <c r="I145" s="19">
        <f t="shared" si="67"/>
        <v>0.21511718490443868</v>
      </c>
      <c r="J145" s="19">
        <f t="shared" si="67"/>
        <v>0.2071793607814649</v>
      </c>
      <c r="K145" s="19">
        <f t="shared" si="67"/>
        <v>0.19953444236862883</v>
      </c>
      <c r="L145" s="19">
        <f t="shared" si="67"/>
        <v>0.1921716214452264</v>
      </c>
      <c r="M145" s="19">
        <f t="shared" si="67"/>
        <v>0.18508048861389753</v>
      </c>
      <c r="N145" s="19">
        <f t="shared" si="67"/>
        <v>0.17825101858404474</v>
      </c>
      <c r="O145" s="19">
        <f t="shared" si="67"/>
        <v>0.17167355599829348</v>
      </c>
      <c r="P145" s="19">
        <f t="shared" si="67"/>
        <v>0.16533880178195645</v>
      </c>
      <c r="Q145" s="19">
        <f t="shared" si="67"/>
        <v>0.15923779999620222</v>
      </c>
      <c r="R145" s="19">
        <f t="shared" si="67"/>
        <v>0.15336192517634237</v>
      </c>
      <c r="S145" s="19">
        <f t="shared" si="67"/>
        <v>0.14770287013733532</v>
      </c>
      <c r="T145" s="19">
        <f t="shared" si="67"/>
        <v>0.14225263422926765</v>
      </c>
      <c r="U145" s="19">
        <f t="shared" si="67"/>
        <v>0.13700351202620767</v>
      </c>
      <c r="V145" s="19">
        <f t="shared" si="67"/>
        <v>0.13194808243244063</v>
      </c>
      <c r="W145" s="19">
        <f t="shared" si="67"/>
        <v>0.12707919819068358</v>
      </c>
      <c r="X145" s="19">
        <f t="shared" si="67"/>
        <v>0.12238997577744734</v>
      </c>
      <c r="Y145" s="19">
        <f t="shared" si="67"/>
        <v>0.11787378567125952</v>
      </c>
      <c r="Z145" s="19">
        <f t="shared" si="67"/>
        <v>0.11352424297999004</v>
      </c>
      <c r="AA145" s="19">
        <f t="shared" si="67"/>
        <v>0.1093351984140284</v>
      </c>
      <c r="AB145" s="19">
        <f t="shared" si="67"/>
        <v>0.10530072959255075</v>
      </c>
      <c r="AC145" s="19">
        <f t="shared" si="67"/>
        <v>0.10141513267058562</v>
      </c>
      <c r="AD145" s="19">
        <f t="shared" si="67"/>
        <v>9.7672914275041017E-2</v>
      </c>
      <c r="AE145" s="19">
        <f t="shared" si="67"/>
        <v>9.4068783738292E-2</v>
      </c>
      <c r="AF145" s="19">
        <f t="shared" si="67"/>
        <v>9.0597645618349029E-2</v>
      </c>
      <c r="AG145" s="19">
        <f t="shared" si="67"/>
        <v>8.7254592495031924E-2</v>
      </c>
      <c r="AH145" s="19">
        <f t="shared" si="67"/>
        <v>8.4034898031965261E-2</v>
      </c>
      <c r="AI145" s="19">
        <f t="shared" si="67"/>
        <v>8.0934010294585718E-2</v>
      </c>
      <c r="AJ145" s="19">
        <f t="shared" si="67"/>
        <v>7.7947545314715511E-2</v>
      </c>
    </row>
    <row r="146" spans="1:36" ht="35" x14ac:dyDescent="0.45">
      <c r="A146" s="34"/>
      <c r="B146" s="4" t="s">
        <v>323</v>
      </c>
      <c r="C146" s="4" t="s">
        <v>363</v>
      </c>
      <c r="D146" s="4" t="s">
        <v>417</v>
      </c>
      <c r="E146" s="19">
        <v>0.31062867480777928</v>
      </c>
      <c r="F146" s="19" t="s">
        <v>429</v>
      </c>
      <c r="G146" s="19">
        <f>$E$146*0.955^(G1-2020)</f>
        <v>0.29665038444142922</v>
      </c>
      <c r="H146" s="19">
        <f t="shared" ref="H146:AJ146" si="68">$E$146*0.955^(H1-2020)</f>
        <v>0.28330111714156492</v>
      </c>
      <c r="I146" s="19">
        <f t="shared" si="68"/>
        <v>0.27055256687019447</v>
      </c>
      <c r="J146" s="19">
        <f t="shared" si="68"/>
        <v>0.25837770136103572</v>
      </c>
      <c r="K146" s="19">
        <f t="shared" si="68"/>
        <v>0.24675070479978908</v>
      </c>
      <c r="L146" s="19">
        <f t="shared" si="68"/>
        <v>0.23564692308379859</v>
      </c>
      <c r="M146" s="19">
        <f t="shared" si="68"/>
        <v>0.22504281154502764</v>
      </c>
      <c r="N146" s="19">
        <f t="shared" si="68"/>
        <v>0.21491588502550141</v>
      </c>
      <c r="O146" s="19">
        <f t="shared" si="68"/>
        <v>0.20524467019935383</v>
      </c>
      <c r="P146" s="19">
        <f t="shared" si="68"/>
        <v>0.19600866004038292</v>
      </c>
      <c r="Q146" s="19">
        <f t="shared" si="68"/>
        <v>0.18718827033856569</v>
      </c>
      <c r="R146" s="19">
        <f t="shared" si="68"/>
        <v>0.17876479817333021</v>
      </c>
      <c r="S146" s="19">
        <f t="shared" si="68"/>
        <v>0.17072038225553035</v>
      </c>
      <c r="T146" s="19">
        <f t="shared" si="68"/>
        <v>0.16303796505403148</v>
      </c>
      <c r="U146" s="19">
        <f t="shared" si="68"/>
        <v>0.15570125662660006</v>
      </c>
      <c r="V146" s="19">
        <f t="shared" si="68"/>
        <v>0.14869470007840305</v>
      </c>
      <c r="W146" s="19">
        <f t="shared" si="68"/>
        <v>0.14200343857487491</v>
      </c>
      <c r="X146" s="19">
        <f t="shared" si="68"/>
        <v>0.13561328383900553</v>
      </c>
      <c r="Y146" s="19">
        <f t="shared" si="68"/>
        <v>0.1295106860662503</v>
      </c>
      <c r="Z146" s="19">
        <f t="shared" si="68"/>
        <v>0.12368270519326904</v>
      </c>
      <c r="AA146" s="19">
        <f t="shared" si="68"/>
        <v>0.11811698345957192</v>
      </c>
      <c r="AB146" s="19">
        <f t="shared" si="68"/>
        <v>0.11280171920389118</v>
      </c>
      <c r="AC146" s="19">
        <f t="shared" si="68"/>
        <v>0.10772564183971607</v>
      </c>
      <c r="AD146" s="19">
        <f t="shared" si="68"/>
        <v>0.10287798795692885</v>
      </c>
      <c r="AE146" s="19">
        <f t="shared" si="68"/>
        <v>9.8248478498867045E-2</v>
      </c>
      <c r="AF146" s="19">
        <f t="shared" si="68"/>
        <v>9.3827296966418033E-2</v>
      </c>
      <c r="AG146" s="19">
        <f t="shared" si="68"/>
        <v>8.9605068602929216E-2</v>
      </c>
      <c r="AH146" s="19">
        <f t="shared" si="68"/>
        <v>8.5572840515797416E-2</v>
      </c>
      <c r="AI146" s="19">
        <f t="shared" si="68"/>
        <v>8.1722062692586528E-2</v>
      </c>
      <c r="AJ146" s="19">
        <f t="shared" si="68"/>
        <v>7.8044569871420139E-2</v>
      </c>
    </row>
    <row r="147" spans="1:36" ht="52.5" x14ac:dyDescent="0.45">
      <c r="A147" s="4" t="s">
        <v>236</v>
      </c>
      <c r="B147" s="4" t="s">
        <v>186</v>
      </c>
      <c r="C147" s="4" t="s">
        <v>187</v>
      </c>
      <c r="D147" s="4" t="s">
        <v>416</v>
      </c>
      <c r="E147" s="19">
        <v>6.3428571428571443</v>
      </c>
      <c r="F147" s="19" t="s">
        <v>429</v>
      </c>
      <c r="G147" s="19">
        <f>$E$147</f>
        <v>6.3428571428571443</v>
      </c>
      <c r="H147" s="19">
        <f t="shared" ref="H147:AJ147" si="69">$E$147</f>
        <v>6.3428571428571443</v>
      </c>
      <c r="I147" s="19">
        <f t="shared" si="69"/>
        <v>6.3428571428571443</v>
      </c>
      <c r="J147" s="19">
        <f t="shared" si="69"/>
        <v>6.3428571428571443</v>
      </c>
      <c r="K147" s="19">
        <f t="shared" si="69"/>
        <v>6.3428571428571443</v>
      </c>
      <c r="L147" s="19">
        <f t="shared" si="69"/>
        <v>6.3428571428571443</v>
      </c>
      <c r="M147" s="19">
        <f t="shared" si="69"/>
        <v>6.3428571428571443</v>
      </c>
      <c r="N147" s="19">
        <f t="shared" si="69"/>
        <v>6.3428571428571443</v>
      </c>
      <c r="O147" s="19">
        <f t="shared" si="69"/>
        <v>6.3428571428571443</v>
      </c>
      <c r="P147" s="19">
        <f t="shared" si="69"/>
        <v>6.3428571428571443</v>
      </c>
      <c r="Q147" s="19">
        <f t="shared" si="69"/>
        <v>6.3428571428571443</v>
      </c>
      <c r="R147" s="19">
        <f t="shared" si="69"/>
        <v>6.3428571428571443</v>
      </c>
      <c r="S147" s="19">
        <f t="shared" si="69"/>
        <v>6.3428571428571443</v>
      </c>
      <c r="T147" s="19">
        <f t="shared" si="69"/>
        <v>6.3428571428571443</v>
      </c>
      <c r="U147" s="19">
        <f t="shared" si="69"/>
        <v>6.3428571428571443</v>
      </c>
      <c r="V147" s="19">
        <f t="shared" si="69"/>
        <v>6.3428571428571443</v>
      </c>
      <c r="W147" s="19">
        <f t="shared" si="69"/>
        <v>6.3428571428571443</v>
      </c>
      <c r="X147" s="19">
        <f t="shared" si="69"/>
        <v>6.3428571428571443</v>
      </c>
      <c r="Y147" s="19">
        <f t="shared" si="69"/>
        <v>6.3428571428571443</v>
      </c>
      <c r="Z147" s="19">
        <f t="shared" si="69"/>
        <v>6.3428571428571443</v>
      </c>
      <c r="AA147" s="19">
        <f t="shared" si="69"/>
        <v>6.3428571428571443</v>
      </c>
      <c r="AB147" s="19">
        <f t="shared" si="69"/>
        <v>6.3428571428571443</v>
      </c>
      <c r="AC147" s="19">
        <f t="shared" si="69"/>
        <v>6.3428571428571443</v>
      </c>
      <c r="AD147" s="19">
        <f t="shared" si="69"/>
        <v>6.3428571428571443</v>
      </c>
      <c r="AE147" s="19">
        <f t="shared" si="69"/>
        <v>6.3428571428571443</v>
      </c>
      <c r="AF147" s="19">
        <f t="shared" si="69"/>
        <v>6.3428571428571443</v>
      </c>
      <c r="AG147" s="19">
        <f t="shared" si="69"/>
        <v>6.3428571428571443</v>
      </c>
      <c r="AH147" s="19">
        <f t="shared" si="69"/>
        <v>6.3428571428571443</v>
      </c>
      <c r="AI147" s="19">
        <f t="shared" si="69"/>
        <v>6.3428571428571443</v>
      </c>
      <c r="AJ147" s="19">
        <f t="shared" si="69"/>
        <v>6.3428571428571443</v>
      </c>
    </row>
    <row r="148" spans="1:36" ht="70" x14ac:dyDescent="0.45">
      <c r="A148" s="4" t="s">
        <v>428</v>
      </c>
      <c r="B148" s="4" t="s">
        <v>188</v>
      </c>
      <c r="C148" s="4" t="s">
        <v>189</v>
      </c>
      <c r="D148" s="4" t="s">
        <v>417</v>
      </c>
      <c r="E148" s="19">
        <v>4.5589285714285719</v>
      </c>
      <c r="F148" s="19" t="s">
        <v>429</v>
      </c>
      <c r="G148" s="19">
        <f>$E$148</f>
        <v>4.5589285714285719</v>
      </c>
      <c r="H148" s="19">
        <f t="shared" ref="H148:AJ148" si="70">$E$148</f>
        <v>4.5589285714285719</v>
      </c>
      <c r="I148" s="19">
        <f t="shared" si="70"/>
        <v>4.5589285714285719</v>
      </c>
      <c r="J148" s="19">
        <f t="shared" si="70"/>
        <v>4.5589285714285719</v>
      </c>
      <c r="K148" s="19">
        <f t="shared" si="70"/>
        <v>4.5589285714285719</v>
      </c>
      <c r="L148" s="19">
        <f t="shared" si="70"/>
        <v>4.5589285714285719</v>
      </c>
      <c r="M148" s="19">
        <f t="shared" si="70"/>
        <v>4.5589285714285719</v>
      </c>
      <c r="N148" s="19">
        <f t="shared" si="70"/>
        <v>4.5589285714285719</v>
      </c>
      <c r="O148" s="19">
        <f t="shared" si="70"/>
        <v>4.5589285714285719</v>
      </c>
      <c r="P148" s="19">
        <f t="shared" si="70"/>
        <v>4.5589285714285719</v>
      </c>
      <c r="Q148" s="19">
        <f t="shared" si="70"/>
        <v>4.5589285714285719</v>
      </c>
      <c r="R148" s="19">
        <f t="shared" si="70"/>
        <v>4.5589285714285719</v>
      </c>
      <c r="S148" s="19">
        <f t="shared" si="70"/>
        <v>4.5589285714285719</v>
      </c>
      <c r="T148" s="19">
        <f t="shared" si="70"/>
        <v>4.5589285714285719</v>
      </c>
      <c r="U148" s="19">
        <f t="shared" si="70"/>
        <v>4.5589285714285719</v>
      </c>
      <c r="V148" s="19">
        <f t="shared" si="70"/>
        <v>4.5589285714285719</v>
      </c>
      <c r="W148" s="19">
        <f t="shared" si="70"/>
        <v>4.5589285714285719</v>
      </c>
      <c r="X148" s="19">
        <f t="shared" si="70"/>
        <v>4.5589285714285719</v>
      </c>
      <c r="Y148" s="19">
        <f t="shared" si="70"/>
        <v>4.5589285714285719</v>
      </c>
      <c r="Z148" s="19">
        <f t="shared" si="70"/>
        <v>4.5589285714285719</v>
      </c>
      <c r="AA148" s="19">
        <f t="shared" si="70"/>
        <v>4.5589285714285719</v>
      </c>
      <c r="AB148" s="19">
        <f t="shared" si="70"/>
        <v>4.5589285714285719</v>
      </c>
      <c r="AC148" s="19">
        <f t="shared" si="70"/>
        <v>4.5589285714285719</v>
      </c>
      <c r="AD148" s="19">
        <f t="shared" si="70"/>
        <v>4.5589285714285719</v>
      </c>
      <c r="AE148" s="19">
        <f t="shared" si="70"/>
        <v>4.5589285714285719</v>
      </c>
      <c r="AF148" s="19">
        <f t="shared" si="70"/>
        <v>4.5589285714285719</v>
      </c>
      <c r="AG148" s="19">
        <f t="shared" si="70"/>
        <v>4.5589285714285719</v>
      </c>
      <c r="AH148" s="19">
        <f t="shared" si="70"/>
        <v>4.5589285714285719</v>
      </c>
      <c r="AI148" s="19">
        <f t="shared" si="70"/>
        <v>4.5589285714285719</v>
      </c>
      <c r="AJ148" s="19">
        <f t="shared" si="70"/>
        <v>4.5589285714285719</v>
      </c>
    </row>
    <row r="149" spans="1:36" ht="52.5" x14ac:dyDescent="0.45">
      <c r="A149" s="4" t="s">
        <v>238</v>
      </c>
      <c r="B149" s="4" t="s">
        <v>190</v>
      </c>
      <c r="C149" s="4" t="s">
        <v>191</v>
      </c>
      <c r="D149" s="4" t="s">
        <v>416</v>
      </c>
      <c r="E149" s="19">
        <v>7.2582799145299151E-2</v>
      </c>
      <c r="F149" s="19" t="s">
        <v>429</v>
      </c>
      <c r="G149" s="19">
        <f>$E$149</f>
        <v>7.2582799145299151E-2</v>
      </c>
      <c r="H149" s="19">
        <f t="shared" ref="H149:AJ149" si="71">$E$149</f>
        <v>7.2582799145299151E-2</v>
      </c>
      <c r="I149" s="19">
        <f t="shared" si="71"/>
        <v>7.2582799145299151E-2</v>
      </c>
      <c r="J149" s="19">
        <f t="shared" si="71"/>
        <v>7.2582799145299151E-2</v>
      </c>
      <c r="K149" s="19">
        <f t="shared" si="71"/>
        <v>7.2582799145299151E-2</v>
      </c>
      <c r="L149" s="19">
        <f t="shared" si="71"/>
        <v>7.2582799145299151E-2</v>
      </c>
      <c r="M149" s="19">
        <f t="shared" si="71"/>
        <v>7.2582799145299151E-2</v>
      </c>
      <c r="N149" s="19">
        <f t="shared" si="71"/>
        <v>7.2582799145299151E-2</v>
      </c>
      <c r="O149" s="19">
        <f t="shared" si="71"/>
        <v>7.2582799145299151E-2</v>
      </c>
      <c r="P149" s="19">
        <f t="shared" si="71"/>
        <v>7.2582799145299151E-2</v>
      </c>
      <c r="Q149" s="19">
        <f t="shared" si="71"/>
        <v>7.2582799145299151E-2</v>
      </c>
      <c r="R149" s="19">
        <f t="shared" si="71"/>
        <v>7.2582799145299151E-2</v>
      </c>
      <c r="S149" s="19">
        <f t="shared" si="71"/>
        <v>7.2582799145299151E-2</v>
      </c>
      <c r="T149" s="19">
        <f t="shared" si="71"/>
        <v>7.2582799145299151E-2</v>
      </c>
      <c r="U149" s="19">
        <f t="shared" si="71"/>
        <v>7.2582799145299151E-2</v>
      </c>
      <c r="V149" s="19">
        <f t="shared" si="71"/>
        <v>7.2582799145299151E-2</v>
      </c>
      <c r="W149" s="19">
        <f t="shared" si="71"/>
        <v>7.2582799145299151E-2</v>
      </c>
      <c r="X149" s="19">
        <f t="shared" si="71"/>
        <v>7.2582799145299151E-2</v>
      </c>
      <c r="Y149" s="19">
        <f t="shared" si="71"/>
        <v>7.2582799145299151E-2</v>
      </c>
      <c r="Z149" s="19">
        <f t="shared" si="71"/>
        <v>7.2582799145299151E-2</v>
      </c>
      <c r="AA149" s="19">
        <f t="shared" si="71"/>
        <v>7.2582799145299151E-2</v>
      </c>
      <c r="AB149" s="19">
        <f t="shared" si="71"/>
        <v>7.2582799145299151E-2</v>
      </c>
      <c r="AC149" s="19">
        <f t="shared" si="71"/>
        <v>7.2582799145299151E-2</v>
      </c>
      <c r="AD149" s="19">
        <f t="shared" si="71"/>
        <v>7.2582799145299151E-2</v>
      </c>
      <c r="AE149" s="19">
        <f t="shared" si="71"/>
        <v>7.2582799145299151E-2</v>
      </c>
      <c r="AF149" s="19">
        <f t="shared" si="71"/>
        <v>7.2582799145299151E-2</v>
      </c>
      <c r="AG149" s="19">
        <f t="shared" si="71"/>
        <v>7.2582799145299151E-2</v>
      </c>
      <c r="AH149" s="19">
        <f t="shared" si="71"/>
        <v>7.2582799145299151E-2</v>
      </c>
      <c r="AI149" s="19">
        <f t="shared" si="71"/>
        <v>7.2582799145299151E-2</v>
      </c>
      <c r="AJ149" s="19">
        <f t="shared" si="71"/>
        <v>7.2582799145299151E-2</v>
      </c>
    </row>
    <row r="150" spans="1:36" x14ac:dyDescent="0.45">
      <c r="A150" s="34" t="s">
        <v>224</v>
      </c>
      <c r="B150" s="4" t="s">
        <v>192</v>
      </c>
      <c r="C150" s="4" t="s">
        <v>193</v>
      </c>
      <c r="D150" s="4" t="s">
        <v>390</v>
      </c>
      <c r="E150" s="4">
        <v>137</v>
      </c>
      <c r="F150" s="4" t="s">
        <v>409</v>
      </c>
      <c r="G150" s="32">
        <v>137</v>
      </c>
      <c r="H150" s="32">
        <v>137</v>
      </c>
      <c r="I150" s="32">
        <v>137</v>
      </c>
      <c r="J150" s="32">
        <v>137</v>
      </c>
      <c r="K150" s="32">
        <v>137</v>
      </c>
      <c r="L150" s="32">
        <v>137</v>
      </c>
      <c r="M150" s="32">
        <v>137</v>
      </c>
      <c r="N150" s="32">
        <v>137</v>
      </c>
      <c r="O150" s="32">
        <v>137</v>
      </c>
      <c r="P150" s="32">
        <v>137</v>
      </c>
      <c r="Q150" s="32">
        <v>137</v>
      </c>
      <c r="R150" s="32">
        <v>137</v>
      </c>
      <c r="S150" s="32">
        <v>137</v>
      </c>
      <c r="T150" s="32">
        <v>137</v>
      </c>
      <c r="U150" s="32">
        <v>137</v>
      </c>
      <c r="V150" s="32">
        <v>137</v>
      </c>
      <c r="W150" s="32">
        <v>137</v>
      </c>
      <c r="X150" s="32">
        <v>137</v>
      </c>
      <c r="Y150" s="32">
        <v>137</v>
      </c>
      <c r="Z150" s="32">
        <v>137</v>
      </c>
      <c r="AA150" s="32">
        <v>137</v>
      </c>
      <c r="AB150" s="32">
        <v>137</v>
      </c>
      <c r="AC150" s="32">
        <v>137</v>
      </c>
      <c r="AD150" s="32">
        <v>137</v>
      </c>
      <c r="AE150" s="32">
        <v>137</v>
      </c>
      <c r="AF150" s="32">
        <v>137</v>
      </c>
      <c r="AG150" s="32">
        <v>137</v>
      </c>
      <c r="AH150" s="32">
        <v>137</v>
      </c>
      <c r="AI150" s="32">
        <v>137</v>
      </c>
      <c r="AJ150" s="32">
        <v>137</v>
      </c>
    </row>
    <row r="151" spans="1:36" x14ac:dyDescent="0.45">
      <c r="A151" s="34"/>
      <c r="B151" s="4" t="s">
        <v>194</v>
      </c>
      <c r="C151" s="4" t="s">
        <v>195</v>
      </c>
      <c r="D151" s="4" t="s">
        <v>390</v>
      </c>
      <c r="E151" s="4">
        <v>791</v>
      </c>
      <c r="F151" s="4" t="s">
        <v>410</v>
      </c>
      <c r="G151" s="32">
        <v>791</v>
      </c>
      <c r="H151" s="32">
        <v>791</v>
      </c>
      <c r="I151" s="32">
        <v>791</v>
      </c>
      <c r="J151" s="32">
        <v>791</v>
      </c>
      <c r="K151" s="32">
        <v>791</v>
      </c>
      <c r="L151" s="32">
        <v>791</v>
      </c>
      <c r="M151" s="32">
        <v>791</v>
      </c>
      <c r="N151" s="32">
        <v>791</v>
      </c>
      <c r="O151" s="32">
        <v>791</v>
      </c>
      <c r="P151" s="32">
        <v>791</v>
      </c>
      <c r="Q151" s="32">
        <v>791</v>
      </c>
      <c r="R151" s="32">
        <v>791</v>
      </c>
      <c r="S151" s="32">
        <v>791</v>
      </c>
      <c r="T151" s="32">
        <v>791</v>
      </c>
      <c r="U151" s="32">
        <v>791</v>
      </c>
      <c r="V151" s="32">
        <v>791</v>
      </c>
      <c r="W151" s="32">
        <v>791</v>
      </c>
      <c r="X151" s="32">
        <v>791</v>
      </c>
      <c r="Y151" s="32">
        <v>791</v>
      </c>
      <c r="Z151" s="32">
        <v>791</v>
      </c>
      <c r="AA151" s="32">
        <v>791</v>
      </c>
      <c r="AB151" s="32">
        <v>791</v>
      </c>
      <c r="AC151" s="32">
        <v>791</v>
      </c>
      <c r="AD151" s="32">
        <v>791</v>
      </c>
      <c r="AE151" s="32">
        <v>791</v>
      </c>
      <c r="AF151" s="32">
        <v>791</v>
      </c>
      <c r="AG151" s="32">
        <v>791</v>
      </c>
      <c r="AH151" s="32">
        <v>791</v>
      </c>
      <c r="AI151" s="32">
        <v>791</v>
      </c>
      <c r="AJ151" s="32">
        <v>791</v>
      </c>
    </row>
    <row r="152" spans="1:36" x14ac:dyDescent="0.45">
      <c r="A152" s="34"/>
      <c r="B152" s="4" t="s">
        <v>196</v>
      </c>
      <c r="C152" s="4" t="s">
        <v>197</v>
      </c>
      <c r="D152" s="4" t="s">
        <v>390</v>
      </c>
      <c r="E152" s="4">
        <v>229</v>
      </c>
      <c r="F152" s="4" t="s">
        <v>411</v>
      </c>
      <c r="G152" s="32">
        <v>229</v>
      </c>
      <c r="H152" s="32">
        <v>229</v>
      </c>
      <c r="I152" s="32">
        <v>229</v>
      </c>
      <c r="J152" s="32">
        <v>229</v>
      </c>
      <c r="K152" s="32">
        <v>229</v>
      </c>
      <c r="L152" s="32">
        <v>229</v>
      </c>
      <c r="M152" s="32">
        <v>229</v>
      </c>
      <c r="N152" s="32">
        <v>229</v>
      </c>
      <c r="O152" s="32">
        <v>229</v>
      </c>
      <c r="P152" s="32">
        <v>229</v>
      </c>
      <c r="Q152" s="32">
        <v>229</v>
      </c>
      <c r="R152" s="32">
        <v>229</v>
      </c>
      <c r="S152" s="32">
        <v>229</v>
      </c>
      <c r="T152" s="32">
        <v>229</v>
      </c>
      <c r="U152" s="32">
        <v>229</v>
      </c>
      <c r="V152" s="32">
        <v>229</v>
      </c>
      <c r="W152" s="32">
        <v>229</v>
      </c>
      <c r="X152" s="32">
        <v>229</v>
      </c>
      <c r="Y152" s="32">
        <v>229</v>
      </c>
      <c r="Z152" s="32">
        <v>229</v>
      </c>
      <c r="AA152" s="32">
        <v>229</v>
      </c>
      <c r="AB152" s="32">
        <v>229</v>
      </c>
      <c r="AC152" s="32">
        <v>229</v>
      </c>
      <c r="AD152" s="32">
        <v>229</v>
      </c>
      <c r="AE152" s="32">
        <v>229</v>
      </c>
      <c r="AF152" s="32">
        <v>229</v>
      </c>
      <c r="AG152" s="32">
        <v>229</v>
      </c>
      <c r="AH152" s="32">
        <v>229</v>
      </c>
      <c r="AI152" s="32">
        <v>229</v>
      </c>
      <c r="AJ152" s="32">
        <v>229</v>
      </c>
    </row>
    <row r="153" spans="1:36" x14ac:dyDescent="0.45">
      <c r="A153" s="34"/>
      <c r="B153" s="4" t="s">
        <v>198</v>
      </c>
      <c r="C153" s="4" t="s">
        <v>199</v>
      </c>
      <c r="D153" s="4" t="s">
        <v>390</v>
      </c>
      <c r="E153" s="4">
        <v>850</v>
      </c>
      <c r="F153" s="4" t="s">
        <v>412</v>
      </c>
      <c r="G153" s="32">
        <v>850</v>
      </c>
      <c r="H153" s="32">
        <v>850</v>
      </c>
      <c r="I153" s="32">
        <v>850</v>
      </c>
      <c r="J153" s="32">
        <v>850</v>
      </c>
      <c r="K153" s="32">
        <v>850</v>
      </c>
      <c r="L153" s="32">
        <v>850</v>
      </c>
      <c r="M153" s="32">
        <v>850</v>
      </c>
      <c r="N153" s="32">
        <v>850</v>
      </c>
      <c r="O153" s="32">
        <v>850</v>
      </c>
      <c r="P153" s="32">
        <v>850</v>
      </c>
      <c r="Q153" s="32">
        <v>850</v>
      </c>
      <c r="R153" s="32">
        <v>850</v>
      </c>
      <c r="S153" s="32">
        <v>850</v>
      </c>
      <c r="T153" s="32">
        <v>850</v>
      </c>
      <c r="U153" s="32">
        <v>850</v>
      </c>
      <c r="V153" s="32">
        <v>850</v>
      </c>
      <c r="W153" s="32">
        <v>850</v>
      </c>
      <c r="X153" s="32">
        <v>850</v>
      </c>
      <c r="Y153" s="32">
        <v>850</v>
      </c>
      <c r="Z153" s="32">
        <v>850</v>
      </c>
      <c r="AA153" s="32">
        <v>850</v>
      </c>
      <c r="AB153" s="32">
        <v>850</v>
      </c>
      <c r="AC153" s="32">
        <v>850</v>
      </c>
      <c r="AD153" s="32">
        <v>850</v>
      </c>
      <c r="AE153" s="32">
        <v>850</v>
      </c>
      <c r="AF153" s="32">
        <v>850</v>
      </c>
      <c r="AG153" s="32">
        <v>850</v>
      </c>
      <c r="AH153" s="32">
        <v>850</v>
      </c>
      <c r="AI153" s="32">
        <v>850</v>
      </c>
      <c r="AJ153" s="32">
        <v>850</v>
      </c>
    </row>
    <row r="154" spans="1:36" x14ac:dyDescent="0.45">
      <c r="A154" s="34"/>
      <c r="B154" s="4" t="s">
        <v>200</v>
      </c>
      <c r="C154" s="4" t="s">
        <v>201</v>
      </c>
      <c r="D154" s="4" t="s">
        <v>390</v>
      </c>
      <c r="E154" s="4">
        <v>229</v>
      </c>
      <c r="F154" s="4" t="s">
        <v>413</v>
      </c>
      <c r="G154" s="32">
        <v>229</v>
      </c>
      <c r="H154" s="32">
        <v>229</v>
      </c>
      <c r="I154" s="32">
        <v>229</v>
      </c>
      <c r="J154" s="32">
        <v>229</v>
      </c>
      <c r="K154" s="32">
        <v>229</v>
      </c>
      <c r="L154" s="32">
        <v>229</v>
      </c>
      <c r="M154" s="32">
        <v>229</v>
      </c>
      <c r="N154" s="32">
        <v>229</v>
      </c>
      <c r="O154" s="32">
        <v>229</v>
      </c>
      <c r="P154" s="32">
        <v>229</v>
      </c>
      <c r="Q154" s="32">
        <v>229</v>
      </c>
      <c r="R154" s="32">
        <v>229</v>
      </c>
      <c r="S154" s="32">
        <v>229</v>
      </c>
      <c r="T154" s="32">
        <v>229</v>
      </c>
      <c r="U154" s="32">
        <v>229</v>
      </c>
      <c r="V154" s="32">
        <v>229</v>
      </c>
      <c r="W154" s="32">
        <v>229</v>
      </c>
      <c r="X154" s="32">
        <v>229</v>
      </c>
      <c r="Y154" s="32">
        <v>229</v>
      </c>
      <c r="Z154" s="32">
        <v>229</v>
      </c>
      <c r="AA154" s="32">
        <v>229</v>
      </c>
      <c r="AB154" s="32">
        <v>229</v>
      </c>
      <c r="AC154" s="32">
        <v>229</v>
      </c>
      <c r="AD154" s="32">
        <v>229</v>
      </c>
      <c r="AE154" s="32">
        <v>229</v>
      </c>
      <c r="AF154" s="32">
        <v>229</v>
      </c>
      <c r="AG154" s="32">
        <v>229</v>
      </c>
      <c r="AH154" s="32">
        <v>229</v>
      </c>
      <c r="AI154" s="32">
        <v>229</v>
      </c>
      <c r="AJ154" s="32">
        <v>229</v>
      </c>
    </row>
    <row r="155" spans="1:36" x14ac:dyDescent="0.45">
      <c r="A155" s="34"/>
      <c r="B155" s="4" t="s">
        <v>202</v>
      </c>
      <c r="C155" s="4" t="s">
        <v>203</v>
      </c>
      <c r="D155" s="4" t="s">
        <v>390</v>
      </c>
      <c r="E155" s="4">
        <v>229</v>
      </c>
      <c r="F155" s="4" t="s">
        <v>414</v>
      </c>
      <c r="G155" s="32">
        <v>229</v>
      </c>
      <c r="H155" s="32">
        <v>229</v>
      </c>
      <c r="I155" s="32">
        <v>229</v>
      </c>
      <c r="J155" s="32">
        <v>229</v>
      </c>
      <c r="K155" s="32">
        <v>229</v>
      </c>
      <c r="L155" s="32">
        <v>229</v>
      </c>
      <c r="M155" s="32">
        <v>229</v>
      </c>
      <c r="N155" s="32">
        <v>229</v>
      </c>
      <c r="O155" s="32">
        <v>229</v>
      </c>
      <c r="P155" s="32">
        <v>229</v>
      </c>
      <c r="Q155" s="32">
        <v>229</v>
      </c>
      <c r="R155" s="32">
        <v>229</v>
      </c>
      <c r="S155" s="32">
        <v>229</v>
      </c>
      <c r="T155" s="32">
        <v>229</v>
      </c>
      <c r="U155" s="32">
        <v>229</v>
      </c>
      <c r="V155" s="32">
        <v>229</v>
      </c>
      <c r="W155" s="32">
        <v>229</v>
      </c>
      <c r="X155" s="32">
        <v>229</v>
      </c>
      <c r="Y155" s="32">
        <v>229</v>
      </c>
      <c r="Z155" s="32">
        <v>229</v>
      </c>
      <c r="AA155" s="32">
        <v>229</v>
      </c>
      <c r="AB155" s="32">
        <v>229</v>
      </c>
      <c r="AC155" s="32">
        <v>229</v>
      </c>
      <c r="AD155" s="32">
        <v>229</v>
      </c>
      <c r="AE155" s="32">
        <v>229</v>
      </c>
      <c r="AF155" s="32">
        <v>229</v>
      </c>
      <c r="AG155" s="32">
        <v>229</v>
      </c>
      <c r="AH155" s="32">
        <v>229</v>
      </c>
      <c r="AI155" s="32">
        <v>229</v>
      </c>
      <c r="AJ155" s="32">
        <v>229</v>
      </c>
    </row>
  </sheetData>
  <mergeCells count="25">
    <mergeCell ref="A150:A155"/>
    <mergeCell ref="A97:A98"/>
    <mergeCell ref="A99:A100"/>
    <mergeCell ref="A101:A102"/>
    <mergeCell ref="A104:A120"/>
    <mergeCell ref="A121:A136"/>
    <mergeCell ref="A137:A146"/>
    <mergeCell ref="A58:A59"/>
    <mergeCell ref="A95:A96"/>
    <mergeCell ref="A60:A64"/>
    <mergeCell ref="A65:A67"/>
    <mergeCell ref="A68:A69"/>
    <mergeCell ref="A70:A73"/>
    <mergeCell ref="A74:A75"/>
    <mergeCell ref="A76:A80"/>
    <mergeCell ref="A81:A84"/>
    <mergeCell ref="A85:A88"/>
    <mergeCell ref="A89:A90"/>
    <mergeCell ref="A91:A92"/>
    <mergeCell ref="A93:A94"/>
    <mergeCell ref="A2:A18"/>
    <mergeCell ref="A19:A25"/>
    <mergeCell ref="A26:A46"/>
    <mergeCell ref="A55:A57"/>
    <mergeCell ref="A47:A54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8"/>
  <sheetViews>
    <sheetView zoomScale="70" zoomScaleNormal="70" workbookViewId="0">
      <selection sqref="A1:XFD1"/>
    </sheetView>
  </sheetViews>
  <sheetFormatPr baseColWidth="10" defaultRowHeight="17.5" x14ac:dyDescent="0.45"/>
  <cols>
    <col min="2" max="2" width="40.53515625" bestFit="1" customWidth="1"/>
    <col min="6" max="6" width="16.765625" bestFit="1" customWidth="1"/>
  </cols>
  <sheetData>
    <row r="1" spans="1:6" ht="35" x14ac:dyDescent="0.45">
      <c r="A1" s="12" t="s">
        <v>260</v>
      </c>
      <c r="B1" s="12" t="s">
        <v>204</v>
      </c>
      <c r="C1" s="12" t="s">
        <v>205</v>
      </c>
      <c r="D1" s="12" t="s">
        <v>239</v>
      </c>
      <c r="E1" s="12" t="s">
        <v>403</v>
      </c>
      <c r="F1" s="12" t="s">
        <v>240</v>
      </c>
    </row>
    <row r="2" spans="1:6" ht="35" customHeight="1" x14ac:dyDescent="0.45">
      <c r="A2" s="34" t="s">
        <v>207</v>
      </c>
      <c r="B2" s="4" t="s">
        <v>0</v>
      </c>
      <c r="C2" s="4" t="s">
        <v>1</v>
      </c>
      <c r="D2" s="4" t="s">
        <v>268</v>
      </c>
      <c r="E2" s="4">
        <v>91.2</v>
      </c>
      <c r="F2" s="4" t="s">
        <v>419</v>
      </c>
    </row>
    <row r="3" spans="1:6" x14ac:dyDescent="0.45">
      <c r="A3" s="34"/>
      <c r="B3" s="4" t="s">
        <v>2</v>
      </c>
      <c r="C3" s="4" t="s">
        <v>3</v>
      </c>
      <c r="D3" s="4" t="s">
        <v>269</v>
      </c>
      <c r="E3" s="4">
        <v>368</v>
      </c>
      <c r="F3" s="4" t="s">
        <v>267</v>
      </c>
    </row>
    <row r="4" spans="1:6" x14ac:dyDescent="0.45">
      <c r="A4" s="34"/>
      <c r="B4" s="4" t="s">
        <v>6</v>
      </c>
      <c r="C4" s="4" t="s">
        <v>7</v>
      </c>
      <c r="D4" s="4" t="s">
        <v>270</v>
      </c>
      <c r="E4" s="4">
        <v>456</v>
      </c>
      <c r="F4" s="4" t="s">
        <v>267</v>
      </c>
    </row>
    <row r="5" spans="1:6" x14ac:dyDescent="0.45">
      <c r="A5" s="34"/>
      <c r="B5" s="4" t="s">
        <v>10</v>
      </c>
      <c r="C5" s="4" t="s">
        <v>11</v>
      </c>
      <c r="D5" s="4" t="s">
        <v>401</v>
      </c>
      <c r="E5" s="4">
        <v>118.6</v>
      </c>
      <c r="F5" s="4" t="s">
        <v>432</v>
      </c>
    </row>
    <row r="6" spans="1:6" x14ac:dyDescent="0.45">
      <c r="A6" s="34"/>
      <c r="B6" s="4" t="s">
        <v>12</v>
      </c>
      <c r="C6" s="4" t="s">
        <v>13</v>
      </c>
      <c r="D6" s="4" t="s">
        <v>401</v>
      </c>
      <c r="E6" s="4">
        <v>118.8</v>
      </c>
      <c r="F6" s="4" t="s">
        <v>248</v>
      </c>
    </row>
    <row r="7" spans="1:6" x14ac:dyDescent="0.45">
      <c r="A7" s="34"/>
      <c r="B7" s="4" t="s">
        <v>14</v>
      </c>
      <c r="C7" s="4" t="s">
        <v>15</v>
      </c>
      <c r="D7" s="4" t="s">
        <v>401</v>
      </c>
      <c r="E7" s="4">
        <v>315.5</v>
      </c>
      <c r="F7" s="4" t="s">
        <v>248</v>
      </c>
    </row>
    <row r="8" spans="1:6" x14ac:dyDescent="0.45">
      <c r="A8" s="34"/>
      <c r="B8" s="4" t="s">
        <v>16</v>
      </c>
      <c r="C8" s="4" t="s">
        <v>17</v>
      </c>
      <c r="D8" s="4" t="s">
        <v>401</v>
      </c>
      <c r="E8" s="4">
        <v>143</v>
      </c>
      <c r="F8" s="4" t="s">
        <v>248</v>
      </c>
    </row>
    <row r="9" spans="1:6" ht="35" x14ac:dyDescent="0.45">
      <c r="A9" s="34"/>
      <c r="B9" s="4" t="s">
        <v>18</v>
      </c>
      <c r="C9" s="4" t="s">
        <v>19</v>
      </c>
      <c r="D9" s="4" t="s">
        <v>401</v>
      </c>
      <c r="E9" s="4">
        <v>165</v>
      </c>
      <c r="F9" s="4" t="s">
        <v>248</v>
      </c>
    </row>
    <row r="10" spans="1:6" x14ac:dyDescent="0.45">
      <c r="A10" s="34"/>
      <c r="B10" s="4" t="s">
        <v>433</v>
      </c>
      <c r="C10" s="4" t="s">
        <v>21</v>
      </c>
      <c r="D10" s="4" t="s">
        <v>401</v>
      </c>
      <c r="E10" s="4">
        <v>0.42099999999999999</v>
      </c>
      <c r="F10" s="4" t="s">
        <v>432</v>
      </c>
    </row>
    <row r="11" spans="1:6" x14ac:dyDescent="0.45">
      <c r="A11" s="34"/>
      <c r="B11" s="4" t="s">
        <v>256</v>
      </c>
      <c r="C11" s="4" t="s">
        <v>258</v>
      </c>
      <c r="D11" s="4" t="s">
        <v>401</v>
      </c>
      <c r="E11" s="4">
        <v>1615.9</v>
      </c>
      <c r="F11" s="4" t="s">
        <v>248</v>
      </c>
    </row>
    <row r="12" spans="1:6" x14ac:dyDescent="0.45">
      <c r="A12" s="34"/>
      <c r="B12" s="4" t="s">
        <v>257</v>
      </c>
      <c r="C12" s="4" t="s">
        <v>259</v>
      </c>
      <c r="D12" s="4" t="s">
        <v>401</v>
      </c>
      <c r="E12" s="4">
        <v>876.7</v>
      </c>
      <c r="F12" s="4" t="s">
        <v>248</v>
      </c>
    </row>
    <row r="13" spans="1:6" x14ac:dyDescent="0.45">
      <c r="A13" s="34"/>
      <c r="B13" s="4" t="s">
        <v>22</v>
      </c>
      <c r="C13" s="4" t="s">
        <v>23</v>
      </c>
      <c r="D13" s="4" t="s">
        <v>401</v>
      </c>
      <c r="E13" s="4">
        <v>285.3</v>
      </c>
      <c r="F13" s="4" t="s">
        <v>402</v>
      </c>
    </row>
    <row r="14" spans="1:6" x14ac:dyDescent="0.45">
      <c r="A14" s="34"/>
      <c r="B14" s="4" t="s">
        <v>24</v>
      </c>
      <c r="C14" s="4" t="s">
        <v>25</v>
      </c>
      <c r="D14" s="4" t="s">
        <v>401</v>
      </c>
      <c r="E14" s="4">
        <v>63.08</v>
      </c>
      <c r="F14" s="4" t="s">
        <v>365</v>
      </c>
    </row>
    <row r="15" spans="1:6" ht="35" x14ac:dyDescent="0.45">
      <c r="A15" s="34"/>
      <c r="B15" s="4" t="s">
        <v>249</v>
      </c>
      <c r="C15" s="4" t="s">
        <v>26</v>
      </c>
      <c r="D15" s="4" t="s">
        <v>401</v>
      </c>
      <c r="E15" s="4">
        <v>10396.799999999999</v>
      </c>
      <c r="F15" s="4" t="s">
        <v>397</v>
      </c>
    </row>
    <row r="16" spans="1:6" ht="35" x14ac:dyDescent="0.45">
      <c r="A16" s="34"/>
      <c r="B16" s="4" t="s">
        <v>250</v>
      </c>
      <c r="C16" s="4" t="s">
        <v>251</v>
      </c>
      <c r="D16" s="4" t="s">
        <v>401</v>
      </c>
      <c r="E16" s="4">
        <v>69.69</v>
      </c>
      <c r="F16" s="4" t="s">
        <v>397</v>
      </c>
    </row>
    <row r="17" spans="1:6" ht="35" x14ac:dyDescent="0.45">
      <c r="A17" s="34"/>
      <c r="B17" s="4" t="s">
        <v>252</v>
      </c>
      <c r="C17" s="4" t="s">
        <v>255</v>
      </c>
      <c r="D17" s="4" t="s">
        <v>401</v>
      </c>
      <c r="E17" s="4">
        <v>5386.18</v>
      </c>
      <c r="F17" s="4" t="s">
        <v>397</v>
      </c>
    </row>
    <row r="18" spans="1:6" x14ac:dyDescent="0.45">
      <c r="A18" s="34"/>
      <c r="B18" s="4" t="s">
        <v>253</v>
      </c>
      <c r="C18" s="4" t="s">
        <v>254</v>
      </c>
      <c r="D18" s="4" t="s">
        <v>401</v>
      </c>
      <c r="E18" s="4">
        <v>1935.36</v>
      </c>
      <c r="F18" s="4" t="s">
        <v>397</v>
      </c>
    </row>
  </sheetData>
  <mergeCells count="1">
    <mergeCell ref="A2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6"/>
  <sheetViews>
    <sheetView workbookViewId="0">
      <selection activeCell="F11" sqref="F11"/>
    </sheetView>
  </sheetViews>
  <sheetFormatPr baseColWidth="10" defaultRowHeight="17.5" x14ac:dyDescent="0.45"/>
  <cols>
    <col min="2" max="2" width="40.53515625" bestFit="1" customWidth="1"/>
    <col min="5" max="5" width="11.23046875" bestFit="1" customWidth="1"/>
    <col min="6" max="6" width="13.3046875" bestFit="1" customWidth="1"/>
  </cols>
  <sheetData>
    <row r="2" spans="1:7" ht="35" x14ac:dyDescent="0.45">
      <c r="A2" s="12" t="s">
        <v>260</v>
      </c>
      <c r="B2" s="12" t="s">
        <v>204</v>
      </c>
      <c r="C2" s="12" t="s">
        <v>205</v>
      </c>
      <c r="D2" s="12" t="s">
        <v>239</v>
      </c>
      <c r="E2" s="12" t="s">
        <v>263</v>
      </c>
      <c r="F2" s="12" t="s">
        <v>240</v>
      </c>
    </row>
    <row r="3" spans="1:7" x14ac:dyDescent="0.45">
      <c r="A3" s="34" t="s">
        <v>207</v>
      </c>
      <c r="B3" s="4" t="s">
        <v>0</v>
      </c>
      <c r="C3" s="4" t="s">
        <v>1</v>
      </c>
      <c r="D3" s="4" t="s">
        <v>262</v>
      </c>
      <c r="E3" s="4">
        <v>1586</v>
      </c>
      <c r="F3" s="4" t="s">
        <v>264</v>
      </c>
    </row>
    <row r="4" spans="1:7" ht="87.5" x14ac:dyDescent="0.45">
      <c r="A4" s="34"/>
      <c r="B4" s="4" t="s">
        <v>2</v>
      </c>
      <c r="C4" s="4" t="s">
        <v>3</v>
      </c>
      <c r="D4" s="4" t="s">
        <v>265</v>
      </c>
      <c r="E4" s="4">
        <v>3546.4</v>
      </c>
      <c r="F4" s="4" t="s">
        <v>267</v>
      </c>
      <c r="G4" s="4" t="s">
        <v>565</v>
      </c>
    </row>
    <row r="5" spans="1:7" x14ac:dyDescent="0.45">
      <c r="A5" s="34"/>
      <c r="B5" s="4" t="s">
        <v>6</v>
      </c>
      <c r="C5" s="4" t="s">
        <v>7</v>
      </c>
      <c r="D5" s="4" t="s">
        <v>266</v>
      </c>
      <c r="E5" s="4">
        <v>23700</v>
      </c>
      <c r="F5" s="4" t="s">
        <v>267</v>
      </c>
    </row>
    <row r="6" spans="1:7" x14ac:dyDescent="0.45">
      <c r="A6" s="34"/>
      <c r="B6" s="4" t="s">
        <v>24</v>
      </c>
      <c r="C6" s="4" t="s">
        <v>25</v>
      </c>
      <c r="D6" s="4" t="s">
        <v>436</v>
      </c>
      <c r="E6" s="4">
        <v>11000</v>
      </c>
      <c r="F6" s="18" t="s">
        <v>435</v>
      </c>
    </row>
  </sheetData>
  <mergeCells count="1">
    <mergeCell ref="A3:A6"/>
  </mergeCells>
  <hyperlinks>
    <hyperlink ref="F6" r:id="rId1" display="https://www.portafolio.co/negocios/colombia-explora-sus-reservas-de-uranio-503210" xr:uid="{9D34ECAB-EFDC-4366-8830-C11F9ACE57E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7C67-3AA0-4AB8-952E-7B2E9D5C4C6B}">
  <dimension ref="B1:AI43"/>
  <sheetViews>
    <sheetView topLeftCell="AF1" workbookViewId="0">
      <selection activeCell="AL1" sqref="AL1:BS1048576"/>
    </sheetView>
  </sheetViews>
  <sheetFormatPr baseColWidth="10" defaultRowHeight="17.5" x14ac:dyDescent="0.45"/>
  <cols>
    <col min="2" max="2" width="34.4609375" customWidth="1"/>
  </cols>
  <sheetData>
    <row r="1" spans="2:35" x14ac:dyDescent="0.45">
      <c r="B1" t="s">
        <v>513</v>
      </c>
    </row>
    <row r="2" spans="2:35" x14ac:dyDescent="0.45">
      <c r="B2" s="3" t="s">
        <v>364</v>
      </c>
      <c r="C2" s="3" t="s">
        <v>205</v>
      </c>
      <c r="D2" s="3" t="s">
        <v>239</v>
      </c>
      <c r="E2" s="3">
        <v>2020</v>
      </c>
      <c r="F2" s="3">
        <v>2021</v>
      </c>
      <c r="G2" s="3">
        <v>2022</v>
      </c>
      <c r="H2" s="3">
        <v>2023</v>
      </c>
      <c r="I2" s="3">
        <v>2024</v>
      </c>
      <c r="J2" s="3">
        <v>2025</v>
      </c>
      <c r="K2" s="3">
        <v>2026</v>
      </c>
      <c r="L2" s="3">
        <v>2027</v>
      </c>
      <c r="M2" s="3">
        <v>2028</v>
      </c>
      <c r="N2" s="3">
        <v>2029</v>
      </c>
      <c r="O2" s="3">
        <v>2030</v>
      </c>
      <c r="P2" s="3">
        <v>2031</v>
      </c>
      <c r="Q2" s="3">
        <v>2032</v>
      </c>
      <c r="R2" s="3">
        <v>2033</v>
      </c>
      <c r="S2" s="3">
        <v>2034</v>
      </c>
      <c r="T2" s="3">
        <v>2035</v>
      </c>
      <c r="U2" s="3">
        <v>2036</v>
      </c>
      <c r="V2" s="3">
        <v>2037</v>
      </c>
      <c r="W2" s="3">
        <v>2038</v>
      </c>
      <c r="X2" s="3">
        <v>2039</v>
      </c>
      <c r="Y2" s="3">
        <v>2040</v>
      </c>
      <c r="Z2" s="3">
        <v>2041</v>
      </c>
      <c r="AA2" s="3">
        <v>2042</v>
      </c>
      <c r="AB2" s="3">
        <v>2043</v>
      </c>
      <c r="AC2" s="3">
        <v>2044</v>
      </c>
      <c r="AD2" s="3">
        <v>2045</v>
      </c>
      <c r="AE2" s="3">
        <v>2046</v>
      </c>
      <c r="AF2" s="3">
        <v>2047</v>
      </c>
      <c r="AG2" s="3">
        <v>2048</v>
      </c>
      <c r="AH2" s="3">
        <v>2049</v>
      </c>
      <c r="AI2" s="3">
        <v>2050</v>
      </c>
    </row>
    <row r="3" spans="2:35" x14ac:dyDescent="0.45">
      <c r="B3" s="4" t="s">
        <v>4</v>
      </c>
      <c r="C3" s="17" t="s">
        <v>5</v>
      </c>
      <c r="D3" s="4" t="s">
        <v>514</v>
      </c>
      <c r="E3" s="9">
        <v>46.3</v>
      </c>
      <c r="F3" s="9">
        <v>46.3</v>
      </c>
      <c r="G3" s="9">
        <v>43.6</v>
      </c>
      <c r="H3" s="9">
        <v>46</v>
      </c>
      <c r="I3" s="9">
        <v>49.7</v>
      </c>
      <c r="J3" s="9">
        <v>52.4</v>
      </c>
      <c r="K3" s="9">
        <v>54.9</v>
      </c>
      <c r="L3" s="9">
        <v>57.2</v>
      </c>
      <c r="M3" s="9">
        <v>59.2</v>
      </c>
      <c r="N3" s="9">
        <v>61.1</v>
      </c>
      <c r="O3" s="9">
        <v>62.9</v>
      </c>
      <c r="P3" s="9">
        <v>64.5</v>
      </c>
      <c r="Q3" s="9">
        <v>66.099999999999994</v>
      </c>
      <c r="R3" s="9">
        <v>67.5</v>
      </c>
      <c r="S3" s="9">
        <v>68.599999999999994</v>
      </c>
      <c r="T3" s="9">
        <v>69.400000000000006</v>
      </c>
      <c r="U3" s="9">
        <v>70.400000000000006</v>
      </c>
      <c r="V3" s="9">
        <f>2.0691*V2-4139</f>
        <v>75.75669999999991</v>
      </c>
      <c r="W3" s="9">
        <f t="shared" ref="W3:AI3" si="0">2.0691*W2-4139</f>
        <v>77.825800000000527</v>
      </c>
      <c r="X3" s="9">
        <f t="shared" si="0"/>
        <v>79.894900000000234</v>
      </c>
      <c r="Y3" s="9">
        <f t="shared" si="0"/>
        <v>81.963999999999942</v>
      </c>
      <c r="Z3" s="9">
        <f t="shared" si="0"/>
        <v>84.033100000000559</v>
      </c>
      <c r="AA3" s="9">
        <f t="shared" si="0"/>
        <v>86.102200000000266</v>
      </c>
      <c r="AB3" s="9">
        <f t="shared" si="0"/>
        <v>88.171299999999974</v>
      </c>
      <c r="AC3" s="9">
        <f t="shared" si="0"/>
        <v>90.240400000000591</v>
      </c>
      <c r="AD3" s="9">
        <f t="shared" si="0"/>
        <v>92.309500000000298</v>
      </c>
      <c r="AE3" s="9">
        <f t="shared" si="0"/>
        <v>94.378600000000006</v>
      </c>
      <c r="AF3" s="9">
        <f t="shared" si="0"/>
        <v>96.447700000000623</v>
      </c>
      <c r="AG3" s="9">
        <f t="shared" si="0"/>
        <v>98.51680000000033</v>
      </c>
      <c r="AH3" s="9">
        <f t="shared" si="0"/>
        <v>100.58590000000004</v>
      </c>
      <c r="AI3" s="9">
        <f t="shared" si="0"/>
        <v>102.65500000000065</v>
      </c>
    </row>
    <row r="4" spans="2:35" x14ac:dyDescent="0.45">
      <c r="B4" s="4" t="s">
        <v>8</v>
      </c>
      <c r="C4" s="17" t="s">
        <v>9</v>
      </c>
      <c r="D4" s="4" t="s">
        <v>515</v>
      </c>
      <c r="E4" s="9">
        <v>6.8868419843661632</v>
      </c>
      <c r="F4" s="9">
        <v>6.8868419843661632</v>
      </c>
      <c r="G4" s="9">
        <v>6.8342455599133771</v>
      </c>
      <c r="H4" s="9">
        <v>6.7435772774635376</v>
      </c>
      <c r="I4" s="9">
        <v>6.3412882291697166</v>
      </c>
      <c r="J4" s="9">
        <v>6.2570297445989338</v>
      </c>
      <c r="K4" s="9">
        <v>6.4338755539825918</v>
      </c>
      <c r="L4" s="9">
        <v>6.5857722913890528</v>
      </c>
      <c r="M4" s="9">
        <v>6.7744149501965829</v>
      </c>
      <c r="N4" s="9">
        <v>7.0115108099385033</v>
      </c>
      <c r="O4" s="9">
        <v>7.1686220755161232</v>
      </c>
      <c r="P4" s="9">
        <v>7.2307174031815089</v>
      </c>
      <c r="Q4" s="9">
        <v>7.3103741389382719</v>
      </c>
      <c r="R4" s="9">
        <v>7.4337942398408279</v>
      </c>
      <c r="S4" s="9">
        <v>7.5213401302260969</v>
      </c>
      <c r="T4" s="9">
        <v>7.5638588818688968</v>
      </c>
      <c r="U4" s="9">
        <v>7.5824319917471152</v>
      </c>
      <c r="V4" s="9">
        <f>0.1243*V2-245.35</f>
        <v>7.8490999999999929</v>
      </c>
      <c r="W4" s="9">
        <f t="shared" ref="W4:AI4" si="1">0.1243*W2-245.35</f>
        <v>7.973399999999998</v>
      </c>
      <c r="X4" s="9">
        <f t="shared" si="1"/>
        <v>8.0977000000000032</v>
      </c>
      <c r="Y4" s="9">
        <f t="shared" si="1"/>
        <v>8.22199999999998</v>
      </c>
      <c r="Z4" s="9">
        <f t="shared" si="1"/>
        <v>8.3462999999999852</v>
      </c>
      <c r="AA4" s="9">
        <f t="shared" si="1"/>
        <v>8.4705999999999904</v>
      </c>
      <c r="AB4" s="9">
        <f t="shared" si="1"/>
        <v>8.5948999999999955</v>
      </c>
      <c r="AC4" s="9">
        <f t="shared" si="1"/>
        <v>8.7192000000000007</v>
      </c>
      <c r="AD4" s="9">
        <f t="shared" si="1"/>
        <v>8.8435000000000059</v>
      </c>
      <c r="AE4" s="9">
        <f t="shared" si="1"/>
        <v>8.9677999999999827</v>
      </c>
      <c r="AF4" s="9">
        <f t="shared" si="1"/>
        <v>9.0920999999999879</v>
      </c>
      <c r="AG4" s="9">
        <f t="shared" si="1"/>
        <v>9.216399999999993</v>
      </c>
      <c r="AH4" s="9">
        <f t="shared" si="1"/>
        <v>9.3406999999999982</v>
      </c>
      <c r="AI4" s="9">
        <f t="shared" si="1"/>
        <v>9.4650000000000034</v>
      </c>
    </row>
    <row r="5" spans="2:35" x14ac:dyDescent="0.45">
      <c r="B5" s="4" t="s">
        <v>27</v>
      </c>
      <c r="C5" s="17" t="s">
        <v>28</v>
      </c>
      <c r="D5" s="4" t="s">
        <v>515</v>
      </c>
      <c r="E5" s="9">
        <v>9.2949503760591856</v>
      </c>
      <c r="F5" s="9">
        <v>9.2949503760591856</v>
      </c>
      <c r="G5" s="9">
        <v>8.740169115781347</v>
      </c>
      <c r="H5" s="9">
        <v>8.6824442526919388</v>
      </c>
      <c r="I5" s="9">
        <v>8.7527021394407036</v>
      </c>
      <c r="J5" s="9">
        <v>9.0083448380869573</v>
      </c>
      <c r="K5" s="9">
        <v>9.2510300743411324</v>
      </c>
      <c r="L5" s="9">
        <v>9.4430276455825961</v>
      </c>
      <c r="M5" s="9">
        <v>9.6542892164220717</v>
      </c>
      <c r="N5" s="9">
        <v>9.8599661049371594</v>
      </c>
      <c r="O5" s="9">
        <v>10.076229676629209</v>
      </c>
      <c r="P5" s="9">
        <v>10.275858403052002</v>
      </c>
      <c r="Q5" s="9">
        <v>10.443431857100151</v>
      </c>
      <c r="R5" s="9">
        <v>10.601649514894275</v>
      </c>
      <c r="S5" s="9">
        <v>10.719310973157512</v>
      </c>
      <c r="T5" s="9">
        <v>10.816829862577777</v>
      </c>
      <c r="U5" s="9">
        <v>10.919332412007995</v>
      </c>
      <c r="V5" s="9">
        <f t="shared" ref="V5:AI5" si="2">0.1834*V2-362.39</f>
        <v>11.19580000000002</v>
      </c>
      <c r="W5" s="9">
        <f t="shared" si="2"/>
        <v>11.379200000000026</v>
      </c>
      <c r="X5" s="9">
        <f t="shared" si="2"/>
        <v>11.562600000000032</v>
      </c>
      <c r="Y5" s="9">
        <f t="shared" si="2"/>
        <v>11.746000000000038</v>
      </c>
      <c r="Z5" s="9">
        <f t="shared" si="2"/>
        <v>11.929400000000044</v>
      </c>
      <c r="AA5" s="9">
        <f t="shared" si="2"/>
        <v>12.11280000000005</v>
      </c>
      <c r="AB5" s="9">
        <f t="shared" si="2"/>
        <v>12.296200000000056</v>
      </c>
      <c r="AC5" s="9">
        <f t="shared" si="2"/>
        <v>12.479600000000005</v>
      </c>
      <c r="AD5" s="9">
        <f t="shared" si="2"/>
        <v>12.663000000000011</v>
      </c>
      <c r="AE5" s="9">
        <f t="shared" si="2"/>
        <v>12.846400000000017</v>
      </c>
      <c r="AF5" s="9">
        <f t="shared" si="2"/>
        <v>13.029800000000023</v>
      </c>
      <c r="AG5" s="9">
        <f t="shared" si="2"/>
        <v>13.213200000000029</v>
      </c>
      <c r="AH5" s="9">
        <f t="shared" si="2"/>
        <v>13.396600000000035</v>
      </c>
      <c r="AI5" s="9">
        <f t="shared" si="2"/>
        <v>13.580000000000041</v>
      </c>
    </row>
    <row r="6" spans="2:35" x14ac:dyDescent="0.45">
      <c r="B6" s="4" t="s">
        <v>29</v>
      </c>
      <c r="C6" s="17" t="s">
        <v>30</v>
      </c>
      <c r="D6" s="4" t="s">
        <v>515</v>
      </c>
      <c r="E6" s="9">
        <v>10.092819377194425</v>
      </c>
      <c r="F6" s="9">
        <v>10.092819377194425</v>
      </c>
      <c r="G6" s="9">
        <v>9.8414875923334595</v>
      </c>
      <c r="H6" s="9">
        <v>9.8423083946753902</v>
      </c>
      <c r="I6" s="9">
        <v>10.080898425921076</v>
      </c>
      <c r="J6" s="9">
        <v>10.292811687660144</v>
      </c>
      <c r="K6" s="9">
        <v>10.453540180444998</v>
      </c>
      <c r="L6" s="9">
        <v>10.595763397649142</v>
      </c>
      <c r="M6" s="9">
        <v>10.775135453528625</v>
      </c>
      <c r="N6" s="9">
        <v>10.945236558182193</v>
      </c>
      <c r="O6" s="9">
        <v>11.124451705609104</v>
      </c>
      <c r="P6" s="9">
        <v>11.317993483597443</v>
      </c>
      <c r="Q6" s="9">
        <v>11.440866925057598</v>
      </c>
      <c r="R6" s="9">
        <v>11.545104899914991</v>
      </c>
      <c r="S6" s="9">
        <v>11.599251149263628</v>
      </c>
      <c r="T6" s="9">
        <v>11.650139017861877</v>
      </c>
      <c r="U6" s="9">
        <v>11.692268572845421</v>
      </c>
      <c r="V6" s="9">
        <f t="shared" ref="V6:AI6" si="3">0.1294*V2-251.72</f>
        <v>11.86779999999996</v>
      </c>
      <c r="W6" s="9">
        <f t="shared" si="3"/>
        <v>11.997199999999992</v>
      </c>
      <c r="X6" s="9">
        <f t="shared" si="3"/>
        <v>12.126599999999968</v>
      </c>
      <c r="Y6" s="9">
        <f t="shared" si="3"/>
        <v>12.256</v>
      </c>
      <c r="Z6" s="9">
        <f t="shared" si="3"/>
        <v>12.385399999999976</v>
      </c>
      <c r="AA6" s="9">
        <f t="shared" si="3"/>
        <v>12.514799999999951</v>
      </c>
      <c r="AB6" s="9">
        <f t="shared" si="3"/>
        <v>12.644199999999984</v>
      </c>
      <c r="AC6" s="9">
        <f t="shared" si="3"/>
        <v>12.773599999999959</v>
      </c>
      <c r="AD6" s="9">
        <f t="shared" si="3"/>
        <v>12.902999999999992</v>
      </c>
      <c r="AE6" s="9">
        <f t="shared" si="3"/>
        <v>13.032399999999967</v>
      </c>
      <c r="AF6" s="9">
        <f t="shared" si="3"/>
        <v>13.161799999999999</v>
      </c>
      <c r="AG6" s="9">
        <f t="shared" si="3"/>
        <v>13.291199999999975</v>
      </c>
      <c r="AH6" s="9">
        <f t="shared" si="3"/>
        <v>13.420599999999951</v>
      </c>
      <c r="AI6" s="9">
        <f t="shared" si="3"/>
        <v>13.549999999999983</v>
      </c>
    </row>
    <row r="7" spans="2:35" x14ac:dyDescent="0.45">
      <c r="B7" s="4" t="s">
        <v>31</v>
      </c>
      <c r="C7" s="17" t="s">
        <v>32</v>
      </c>
      <c r="D7" s="4" t="s">
        <v>515</v>
      </c>
      <c r="E7" s="9">
        <v>10.456499353990139</v>
      </c>
      <c r="F7" s="9">
        <v>10.456499353990139</v>
      </c>
      <c r="G7" s="9">
        <v>9.8302242369542903</v>
      </c>
      <c r="H7" s="9">
        <v>9.960221178673871</v>
      </c>
      <c r="I7" s="9">
        <v>10.112463149988747</v>
      </c>
      <c r="J7" s="9">
        <v>10.207852374326057</v>
      </c>
      <c r="K7" s="9">
        <v>10.343840756699914</v>
      </c>
      <c r="L7" s="9">
        <v>10.445752473149453</v>
      </c>
      <c r="M7" s="9">
        <v>10.628925404495503</v>
      </c>
      <c r="N7" s="9">
        <v>10.852830165041224</v>
      </c>
      <c r="O7" s="9">
        <v>11.187244347737169</v>
      </c>
      <c r="P7" s="9">
        <v>11.494783695799834</v>
      </c>
      <c r="Q7" s="9">
        <v>11.627406864463026</v>
      </c>
      <c r="R7" s="9">
        <v>11.79399764431348</v>
      </c>
      <c r="S7" s="9">
        <v>11.912376579088503</v>
      </c>
      <c r="T7" s="9">
        <v>12.037753692789193</v>
      </c>
      <c r="U7" s="9">
        <v>12.155900411167821</v>
      </c>
      <c r="V7" s="9">
        <f t="shared" ref="V7:AI7" si="4">0.1807*V2-355.67</f>
        <v>12.415899999999965</v>
      </c>
      <c r="W7" s="9">
        <f t="shared" si="4"/>
        <v>12.596599999999967</v>
      </c>
      <c r="X7" s="9">
        <f t="shared" si="4"/>
        <v>12.777299999999968</v>
      </c>
      <c r="Y7" s="9">
        <f t="shared" si="4"/>
        <v>12.95799999999997</v>
      </c>
      <c r="Z7" s="9">
        <f t="shared" si="4"/>
        <v>13.138699999999972</v>
      </c>
      <c r="AA7" s="9">
        <f t="shared" si="4"/>
        <v>13.319399999999973</v>
      </c>
      <c r="AB7" s="9">
        <f t="shared" si="4"/>
        <v>13.500099999999975</v>
      </c>
      <c r="AC7" s="9">
        <f t="shared" si="4"/>
        <v>13.680799999999977</v>
      </c>
      <c r="AD7" s="9">
        <f t="shared" si="4"/>
        <v>13.861499999999978</v>
      </c>
      <c r="AE7" s="9">
        <f t="shared" si="4"/>
        <v>14.04219999999998</v>
      </c>
      <c r="AF7" s="9">
        <f t="shared" si="4"/>
        <v>14.222899999999981</v>
      </c>
      <c r="AG7" s="9">
        <f t="shared" si="4"/>
        <v>14.403599999999983</v>
      </c>
      <c r="AH7" s="9">
        <f t="shared" si="4"/>
        <v>14.584299999999985</v>
      </c>
      <c r="AI7" s="9">
        <f t="shared" si="4"/>
        <v>14.764999999999986</v>
      </c>
    </row>
    <row r="8" spans="2:35" x14ac:dyDescent="0.45">
      <c r="B8" s="4" t="s">
        <v>33</v>
      </c>
      <c r="C8" s="17" t="s">
        <v>34</v>
      </c>
      <c r="D8" s="4" t="s">
        <v>515</v>
      </c>
      <c r="E8" s="9">
        <v>11.790794027791188</v>
      </c>
      <c r="F8" s="9">
        <v>11.790794027791188</v>
      </c>
      <c r="G8" s="9">
        <v>11.087045077472666</v>
      </c>
      <c r="H8" s="9">
        <v>11.773292579944529</v>
      </c>
      <c r="I8" s="9">
        <v>12.867487443796072</v>
      </c>
      <c r="J8" s="9">
        <v>13.655142943886604</v>
      </c>
      <c r="K8" s="9">
        <v>14.241903066611654</v>
      </c>
      <c r="L8" s="9">
        <v>14.660955823944684</v>
      </c>
      <c r="M8" s="9">
        <v>15.085043116692324</v>
      </c>
      <c r="N8" s="9">
        <v>15.466921409788826</v>
      </c>
      <c r="O8" s="9">
        <v>15.816894740830937</v>
      </c>
      <c r="P8" s="9">
        <v>16.194146405383005</v>
      </c>
      <c r="Q8" s="9">
        <v>16.539724922252201</v>
      </c>
      <c r="R8" s="9">
        <v>16.822290576124942</v>
      </c>
      <c r="S8" s="9">
        <v>17.009039541011351</v>
      </c>
      <c r="T8" s="9">
        <v>17.166112820617617</v>
      </c>
      <c r="U8" s="9">
        <v>17.317761065702914</v>
      </c>
      <c r="V8" s="9">
        <f t="shared" ref="V8:AI8" si="5">0.3146*V2-622.91</f>
        <v>17.930200000000013</v>
      </c>
      <c r="W8" s="9">
        <f t="shared" si="5"/>
        <v>18.244800000000055</v>
      </c>
      <c r="X8" s="9">
        <f t="shared" si="5"/>
        <v>18.559399999999982</v>
      </c>
      <c r="Y8" s="9">
        <f t="shared" si="5"/>
        <v>18.874000000000024</v>
      </c>
      <c r="Z8" s="9">
        <f t="shared" si="5"/>
        <v>19.188600000000065</v>
      </c>
      <c r="AA8" s="9">
        <f t="shared" si="5"/>
        <v>19.503199999999993</v>
      </c>
      <c r="AB8" s="9">
        <f t="shared" si="5"/>
        <v>19.817800000000034</v>
      </c>
      <c r="AC8" s="9">
        <f t="shared" si="5"/>
        <v>20.132399999999961</v>
      </c>
      <c r="AD8" s="9">
        <f t="shared" si="5"/>
        <v>20.447000000000003</v>
      </c>
      <c r="AE8" s="9">
        <f t="shared" si="5"/>
        <v>20.761600000000044</v>
      </c>
      <c r="AF8" s="9">
        <f t="shared" si="5"/>
        <v>21.076199999999972</v>
      </c>
      <c r="AG8" s="9">
        <f t="shared" si="5"/>
        <v>21.390800000000013</v>
      </c>
      <c r="AH8" s="9">
        <f t="shared" si="5"/>
        <v>21.705400000000054</v>
      </c>
      <c r="AI8" s="9">
        <f t="shared" si="5"/>
        <v>22.019999999999982</v>
      </c>
    </row>
    <row r="9" spans="2:35" x14ac:dyDescent="0.45">
      <c r="B9" s="4" t="s">
        <v>35</v>
      </c>
      <c r="C9" s="17" t="s">
        <v>36</v>
      </c>
      <c r="D9" s="4" t="s">
        <v>515</v>
      </c>
      <c r="E9" s="9">
        <v>5.5475965453877825</v>
      </c>
      <c r="F9" s="9">
        <v>5.5475965453877825</v>
      </c>
      <c r="G9" s="9">
        <v>5.2164809957135869</v>
      </c>
      <c r="H9" s="9">
        <v>5.5919013444413439</v>
      </c>
      <c r="I9" s="9">
        <v>6.1880833278399372</v>
      </c>
      <c r="J9" s="9">
        <v>6.6571070676940209</v>
      </c>
      <c r="K9" s="9">
        <v>7.0400785892973081</v>
      </c>
      <c r="L9" s="9">
        <v>7.2910793350147935</v>
      </c>
      <c r="M9" s="9">
        <v>7.4624816346826917</v>
      </c>
      <c r="N9" s="9">
        <v>7.6338835894666106</v>
      </c>
      <c r="O9" s="9">
        <v>7.805285222109184</v>
      </c>
      <c r="P9" s="9">
        <v>7.9304955412390479</v>
      </c>
      <c r="Q9" s="9">
        <v>8.0623871120434885</v>
      </c>
      <c r="R9" s="9">
        <v>8.1875898899191153</v>
      </c>
      <c r="S9" s="9">
        <v>8.273287972867104</v>
      </c>
      <c r="T9" s="9">
        <v>8.3589860400290679</v>
      </c>
      <c r="U9" s="9">
        <v>8.398336712761802</v>
      </c>
      <c r="V9" s="9">
        <f t="shared" ref="V9:AI9" si="6">0.1351*V2-266.51</f>
        <v>8.688699999999983</v>
      </c>
      <c r="W9" s="9">
        <f t="shared" si="6"/>
        <v>8.8238000000000056</v>
      </c>
      <c r="X9" s="9">
        <f t="shared" si="6"/>
        <v>8.9589000000000283</v>
      </c>
      <c r="Y9" s="9">
        <f t="shared" si="6"/>
        <v>9.0939999999999941</v>
      </c>
      <c r="Z9" s="9">
        <f t="shared" si="6"/>
        <v>9.2291000000000167</v>
      </c>
      <c r="AA9" s="9">
        <f t="shared" si="6"/>
        <v>9.3641999999999825</v>
      </c>
      <c r="AB9" s="9">
        <f t="shared" si="6"/>
        <v>9.4993000000000052</v>
      </c>
      <c r="AC9" s="9">
        <f t="shared" si="6"/>
        <v>9.6344000000000278</v>
      </c>
      <c r="AD9" s="9">
        <f t="shared" si="6"/>
        <v>9.7694999999999936</v>
      </c>
      <c r="AE9" s="9">
        <f t="shared" si="6"/>
        <v>9.9046000000000163</v>
      </c>
      <c r="AF9" s="9">
        <f t="shared" si="6"/>
        <v>10.039699999999982</v>
      </c>
      <c r="AG9" s="9">
        <f t="shared" si="6"/>
        <v>10.174800000000005</v>
      </c>
      <c r="AH9" s="9">
        <f t="shared" si="6"/>
        <v>10.309900000000027</v>
      </c>
      <c r="AI9" s="9">
        <f t="shared" si="6"/>
        <v>10.444999999999993</v>
      </c>
    </row>
    <row r="12" spans="2:35" x14ac:dyDescent="0.45">
      <c r="B12" s="7" t="s">
        <v>510</v>
      </c>
    </row>
    <row r="14" spans="2:35" x14ac:dyDescent="0.45">
      <c r="B14" s="3" t="s">
        <v>364</v>
      </c>
      <c r="C14" s="3" t="s">
        <v>205</v>
      </c>
      <c r="D14" s="3" t="s">
        <v>239</v>
      </c>
      <c r="E14" s="3">
        <v>2020</v>
      </c>
      <c r="F14" s="3">
        <v>2021</v>
      </c>
      <c r="G14" s="3">
        <v>2022</v>
      </c>
      <c r="H14" s="3">
        <v>2023</v>
      </c>
      <c r="I14" s="3">
        <v>2024</v>
      </c>
      <c r="J14" s="3">
        <v>2025</v>
      </c>
      <c r="K14" s="3">
        <v>2026</v>
      </c>
      <c r="L14" s="3">
        <v>2027</v>
      </c>
      <c r="M14" s="3">
        <v>2028</v>
      </c>
      <c r="N14" s="3">
        <v>2029</v>
      </c>
      <c r="O14" s="3">
        <v>2030</v>
      </c>
      <c r="P14" s="3">
        <v>2031</v>
      </c>
      <c r="Q14" s="3">
        <v>2032</v>
      </c>
      <c r="R14" s="3">
        <v>2033</v>
      </c>
      <c r="S14" s="3">
        <v>2034</v>
      </c>
      <c r="T14" s="3">
        <v>2035</v>
      </c>
      <c r="U14" s="3">
        <v>2036</v>
      </c>
      <c r="V14" s="3">
        <v>2037</v>
      </c>
      <c r="W14" s="3">
        <v>2038</v>
      </c>
      <c r="X14" s="3">
        <v>2039</v>
      </c>
      <c r="Y14" s="3">
        <v>2040</v>
      </c>
      <c r="Z14" s="3">
        <v>2041</v>
      </c>
      <c r="AA14" s="3">
        <v>2042</v>
      </c>
      <c r="AB14" s="3">
        <v>2043</v>
      </c>
      <c r="AC14" s="3">
        <v>2044</v>
      </c>
      <c r="AD14" s="3">
        <v>2045</v>
      </c>
      <c r="AE14" s="3">
        <v>2046</v>
      </c>
      <c r="AF14" s="3">
        <v>2047</v>
      </c>
      <c r="AG14" s="3">
        <v>2048</v>
      </c>
      <c r="AH14" s="3">
        <v>2049</v>
      </c>
      <c r="AI14" s="3">
        <v>2050</v>
      </c>
    </row>
    <row r="15" spans="2:35" x14ac:dyDescent="0.45">
      <c r="B15" s="4" t="s">
        <v>4</v>
      </c>
      <c r="C15" s="17" t="s">
        <v>5</v>
      </c>
      <c r="D15" s="4" t="s">
        <v>514</v>
      </c>
      <c r="E15" s="9">
        <v>46.3</v>
      </c>
      <c r="F15" s="9">
        <v>46.315892459626916</v>
      </c>
      <c r="G15" s="9">
        <v>43.062256656594165</v>
      </c>
      <c r="H15" s="9">
        <v>44.045361017243607</v>
      </c>
      <c r="I15" s="9">
        <v>46.077394326081539</v>
      </c>
      <c r="J15" s="9">
        <v>47.43598650538641</v>
      </c>
      <c r="K15" s="9">
        <v>46.43511694810541</v>
      </c>
      <c r="L15" s="9">
        <v>47.024697965970404</v>
      </c>
      <c r="M15" s="9">
        <v>49.340508041272415</v>
      </c>
      <c r="N15" s="9">
        <v>51.34041224640962</v>
      </c>
      <c r="O15" s="9">
        <v>54.231454698405862</v>
      </c>
      <c r="P15" s="9">
        <v>55.504308554697332</v>
      </c>
      <c r="Q15" s="9">
        <v>56.453465928855422</v>
      </c>
      <c r="R15" s="9">
        <v>58.057657535239969</v>
      </c>
      <c r="S15" s="9">
        <v>59.866836537688734</v>
      </c>
      <c r="T15" s="9">
        <v>59.69945465394833</v>
      </c>
      <c r="U15" s="9">
        <v>60.474727478354907</v>
      </c>
      <c r="V15" s="9">
        <f>1.4071*V14-2803.2</f>
        <v>63.062700000000405</v>
      </c>
      <c r="W15" s="9">
        <f t="shared" ref="W15:AI15" si="7">1.4071*W14-2803.2</f>
        <v>64.469800000000305</v>
      </c>
      <c r="X15" s="9">
        <f t="shared" si="7"/>
        <v>65.876900000000205</v>
      </c>
      <c r="Y15" s="9">
        <f t="shared" si="7"/>
        <v>67.284000000000106</v>
      </c>
      <c r="Z15" s="9">
        <f t="shared" si="7"/>
        <v>68.691100000000006</v>
      </c>
      <c r="AA15" s="9">
        <f t="shared" si="7"/>
        <v>70.098200000000361</v>
      </c>
      <c r="AB15" s="9">
        <f t="shared" si="7"/>
        <v>71.505300000000261</v>
      </c>
      <c r="AC15" s="9">
        <f t="shared" si="7"/>
        <v>72.912400000000162</v>
      </c>
      <c r="AD15" s="9">
        <f t="shared" si="7"/>
        <v>74.319500000000062</v>
      </c>
      <c r="AE15" s="9">
        <f t="shared" si="7"/>
        <v>75.726600000000417</v>
      </c>
      <c r="AF15" s="9">
        <f t="shared" si="7"/>
        <v>77.133700000000317</v>
      </c>
      <c r="AG15" s="9">
        <f t="shared" si="7"/>
        <v>78.540800000000218</v>
      </c>
      <c r="AH15" s="9">
        <f t="shared" si="7"/>
        <v>79.947900000000118</v>
      </c>
      <c r="AI15" s="9">
        <f t="shared" si="7"/>
        <v>81.355000000000018</v>
      </c>
    </row>
    <row r="16" spans="2:35" x14ac:dyDescent="0.45">
      <c r="B16" s="4" t="s">
        <v>8</v>
      </c>
      <c r="C16" s="17" t="s">
        <v>9</v>
      </c>
      <c r="D16" s="4" t="s">
        <v>515</v>
      </c>
      <c r="E16" s="9">
        <v>6.8868419843661632</v>
      </c>
      <c r="F16" s="9">
        <v>6.9269545097577527</v>
      </c>
      <c r="G16" s="9">
        <v>6.4876925407594852</v>
      </c>
      <c r="H16" s="9">
        <v>5.9862562395674637</v>
      </c>
      <c r="I16" s="9">
        <v>5.3282222470215359</v>
      </c>
      <c r="J16" s="9">
        <v>5.0603615691994701</v>
      </c>
      <c r="K16" s="9">
        <v>5.1188516172203746</v>
      </c>
      <c r="L16" s="9">
        <v>5.3716904859921533</v>
      </c>
      <c r="M16" s="9">
        <v>5.4610789239666175</v>
      </c>
      <c r="N16" s="9">
        <v>5.6822680609148053</v>
      </c>
      <c r="O16" s="9">
        <v>5.9064020652485523</v>
      </c>
      <c r="P16" s="9">
        <v>5.9973857124114502</v>
      </c>
      <c r="Q16" s="9">
        <v>6.0197442101661407</v>
      </c>
      <c r="R16" s="9">
        <v>6.1108650902624531</v>
      </c>
      <c r="S16" s="9">
        <v>6.1352014285200474</v>
      </c>
      <c r="T16" s="9">
        <v>6.1091807517189141</v>
      </c>
      <c r="U16" s="9">
        <v>6.1048674518873964</v>
      </c>
      <c r="V16" s="9">
        <f>0.0988*V14-194.84</f>
        <v>6.4155999999999835</v>
      </c>
      <c r="W16" s="9">
        <f t="shared" ref="W16:AI16" si="8">0.0988*W14-194.84</f>
        <v>6.5143999999999949</v>
      </c>
      <c r="X16" s="9">
        <f t="shared" si="8"/>
        <v>6.6132000000000062</v>
      </c>
      <c r="Y16" s="9">
        <f t="shared" si="8"/>
        <v>6.7119999999999891</v>
      </c>
      <c r="Z16" s="9">
        <f t="shared" si="8"/>
        <v>6.8108000000000004</v>
      </c>
      <c r="AA16" s="9">
        <f t="shared" si="8"/>
        <v>6.9095999999999833</v>
      </c>
      <c r="AB16" s="9">
        <f t="shared" si="8"/>
        <v>7.0083999999999946</v>
      </c>
      <c r="AC16" s="9">
        <f t="shared" si="8"/>
        <v>7.107200000000006</v>
      </c>
      <c r="AD16" s="9">
        <f t="shared" si="8"/>
        <v>7.2059999999999889</v>
      </c>
      <c r="AE16" s="9">
        <f t="shared" si="8"/>
        <v>7.3048000000000002</v>
      </c>
      <c r="AF16" s="9">
        <f t="shared" si="8"/>
        <v>7.4035999999999831</v>
      </c>
      <c r="AG16" s="9">
        <f t="shared" si="8"/>
        <v>7.5023999999999944</v>
      </c>
      <c r="AH16" s="9">
        <f t="shared" si="8"/>
        <v>7.6012000000000057</v>
      </c>
      <c r="AI16" s="9">
        <f t="shared" si="8"/>
        <v>7.6999999999999886</v>
      </c>
    </row>
    <row r="17" spans="2:35" x14ac:dyDescent="0.45">
      <c r="B17" s="4" t="s">
        <v>27</v>
      </c>
      <c r="C17" s="17" t="s">
        <v>28</v>
      </c>
      <c r="D17" s="4" t="s">
        <v>515</v>
      </c>
      <c r="E17" s="9">
        <v>9.2949503760591856</v>
      </c>
      <c r="F17" s="9">
        <v>9.1674689434773011</v>
      </c>
      <c r="G17" s="9">
        <v>8.5858826197869238</v>
      </c>
      <c r="H17" s="9">
        <v>8.2680085202297704</v>
      </c>
      <c r="I17" s="9">
        <v>8.1049937820807756</v>
      </c>
      <c r="J17" s="9">
        <v>8.1287256749709016</v>
      </c>
      <c r="K17" s="9">
        <v>8.0922718302742869</v>
      </c>
      <c r="L17" s="9">
        <v>8.0815473101028061</v>
      </c>
      <c r="M17" s="9">
        <v>8.1355134284034509</v>
      </c>
      <c r="N17" s="9">
        <v>8.2723355955454476</v>
      </c>
      <c r="O17" s="9">
        <v>8.5181463057996307</v>
      </c>
      <c r="P17" s="9">
        <v>8.686263614773182</v>
      </c>
      <c r="Q17" s="9">
        <v>8.785917614043667</v>
      </c>
      <c r="R17" s="9">
        <v>8.8967085994797106</v>
      </c>
      <c r="S17" s="9">
        <v>8.9899929761537223</v>
      </c>
      <c r="T17" s="9">
        <v>9.0384620039726649</v>
      </c>
      <c r="U17" s="9">
        <v>9.1175249843407062</v>
      </c>
      <c r="V17" s="9">
        <f t="shared" ref="V17:AI17" si="9">0.101*V14-196.42</f>
        <v>9.3170000000000357</v>
      </c>
      <c r="W17" s="9">
        <f t="shared" si="9"/>
        <v>9.4180000000000348</v>
      </c>
      <c r="X17" s="9">
        <f t="shared" si="9"/>
        <v>9.5190000000000339</v>
      </c>
      <c r="Y17" s="9">
        <f t="shared" si="9"/>
        <v>9.620000000000033</v>
      </c>
      <c r="Z17" s="9">
        <f t="shared" si="9"/>
        <v>9.7210000000000321</v>
      </c>
      <c r="AA17" s="9">
        <f t="shared" si="9"/>
        <v>9.8220000000000312</v>
      </c>
      <c r="AB17" s="9">
        <f t="shared" si="9"/>
        <v>9.9230000000000302</v>
      </c>
      <c r="AC17" s="9">
        <f t="shared" si="9"/>
        <v>10.024000000000029</v>
      </c>
      <c r="AD17" s="9">
        <f t="shared" si="9"/>
        <v>10.125000000000028</v>
      </c>
      <c r="AE17" s="9">
        <f t="shared" si="9"/>
        <v>10.226000000000028</v>
      </c>
      <c r="AF17" s="9">
        <f t="shared" si="9"/>
        <v>10.327000000000027</v>
      </c>
      <c r="AG17" s="9">
        <f t="shared" si="9"/>
        <v>10.428000000000026</v>
      </c>
      <c r="AH17" s="9">
        <f t="shared" si="9"/>
        <v>10.529000000000025</v>
      </c>
      <c r="AI17" s="9">
        <f t="shared" si="9"/>
        <v>10.630000000000024</v>
      </c>
    </row>
    <row r="18" spans="2:35" x14ac:dyDescent="0.45">
      <c r="B18" s="4" t="s">
        <v>29</v>
      </c>
      <c r="C18" s="17" t="s">
        <v>30</v>
      </c>
      <c r="D18" s="4" t="s">
        <v>515</v>
      </c>
      <c r="E18" s="9">
        <v>10.092819377194425</v>
      </c>
      <c r="F18" s="9">
        <v>8.0747476989590794</v>
      </c>
      <c r="G18" s="9">
        <v>7.8178305928039906</v>
      </c>
      <c r="H18" s="9">
        <v>7.6526862310872312</v>
      </c>
      <c r="I18" s="9">
        <v>7.7023746474958337</v>
      </c>
      <c r="J18" s="9">
        <v>7.7132840976621111</v>
      </c>
      <c r="K18" s="9">
        <v>7.7758742235584641</v>
      </c>
      <c r="L18" s="9">
        <v>7.9377838533258531</v>
      </c>
      <c r="M18" s="9">
        <v>7.9806085168603103</v>
      </c>
      <c r="N18" s="9">
        <v>8.1187255293611837</v>
      </c>
      <c r="O18" s="9">
        <v>8.2382471196341758</v>
      </c>
      <c r="P18" s="9">
        <v>8.3415372972573696</v>
      </c>
      <c r="Q18" s="9">
        <v>8.4212678784053452</v>
      </c>
      <c r="R18" s="9">
        <v>8.5049966937457011</v>
      </c>
      <c r="S18" s="9">
        <v>8.5476077866648126</v>
      </c>
      <c r="T18" s="9">
        <v>8.4739228150282155</v>
      </c>
      <c r="U18" s="9">
        <v>8.4358851556552921</v>
      </c>
      <c r="V18" s="9">
        <f t="shared" ref="V18:AI18" si="10">0.0767*V14-147.54</f>
        <v>8.6979000000000042</v>
      </c>
      <c r="W18" s="9">
        <f t="shared" si="10"/>
        <v>8.7746000000000208</v>
      </c>
      <c r="X18" s="9">
        <f t="shared" si="10"/>
        <v>8.851300000000009</v>
      </c>
      <c r="Y18" s="9">
        <f t="shared" si="10"/>
        <v>8.9280000000000257</v>
      </c>
      <c r="Z18" s="9">
        <f t="shared" si="10"/>
        <v>9.0047000000000139</v>
      </c>
      <c r="AA18" s="9">
        <f t="shared" si="10"/>
        <v>9.0814000000000306</v>
      </c>
      <c r="AB18" s="9">
        <f t="shared" si="10"/>
        <v>9.1581000000000188</v>
      </c>
      <c r="AC18" s="9">
        <f t="shared" si="10"/>
        <v>9.234800000000007</v>
      </c>
      <c r="AD18" s="9">
        <f t="shared" si="10"/>
        <v>9.3115000000000236</v>
      </c>
      <c r="AE18" s="9">
        <f t="shared" si="10"/>
        <v>9.3882000000000119</v>
      </c>
      <c r="AF18" s="9">
        <f t="shared" si="10"/>
        <v>9.4649000000000285</v>
      </c>
      <c r="AG18" s="9">
        <f t="shared" si="10"/>
        <v>9.5416000000000167</v>
      </c>
      <c r="AH18" s="9">
        <f t="shared" si="10"/>
        <v>9.618300000000005</v>
      </c>
      <c r="AI18" s="9">
        <f t="shared" si="10"/>
        <v>9.6950000000000216</v>
      </c>
    </row>
    <row r="19" spans="2:35" x14ac:dyDescent="0.45">
      <c r="B19" s="4" t="s">
        <v>31</v>
      </c>
      <c r="C19" s="17" t="s">
        <v>32</v>
      </c>
      <c r="D19" s="4" t="s">
        <v>515</v>
      </c>
      <c r="E19" s="9">
        <v>10.456499353990139</v>
      </c>
      <c r="F19" s="9">
        <v>10.456587187384747</v>
      </c>
      <c r="G19" s="9">
        <v>10.004945978830358</v>
      </c>
      <c r="H19" s="9">
        <v>10.270258709681691</v>
      </c>
      <c r="I19" s="9">
        <v>10.505755711324989</v>
      </c>
      <c r="J19" s="9">
        <v>10.603420248835098</v>
      </c>
      <c r="K19" s="9">
        <v>10.786085755517872</v>
      </c>
      <c r="L19" s="9">
        <v>11.0629290543234</v>
      </c>
      <c r="M19" s="9">
        <v>11.205822372296444</v>
      </c>
      <c r="N19" s="9">
        <v>11.420509485151932</v>
      </c>
      <c r="O19" s="9">
        <v>11.503714224734523</v>
      </c>
      <c r="P19" s="9">
        <v>12.210070094242807</v>
      </c>
      <c r="Q19" s="9">
        <v>12.299738796626839</v>
      </c>
      <c r="R19" s="9">
        <v>12.624981690408267</v>
      </c>
      <c r="S19" s="9">
        <v>12.806320003830784</v>
      </c>
      <c r="T19" s="9">
        <v>12.915241888084211</v>
      </c>
      <c r="U19" s="9">
        <v>13.005897713541861</v>
      </c>
      <c r="V19" s="9">
        <f t="shared" ref="V19:AI19" si="11">0.227*V14-449.32</f>
        <v>13.079000000000008</v>
      </c>
      <c r="W19" s="9">
        <f t="shared" si="11"/>
        <v>13.30600000000004</v>
      </c>
      <c r="X19" s="9">
        <f t="shared" si="11"/>
        <v>13.533000000000015</v>
      </c>
      <c r="Y19" s="9">
        <f t="shared" si="11"/>
        <v>13.760000000000048</v>
      </c>
      <c r="Z19" s="9">
        <f t="shared" si="11"/>
        <v>13.987000000000023</v>
      </c>
      <c r="AA19" s="9">
        <f t="shared" si="11"/>
        <v>14.213999999999999</v>
      </c>
      <c r="AB19" s="9">
        <f t="shared" si="11"/>
        <v>14.441000000000031</v>
      </c>
      <c r="AC19" s="9">
        <f t="shared" si="11"/>
        <v>14.668000000000006</v>
      </c>
      <c r="AD19" s="9">
        <f t="shared" si="11"/>
        <v>14.895000000000039</v>
      </c>
      <c r="AE19" s="9">
        <f t="shared" si="11"/>
        <v>15.122000000000014</v>
      </c>
      <c r="AF19" s="9">
        <f t="shared" si="11"/>
        <v>15.349000000000046</v>
      </c>
      <c r="AG19" s="9">
        <f t="shared" si="11"/>
        <v>15.576000000000022</v>
      </c>
      <c r="AH19" s="9">
        <f t="shared" si="11"/>
        <v>15.802999999999997</v>
      </c>
      <c r="AI19" s="9">
        <f t="shared" si="11"/>
        <v>16.03000000000003</v>
      </c>
    </row>
    <row r="20" spans="2:35" x14ac:dyDescent="0.45">
      <c r="B20" s="4" t="s">
        <v>33</v>
      </c>
      <c r="C20" s="17" t="s">
        <v>34</v>
      </c>
      <c r="D20" s="4" t="s">
        <v>515</v>
      </c>
      <c r="E20" s="9">
        <v>11.790794027791188</v>
      </c>
      <c r="F20" s="9">
        <v>11.790794027791188</v>
      </c>
      <c r="G20" s="9">
        <v>11.038307032438368</v>
      </c>
      <c r="H20" s="9">
        <v>11.312809527836558</v>
      </c>
      <c r="I20" s="9">
        <v>11.950151107908205</v>
      </c>
      <c r="J20" s="9">
        <v>12.299850344982262</v>
      </c>
      <c r="K20" s="9">
        <v>12.689997459146788</v>
      </c>
      <c r="L20" s="9">
        <v>13.271231604632213</v>
      </c>
      <c r="M20" s="9">
        <v>13.445497570010554</v>
      </c>
      <c r="N20" s="9">
        <v>13.836871550947293</v>
      </c>
      <c r="O20" s="9">
        <v>14.159206172171096</v>
      </c>
      <c r="P20" s="9">
        <v>14.417099875129949</v>
      </c>
      <c r="Q20" s="9">
        <v>14.715113709375176</v>
      </c>
      <c r="R20" s="9">
        <v>14.9717555133685</v>
      </c>
      <c r="S20" s="9">
        <v>15.128831155472083</v>
      </c>
      <c r="T20" s="9">
        <v>15.045594734002615</v>
      </c>
      <c r="U20" s="9">
        <v>15.013172528601331</v>
      </c>
      <c r="V20" s="9">
        <f t="shared" ref="V20:AI20" si="12">0.3067*V14-608.79</f>
        <v>15.957899999999995</v>
      </c>
      <c r="W20" s="9">
        <f t="shared" si="12"/>
        <v>16.264599999999973</v>
      </c>
      <c r="X20" s="9">
        <f t="shared" si="12"/>
        <v>16.571299999999951</v>
      </c>
      <c r="Y20" s="9">
        <f t="shared" si="12"/>
        <v>16.877999999999929</v>
      </c>
      <c r="Z20" s="9">
        <f t="shared" si="12"/>
        <v>17.184700000000021</v>
      </c>
      <c r="AA20" s="9">
        <f t="shared" si="12"/>
        <v>17.491399999999999</v>
      </c>
      <c r="AB20" s="9">
        <f t="shared" si="12"/>
        <v>17.798099999999977</v>
      </c>
      <c r="AC20" s="9">
        <f t="shared" si="12"/>
        <v>18.104799999999955</v>
      </c>
      <c r="AD20" s="9">
        <f t="shared" si="12"/>
        <v>18.411499999999933</v>
      </c>
      <c r="AE20" s="9">
        <f t="shared" si="12"/>
        <v>18.718200000000024</v>
      </c>
      <c r="AF20" s="9">
        <f t="shared" si="12"/>
        <v>19.024900000000002</v>
      </c>
      <c r="AG20" s="9">
        <f t="shared" si="12"/>
        <v>19.33159999999998</v>
      </c>
      <c r="AH20" s="9">
        <f t="shared" si="12"/>
        <v>19.638299999999958</v>
      </c>
      <c r="AI20" s="9">
        <f t="shared" si="12"/>
        <v>19.944999999999936</v>
      </c>
    </row>
    <row r="21" spans="2:35" x14ac:dyDescent="0.45">
      <c r="B21" s="4" t="s">
        <v>35</v>
      </c>
      <c r="C21" s="17" t="s">
        <v>36</v>
      </c>
      <c r="D21" s="4" t="s">
        <v>515</v>
      </c>
      <c r="E21" s="9">
        <v>5.5475965453877825</v>
      </c>
      <c r="F21" s="9">
        <v>5.5142083355793661</v>
      </c>
      <c r="G21" s="9">
        <v>5.2261889523626932</v>
      </c>
      <c r="H21" s="9">
        <v>5.4486482589255907</v>
      </c>
      <c r="I21" s="9">
        <v>5.8993212047973946</v>
      </c>
      <c r="J21" s="9">
        <v>6.1216871801075676</v>
      </c>
      <c r="K21" s="9">
        <v>6.3772008809372771</v>
      </c>
      <c r="L21" s="9">
        <v>6.6680338000198605</v>
      </c>
      <c r="M21" s="9">
        <v>6.7316979379856017</v>
      </c>
      <c r="N21" s="9">
        <v>6.8480028407328746</v>
      </c>
      <c r="O21" s="9">
        <v>7.0177573103753401</v>
      </c>
      <c r="P21" s="9">
        <v>7.111420829521454</v>
      </c>
      <c r="Q21" s="9">
        <v>7.1826206185185617</v>
      </c>
      <c r="R21" s="9">
        <v>7.321228423882002</v>
      </c>
      <c r="S21" s="9">
        <v>7.3645415780561523</v>
      </c>
      <c r="T21" s="9">
        <v>7.3193890964279866</v>
      </c>
      <c r="U21" s="9">
        <v>7.3226906868855934</v>
      </c>
      <c r="V21" s="9">
        <f t="shared" ref="V21:AI21" si="13">0.094*V14-183.94</f>
        <v>7.5380000000000109</v>
      </c>
      <c r="W21" s="9">
        <f t="shared" si="13"/>
        <v>7.632000000000005</v>
      </c>
      <c r="X21" s="9">
        <f t="shared" si="13"/>
        <v>7.7259999999999991</v>
      </c>
      <c r="Y21" s="9">
        <f t="shared" si="13"/>
        <v>7.8199999999999932</v>
      </c>
      <c r="Z21" s="9">
        <f t="shared" si="13"/>
        <v>7.9140000000000157</v>
      </c>
      <c r="AA21" s="9">
        <f t="shared" si="13"/>
        <v>8.0080000000000098</v>
      </c>
      <c r="AB21" s="9">
        <f t="shared" si="13"/>
        <v>8.1020000000000039</v>
      </c>
      <c r="AC21" s="9">
        <f t="shared" si="13"/>
        <v>8.195999999999998</v>
      </c>
      <c r="AD21" s="9">
        <f t="shared" si="13"/>
        <v>8.289999999999992</v>
      </c>
      <c r="AE21" s="9">
        <f t="shared" si="13"/>
        <v>8.3840000000000146</v>
      </c>
      <c r="AF21" s="9">
        <f t="shared" si="13"/>
        <v>8.4780000000000086</v>
      </c>
      <c r="AG21" s="9">
        <f t="shared" si="13"/>
        <v>8.5720000000000027</v>
      </c>
      <c r="AH21" s="9">
        <f t="shared" si="13"/>
        <v>8.6659999999999968</v>
      </c>
      <c r="AI21" s="9">
        <f t="shared" si="13"/>
        <v>8.7599999999999909</v>
      </c>
    </row>
    <row r="23" spans="2:35" x14ac:dyDescent="0.45">
      <c r="B23" s="7" t="s">
        <v>511</v>
      </c>
    </row>
    <row r="25" spans="2:35" x14ac:dyDescent="0.45">
      <c r="B25" s="3" t="s">
        <v>364</v>
      </c>
      <c r="C25" s="3" t="s">
        <v>205</v>
      </c>
      <c r="D25" s="3" t="s">
        <v>239</v>
      </c>
      <c r="E25" s="3">
        <v>2020</v>
      </c>
      <c r="F25" s="3">
        <v>2021</v>
      </c>
      <c r="G25" s="3">
        <v>2022</v>
      </c>
      <c r="H25" s="3">
        <v>2023</v>
      </c>
      <c r="I25" s="3">
        <v>2024</v>
      </c>
      <c r="J25" s="3">
        <v>2025</v>
      </c>
      <c r="K25" s="3">
        <v>2026</v>
      </c>
      <c r="L25" s="3">
        <v>2027</v>
      </c>
      <c r="M25" s="3">
        <v>2028</v>
      </c>
      <c r="N25" s="3">
        <v>2029</v>
      </c>
      <c r="O25" s="3">
        <v>2030</v>
      </c>
      <c r="P25" s="3">
        <v>2031</v>
      </c>
      <c r="Q25" s="3">
        <v>2032</v>
      </c>
      <c r="R25" s="3">
        <v>2033</v>
      </c>
      <c r="S25" s="3">
        <v>2034</v>
      </c>
      <c r="T25" s="3">
        <v>2035</v>
      </c>
      <c r="U25" s="3">
        <v>2036</v>
      </c>
      <c r="V25" s="3">
        <v>2037</v>
      </c>
      <c r="W25" s="3">
        <v>2038</v>
      </c>
      <c r="X25" s="3">
        <v>2039</v>
      </c>
      <c r="Y25" s="3">
        <v>2040</v>
      </c>
      <c r="Z25" s="3">
        <v>2041</v>
      </c>
      <c r="AA25" s="3">
        <v>2042</v>
      </c>
      <c r="AB25" s="3">
        <v>2043</v>
      </c>
      <c r="AC25" s="3">
        <v>2044</v>
      </c>
      <c r="AD25" s="3">
        <v>2045</v>
      </c>
      <c r="AE25" s="3">
        <v>2046</v>
      </c>
      <c r="AF25" s="3">
        <v>2047</v>
      </c>
      <c r="AG25" s="3">
        <v>2048</v>
      </c>
      <c r="AH25" s="3">
        <v>2049</v>
      </c>
      <c r="AI25" s="3">
        <v>2050</v>
      </c>
    </row>
    <row r="26" spans="2:35" x14ac:dyDescent="0.45">
      <c r="B26" s="4" t="s">
        <v>4</v>
      </c>
      <c r="C26" s="17" t="s">
        <v>5</v>
      </c>
      <c r="D26" s="4" t="s">
        <v>514</v>
      </c>
      <c r="E26" s="9">
        <f t="shared" ref="E26:AI26" si="14">(E15+E37)/2</f>
        <v>46.305835068794913</v>
      </c>
      <c r="F26" s="9">
        <f t="shared" si="14"/>
        <v>46.313781298608376</v>
      </c>
      <c r="G26" s="9">
        <f t="shared" si="14"/>
        <v>43.569904923106904</v>
      </c>
      <c r="H26" s="9">
        <f t="shared" si="14"/>
        <v>45.965708459289885</v>
      </c>
      <c r="I26" s="9">
        <f t="shared" si="14"/>
        <v>49.141694917089644</v>
      </c>
      <c r="J26" s="9">
        <f t="shared" si="14"/>
        <v>51.495804178149811</v>
      </c>
      <c r="K26" s="9">
        <f t="shared" si="14"/>
        <v>52.397312818076642</v>
      </c>
      <c r="L26" s="9">
        <f t="shared" si="14"/>
        <v>54.334568617950126</v>
      </c>
      <c r="M26" s="9">
        <f t="shared" si="14"/>
        <v>56.586585640613023</v>
      </c>
      <c r="N26" s="9">
        <f t="shared" si="14"/>
        <v>58.574463633885998</v>
      </c>
      <c r="O26" s="9">
        <f t="shared" si="14"/>
        <v>61.283782554969349</v>
      </c>
      <c r="P26" s="9">
        <f t="shared" si="14"/>
        <v>63.14268951772052</v>
      </c>
      <c r="Q26" s="9">
        <f t="shared" si="14"/>
        <v>64.672879762799255</v>
      </c>
      <c r="R26" s="9">
        <f t="shared" si="14"/>
        <v>66.760385898965808</v>
      </c>
      <c r="S26" s="9">
        <f t="shared" si="14"/>
        <v>68.86393193196291</v>
      </c>
      <c r="T26" s="9">
        <f t="shared" si="14"/>
        <v>69.36415884336256</v>
      </c>
      <c r="U26" s="9">
        <f t="shared" si="14"/>
        <v>70.161944461129963</v>
      </c>
      <c r="V26" s="9">
        <f t="shared" si="14"/>
        <v>74.657300000000305</v>
      </c>
      <c r="W26" s="9">
        <f t="shared" si="14"/>
        <v>76.710200000000214</v>
      </c>
      <c r="X26" s="9">
        <f t="shared" si="14"/>
        <v>78.763100000000122</v>
      </c>
      <c r="Y26" s="9">
        <f t="shared" si="14"/>
        <v>80.816000000000031</v>
      </c>
      <c r="Z26" s="9">
        <f t="shared" si="14"/>
        <v>82.86889999999994</v>
      </c>
      <c r="AA26" s="9">
        <f t="shared" si="14"/>
        <v>84.921800000000076</v>
      </c>
      <c r="AB26" s="9">
        <f t="shared" si="14"/>
        <v>86.974700000000439</v>
      </c>
      <c r="AC26" s="9">
        <f t="shared" si="14"/>
        <v>89.027600000000348</v>
      </c>
      <c r="AD26" s="9">
        <f t="shared" si="14"/>
        <v>91.080500000000256</v>
      </c>
      <c r="AE26" s="9">
        <f t="shared" si="14"/>
        <v>93.133400000000393</v>
      </c>
      <c r="AF26" s="9">
        <f t="shared" si="14"/>
        <v>95.186300000000301</v>
      </c>
      <c r="AG26" s="9">
        <f t="shared" si="14"/>
        <v>97.23920000000021</v>
      </c>
      <c r="AH26" s="9">
        <f t="shared" si="14"/>
        <v>99.292100000000119</v>
      </c>
      <c r="AI26" s="9">
        <f t="shared" si="14"/>
        <v>101.34500000000003</v>
      </c>
    </row>
    <row r="27" spans="2:35" x14ac:dyDescent="0.45">
      <c r="B27" s="4" t="s">
        <v>8</v>
      </c>
      <c r="C27" s="17" t="s">
        <v>9</v>
      </c>
      <c r="D27" s="4" t="s">
        <v>515</v>
      </c>
      <c r="E27" s="9">
        <f t="shared" ref="E27:AI27" si="15">(E16+E38)/2</f>
        <v>6.9974971999112068</v>
      </c>
      <c r="F27" s="9">
        <f t="shared" si="15"/>
        <v>7.0175534626070011</v>
      </c>
      <c r="G27" s="9">
        <f t="shared" si="15"/>
        <v>7.138923594006978</v>
      </c>
      <c r="H27" s="9">
        <f t="shared" si="15"/>
        <v>7.1254117501072738</v>
      </c>
      <c r="I27" s="9">
        <f t="shared" si="15"/>
        <v>6.7720091705648411</v>
      </c>
      <c r="J27" s="9">
        <f t="shared" si="15"/>
        <v>6.796568642977423</v>
      </c>
      <c r="K27" s="9">
        <f t="shared" si="15"/>
        <v>7.1099398447365676</v>
      </c>
      <c r="L27" s="9">
        <f t="shared" si="15"/>
        <v>7.4994986587481609</v>
      </c>
      <c r="M27" s="9">
        <f t="shared" si="15"/>
        <v>7.6278349200238376</v>
      </c>
      <c r="N27" s="9">
        <f t="shared" si="15"/>
        <v>7.8739677610750487</v>
      </c>
      <c r="O27" s="9">
        <f t="shared" si="15"/>
        <v>8.1490136941921527</v>
      </c>
      <c r="P27" s="9">
        <f t="shared" si="15"/>
        <v>8.3453611871842419</v>
      </c>
      <c r="Q27" s="9">
        <f t="shared" si="15"/>
        <v>8.4504042427260071</v>
      </c>
      <c r="R27" s="9">
        <f t="shared" si="15"/>
        <v>8.6408064403979683</v>
      </c>
      <c r="S27" s="9">
        <f t="shared" si="15"/>
        <v>8.7664330992570054</v>
      </c>
      <c r="T27" s="9">
        <f t="shared" si="15"/>
        <v>8.8191285639892758</v>
      </c>
      <c r="U27" s="9">
        <f t="shared" si="15"/>
        <v>8.8882629056920344</v>
      </c>
      <c r="V27" s="9">
        <f t="shared" si="15"/>
        <v>9.268650000000008</v>
      </c>
      <c r="W27" s="9">
        <f t="shared" si="15"/>
        <v>9.4551000000000016</v>
      </c>
      <c r="X27" s="9">
        <f t="shared" si="15"/>
        <v>9.6415499999999952</v>
      </c>
      <c r="Y27" s="9">
        <f t="shared" si="15"/>
        <v>9.8279999999999745</v>
      </c>
      <c r="Z27" s="9">
        <f t="shared" si="15"/>
        <v>10.014450000000025</v>
      </c>
      <c r="AA27" s="9">
        <f t="shared" si="15"/>
        <v>10.200900000000004</v>
      </c>
      <c r="AB27" s="9">
        <f t="shared" si="15"/>
        <v>10.387349999999998</v>
      </c>
      <c r="AC27" s="9">
        <f t="shared" si="15"/>
        <v>10.573799999999991</v>
      </c>
      <c r="AD27" s="9">
        <f t="shared" si="15"/>
        <v>10.760249999999971</v>
      </c>
      <c r="AE27" s="9">
        <f t="shared" si="15"/>
        <v>10.946700000000021</v>
      </c>
      <c r="AF27" s="9">
        <f t="shared" si="15"/>
        <v>11.133150000000001</v>
      </c>
      <c r="AG27" s="9">
        <f t="shared" si="15"/>
        <v>11.319599999999994</v>
      </c>
      <c r="AH27" s="9">
        <f t="shared" si="15"/>
        <v>11.506049999999988</v>
      </c>
      <c r="AI27" s="9">
        <f t="shared" si="15"/>
        <v>11.692499999999967</v>
      </c>
    </row>
    <row r="28" spans="2:35" x14ac:dyDescent="0.45">
      <c r="B28" s="4" t="s">
        <v>27</v>
      </c>
      <c r="C28" s="17" t="s">
        <v>28</v>
      </c>
      <c r="D28" s="4" t="s">
        <v>515</v>
      </c>
      <c r="E28" s="9">
        <f t="shared" ref="E28:AI28" si="16">(E17+E39)/2</f>
        <v>9.2807044610804432</v>
      </c>
      <c r="F28" s="9">
        <f t="shared" si="16"/>
        <v>9.2169637447894992</v>
      </c>
      <c r="G28" s="9">
        <f t="shared" si="16"/>
        <v>8.770976208498416</v>
      </c>
      <c r="H28" s="9">
        <f t="shared" si="16"/>
        <v>8.6686096623579836</v>
      </c>
      <c r="I28" s="9">
        <f t="shared" si="16"/>
        <v>8.6825074818917081</v>
      </c>
      <c r="J28" s="9">
        <f t="shared" si="16"/>
        <v>8.8751421563870387</v>
      </c>
      <c r="K28" s="9">
        <f t="shared" si="16"/>
        <v>9.0357830513529667</v>
      </c>
      <c r="L28" s="9">
        <f t="shared" si="16"/>
        <v>9.1959001938777831</v>
      </c>
      <c r="M28" s="9">
        <f t="shared" si="16"/>
        <v>9.3544752129392421</v>
      </c>
      <c r="N28" s="9">
        <f t="shared" si="16"/>
        <v>9.5748329850082001</v>
      </c>
      <c r="O28" s="9">
        <f t="shared" si="16"/>
        <v>9.813557536263076</v>
      </c>
      <c r="P28" s="9">
        <f t="shared" si="16"/>
        <v>10.095731652123096</v>
      </c>
      <c r="Q28" s="9">
        <f t="shared" si="16"/>
        <v>10.266719026149413</v>
      </c>
      <c r="R28" s="9">
        <f t="shared" si="16"/>
        <v>10.462744264674949</v>
      </c>
      <c r="S28" s="9">
        <f t="shared" si="16"/>
        <v>10.632900323056056</v>
      </c>
      <c r="T28" s="9">
        <f t="shared" si="16"/>
        <v>10.734624375121264</v>
      </c>
      <c r="U28" s="9">
        <f t="shared" si="16"/>
        <v>10.836473527052007</v>
      </c>
      <c r="V28" s="9">
        <f t="shared" si="16"/>
        <v>11.222000000000051</v>
      </c>
      <c r="W28" s="9">
        <f t="shared" si="16"/>
        <v>11.413000000000082</v>
      </c>
      <c r="X28" s="9">
        <f t="shared" si="16"/>
        <v>11.604000000000056</v>
      </c>
      <c r="Y28" s="9">
        <f t="shared" si="16"/>
        <v>11.79500000000003</v>
      </c>
      <c r="Z28" s="9">
        <f t="shared" si="16"/>
        <v>11.986000000000061</v>
      </c>
      <c r="AA28" s="9">
        <f t="shared" si="16"/>
        <v>12.177000000000035</v>
      </c>
      <c r="AB28" s="9">
        <f t="shared" si="16"/>
        <v>12.368000000000066</v>
      </c>
      <c r="AC28" s="9">
        <f t="shared" si="16"/>
        <v>12.55900000000004</v>
      </c>
      <c r="AD28" s="9">
        <f t="shared" si="16"/>
        <v>12.750000000000071</v>
      </c>
      <c r="AE28" s="9">
        <f t="shared" si="16"/>
        <v>12.941000000000045</v>
      </c>
      <c r="AF28" s="9">
        <f t="shared" si="16"/>
        <v>13.132000000000076</v>
      </c>
      <c r="AG28" s="9">
        <f t="shared" si="16"/>
        <v>13.32300000000005</v>
      </c>
      <c r="AH28" s="9">
        <f t="shared" si="16"/>
        <v>13.514000000000024</v>
      </c>
      <c r="AI28" s="9">
        <f t="shared" si="16"/>
        <v>13.705000000000055</v>
      </c>
    </row>
    <row r="29" spans="2:35" x14ac:dyDescent="0.45">
      <c r="B29" s="4" t="s">
        <v>29</v>
      </c>
      <c r="C29" s="17" t="s">
        <v>30</v>
      </c>
      <c r="D29" s="4" t="s">
        <v>515</v>
      </c>
      <c r="E29" s="9">
        <f t="shared" ref="E29:AI29" si="17">(E18+E40)/2</f>
        <v>10.597335677683514</v>
      </c>
      <c r="F29" s="9">
        <f t="shared" si="17"/>
        <v>9.5882998385658418</v>
      </c>
      <c r="G29" s="9">
        <f t="shared" si="17"/>
        <v>9.3536675644758507</v>
      </c>
      <c r="H29" s="9">
        <f t="shared" si="17"/>
        <v>9.2910420774668339</v>
      </c>
      <c r="I29" s="9">
        <f t="shared" si="17"/>
        <v>9.4658798530308843</v>
      </c>
      <c r="J29" s="9">
        <f t="shared" si="17"/>
        <v>9.6157688829902632</v>
      </c>
      <c r="K29" s="9">
        <f t="shared" si="17"/>
        <v>9.7700847859676418</v>
      </c>
      <c r="L29" s="9">
        <f t="shared" si="17"/>
        <v>10.00301447997832</v>
      </c>
      <c r="M29" s="9">
        <f t="shared" si="17"/>
        <v>10.124859576490014</v>
      </c>
      <c r="N29" s="9">
        <f t="shared" si="17"/>
        <v>10.350341957735981</v>
      </c>
      <c r="O29" s="9">
        <f t="shared" si="17"/>
        <v>10.414593960356344</v>
      </c>
      <c r="P29" s="9">
        <f t="shared" si="17"/>
        <v>10.700202781605078</v>
      </c>
      <c r="Q29" s="9">
        <f t="shared" si="17"/>
        <v>10.840433195023486</v>
      </c>
      <c r="R29" s="9">
        <f t="shared" si="17"/>
        <v>11.057412457186128</v>
      </c>
      <c r="S29" s="9">
        <f t="shared" si="17"/>
        <v>11.183447762259437</v>
      </c>
      <c r="T29" s="9">
        <f t="shared" si="17"/>
        <v>11.166080394352996</v>
      </c>
      <c r="U29" s="9">
        <f t="shared" si="17"/>
        <v>11.182560641605171</v>
      </c>
      <c r="V29" s="9">
        <f t="shared" si="17"/>
        <v>11.566699999999997</v>
      </c>
      <c r="W29" s="9">
        <f t="shared" si="17"/>
        <v>11.725799999999992</v>
      </c>
      <c r="X29" s="9">
        <f t="shared" si="17"/>
        <v>11.884900000000002</v>
      </c>
      <c r="Y29" s="9">
        <f t="shared" si="17"/>
        <v>12.043999999999997</v>
      </c>
      <c r="Z29" s="9">
        <f t="shared" si="17"/>
        <v>12.203100000000006</v>
      </c>
      <c r="AA29" s="9">
        <f t="shared" si="17"/>
        <v>12.362200000000001</v>
      </c>
      <c r="AB29" s="9">
        <f t="shared" si="17"/>
        <v>12.521300000000011</v>
      </c>
      <c r="AC29" s="9">
        <f t="shared" si="17"/>
        <v>12.680399999999992</v>
      </c>
      <c r="AD29" s="9">
        <f t="shared" si="17"/>
        <v>12.839500000000015</v>
      </c>
      <c r="AE29" s="9">
        <f t="shared" si="17"/>
        <v>12.998599999999996</v>
      </c>
      <c r="AF29" s="9">
        <f t="shared" si="17"/>
        <v>13.15770000000002</v>
      </c>
      <c r="AG29" s="9">
        <f t="shared" si="17"/>
        <v>13.316800000000001</v>
      </c>
      <c r="AH29" s="9">
        <f t="shared" si="17"/>
        <v>13.475899999999982</v>
      </c>
      <c r="AI29" s="9">
        <f t="shared" si="17"/>
        <v>13.635000000000005</v>
      </c>
    </row>
    <row r="30" spans="2:35" x14ac:dyDescent="0.45">
      <c r="B30" s="4" t="s">
        <v>31</v>
      </c>
      <c r="C30" s="17" t="s">
        <v>32</v>
      </c>
      <c r="D30" s="4" t="s">
        <v>515</v>
      </c>
      <c r="E30" s="9">
        <f t="shared" ref="E30:AI30" si="18">(E19+E41)/2</f>
        <v>10.456543270687444</v>
      </c>
      <c r="F30" s="9">
        <f t="shared" si="18"/>
        <v>10.456587187384747</v>
      </c>
      <c r="G30" s="9">
        <f t="shared" si="18"/>
        <v>10.004945978830358</v>
      </c>
      <c r="H30" s="9">
        <f t="shared" si="18"/>
        <v>10.270258709681691</v>
      </c>
      <c r="I30" s="9">
        <f t="shared" si="18"/>
        <v>10.505755711324989</v>
      </c>
      <c r="J30" s="9">
        <f t="shared" si="18"/>
        <v>10.603420248835098</v>
      </c>
      <c r="K30" s="9">
        <f t="shared" si="18"/>
        <v>10.786085755517872</v>
      </c>
      <c r="L30" s="9">
        <f t="shared" si="18"/>
        <v>11.0629290543234</v>
      </c>
      <c r="M30" s="9">
        <f t="shared" si="18"/>
        <v>11.205822372296444</v>
      </c>
      <c r="N30" s="9">
        <f t="shared" si="18"/>
        <v>11.420509485151932</v>
      </c>
      <c r="O30" s="9">
        <f t="shared" si="18"/>
        <v>11.503714224734523</v>
      </c>
      <c r="P30" s="9">
        <f t="shared" si="18"/>
        <v>12.210070094242807</v>
      </c>
      <c r="Q30" s="9">
        <f t="shared" si="18"/>
        <v>12.299738796626839</v>
      </c>
      <c r="R30" s="9">
        <f t="shared" si="18"/>
        <v>12.624981690408267</v>
      </c>
      <c r="S30" s="9">
        <f t="shared" si="18"/>
        <v>12.806320003830784</v>
      </c>
      <c r="T30" s="9">
        <f t="shared" si="18"/>
        <v>12.915241888084211</v>
      </c>
      <c r="U30" s="9">
        <f t="shared" si="18"/>
        <v>13.005897713541861</v>
      </c>
      <c r="V30" s="9">
        <f t="shared" si="18"/>
        <v>13.122250000000037</v>
      </c>
      <c r="W30" s="9">
        <f t="shared" si="18"/>
        <v>13.351500000000044</v>
      </c>
      <c r="X30" s="9">
        <f t="shared" si="18"/>
        <v>13.580750000000023</v>
      </c>
      <c r="Y30" s="9">
        <f t="shared" si="18"/>
        <v>13.810000000000059</v>
      </c>
      <c r="Z30" s="9">
        <f t="shared" si="18"/>
        <v>14.039250000000038</v>
      </c>
      <c r="AA30" s="9">
        <f t="shared" si="18"/>
        <v>14.268500000000017</v>
      </c>
      <c r="AB30" s="9">
        <f t="shared" si="18"/>
        <v>14.497750000000025</v>
      </c>
      <c r="AC30" s="9">
        <f t="shared" si="18"/>
        <v>14.727000000000032</v>
      </c>
      <c r="AD30" s="9">
        <f t="shared" si="18"/>
        <v>14.95625000000004</v>
      </c>
      <c r="AE30" s="9">
        <f t="shared" si="18"/>
        <v>15.185500000000019</v>
      </c>
      <c r="AF30" s="9">
        <f t="shared" si="18"/>
        <v>15.414750000000055</v>
      </c>
      <c r="AG30" s="9">
        <f t="shared" si="18"/>
        <v>15.644000000000034</v>
      </c>
      <c r="AH30" s="9">
        <f t="shared" si="18"/>
        <v>15.873250000000013</v>
      </c>
      <c r="AI30" s="9">
        <f t="shared" si="18"/>
        <v>16.102500000000049</v>
      </c>
    </row>
    <row r="31" spans="2:35" x14ac:dyDescent="0.45">
      <c r="B31" s="4" t="s">
        <v>33</v>
      </c>
      <c r="C31" s="17" t="s">
        <v>34</v>
      </c>
      <c r="D31" s="4" t="s">
        <v>515</v>
      </c>
      <c r="E31" s="9">
        <f t="shared" ref="E31:AI31" si="19">(E20+E42)/2</f>
        <v>11.790794027791188</v>
      </c>
      <c r="F31" s="9">
        <f t="shared" si="19"/>
        <v>11.790794027791188</v>
      </c>
      <c r="G31" s="9">
        <f t="shared" si="19"/>
        <v>11.106001161005061</v>
      </c>
      <c r="H31" s="9">
        <f t="shared" si="19"/>
        <v>11.621536234033893</v>
      </c>
      <c r="I31" s="9">
        <f t="shared" si="19"/>
        <v>12.474799472508554</v>
      </c>
      <c r="J31" s="9">
        <f t="shared" si="19"/>
        <v>13.112862086049626</v>
      </c>
      <c r="K31" s="9">
        <f t="shared" si="19"/>
        <v>13.673407614560212</v>
      </c>
      <c r="L31" s="9">
        <f t="shared" si="19"/>
        <v>14.326223922693249</v>
      </c>
      <c r="M31" s="9">
        <f t="shared" si="19"/>
        <v>14.614862979145856</v>
      </c>
      <c r="N31" s="9">
        <f t="shared" si="19"/>
        <v>15.084828818941956</v>
      </c>
      <c r="O31" s="9">
        <f t="shared" si="19"/>
        <v>15.424640545021065</v>
      </c>
      <c r="P31" s="9">
        <f t="shared" si="19"/>
        <v>15.88286245337099</v>
      </c>
      <c r="Q31" s="9">
        <f t="shared" si="19"/>
        <v>16.271647648452976</v>
      </c>
      <c r="R31" s="9">
        <f t="shared" si="19"/>
        <v>16.691331971719443</v>
      </c>
      <c r="S31" s="9">
        <f t="shared" si="19"/>
        <v>17.050552911366307</v>
      </c>
      <c r="T31" s="9">
        <f t="shared" si="19"/>
        <v>17.100462583995917</v>
      </c>
      <c r="U31" s="9">
        <f t="shared" si="19"/>
        <v>17.185210004898444</v>
      </c>
      <c r="V31" s="9">
        <f t="shared" si="19"/>
        <v>18.284849999999949</v>
      </c>
      <c r="W31" s="9">
        <f t="shared" si="19"/>
        <v>18.728899999999953</v>
      </c>
      <c r="X31" s="9">
        <f t="shared" si="19"/>
        <v>19.172949999999958</v>
      </c>
      <c r="Y31" s="9">
        <f t="shared" si="19"/>
        <v>19.616999999999962</v>
      </c>
      <c r="Z31" s="9">
        <f t="shared" si="19"/>
        <v>20.061050000000023</v>
      </c>
      <c r="AA31" s="9">
        <f t="shared" si="19"/>
        <v>20.505100000000027</v>
      </c>
      <c r="AB31" s="9">
        <f t="shared" si="19"/>
        <v>20.949150000000031</v>
      </c>
      <c r="AC31" s="9">
        <f t="shared" si="19"/>
        <v>21.393200000000036</v>
      </c>
      <c r="AD31" s="9">
        <f t="shared" si="19"/>
        <v>21.837249999999926</v>
      </c>
      <c r="AE31" s="9">
        <f t="shared" si="19"/>
        <v>22.281299999999987</v>
      </c>
      <c r="AF31" s="9">
        <f t="shared" si="19"/>
        <v>22.725349999999992</v>
      </c>
      <c r="AG31" s="9">
        <f t="shared" si="19"/>
        <v>23.169399999999996</v>
      </c>
      <c r="AH31" s="9">
        <f t="shared" si="19"/>
        <v>23.61345</v>
      </c>
      <c r="AI31" s="9">
        <f t="shared" si="19"/>
        <v>24.057500000000005</v>
      </c>
    </row>
    <row r="32" spans="2:35" x14ac:dyDescent="0.45">
      <c r="B32" s="4" t="s">
        <v>35</v>
      </c>
      <c r="C32" s="17" t="s">
        <v>36</v>
      </c>
      <c r="D32" s="4" t="s">
        <v>515</v>
      </c>
      <c r="E32" s="9">
        <f t="shared" ref="E32:AI32" si="20">(E21+E43)/2</f>
        <v>5.5475965453877825</v>
      </c>
      <c r="F32" s="9">
        <f t="shared" si="20"/>
        <v>5.5309024404835743</v>
      </c>
      <c r="G32" s="9">
        <f t="shared" si="20"/>
        <v>5.2640930149866128</v>
      </c>
      <c r="H32" s="9">
        <f t="shared" si="20"/>
        <v>5.5607958259185502</v>
      </c>
      <c r="I32" s="9">
        <f t="shared" si="20"/>
        <v>6.1262100440231997</v>
      </c>
      <c r="J32" s="9">
        <f t="shared" si="20"/>
        <v>6.4726109622469696</v>
      </c>
      <c r="K32" s="9">
        <f t="shared" si="20"/>
        <v>6.8343554242118874</v>
      </c>
      <c r="L32" s="9">
        <f t="shared" si="20"/>
        <v>7.1491165520525541</v>
      </c>
      <c r="M32" s="9">
        <f t="shared" si="20"/>
        <v>7.266691641667844</v>
      </c>
      <c r="N32" s="9">
        <f t="shared" si="20"/>
        <v>7.4105850726434461</v>
      </c>
      <c r="O32" s="9">
        <f t="shared" si="20"/>
        <v>7.6236214081474021</v>
      </c>
      <c r="P32" s="9">
        <f t="shared" si="20"/>
        <v>7.7767806221944138</v>
      </c>
      <c r="Q32" s="9">
        <f t="shared" si="20"/>
        <v>7.877105563556082</v>
      </c>
      <c r="R32" s="9">
        <f t="shared" si="20"/>
        <v>8.0955587356471881</v>
      </c>
      <c r="S32" s="9">
        <f t="shared" si="20"/>
        <v>8.1600812898066639</v>
      </c>
      <c r="T32" s="9">
        <f t="shared" si="20"/>
        <v>8.1803706719031837</v>
      </c>
      <c r="U32" s="9">
        <f t="shared" si="20"/>
        <v>8.2890002668013381</v>
      </c>
      <c r="V32" s="9">
        <f t="shared" si="20"/>
        <v>8.5667500000000132</v>
      </c>
      <c r="W32" s="9">
        <f t="shared" si="20"/>
        <v>8.7094999999999914</v>
      </c>
      <c r="X32" s="9">
        <f t="shared" si="20"/>
        <v>8.852249999999998</v>
      </c>
      <c r="Y32" s="9">
        <f t="shared" si="20"/>
        <v>8.9950000000000045</v>
      </c>
      <c r="Z32" s="9">
        <f t="shared" si="20"/>
        <v>9.1377499999999969</v>
      </c>
      <c r="AA32" s="9">
        <f t="shared" si="20"/>
        <v>9.2805000000000035</v>
      </c>
      <c r="AB32" s="9">
        <f t="shared" si="20"/>
        <v>9.4232500000000101</v>
      </c>
      <c r="AC32" s="9">
        <f t="shared" si="20"/>
        <v>9.5659999999999883</v>
      </c>
      <c r="AD32" s="9">
        <f t="shared" si="20"/>
        <v>9.7087499999999949</v>
      </c>
      <c r="AE32" s="9">
        <f t="shared" si="20"/>
        <v>9.8515000000000157</v>
      </c>
      <c r="AF32" s="9">
        <f t="shared" si="20"/>
        <v>9.9942499999999939</v>
      </c>
      <c r="AG32" s="9">
        <f t="shared" si="20"/>
        <v>10.137</v>
      </c>
      <c r="AH32" s="9">
        <f t="shared" si="20"/>
        <v>10.279750000000007</v>
      </c>
      <c r="AI32" s="9">
        <f t="shared" si="20"/>
        <v>10.422499999999985</v>
      </c>
    </row>
    <row r="34" spans="2:35" x14ac:dyDescent="0.45">
      <c r="B34" s="7" t="s">
        <v>512</v>
      </c>
    </row>
    <row r="36" spans="2:35" x14ac:dyDescent="0.45">
      <c r="B36" s="3" t="s">
        <v>364</v>
      </c>
      <c r="C36" s="3" t="s">
        <v>205</v>
      </c>
      <c r="D36" s="3" t="s">
        <v>239</v>
      </c>
      <c r="E36" s="3">
        <v>2020</v>
      </c>
      <c r="F36" s="3">
        <v>2021</v>
      </c>
      <c r="G36" s="3">
        <v>2022</v>
      </c>
      <c r="H36" s="3">
        <v>2023</v>
      </c>
      <c r="I36" s="3">
        <v>2024</v>
      </c>
      <c r="J36" s="3">
        <v>2025</v>
      </c>
      <c r="K36" s="3">
        <v>2026</v>
      </c>
      <c r="L36" s="3">
        <v>2027</v>
      </c>
      <c r="M36" s="3">
        <v>2028</v>
      </c>
      <c r="N36" s="3">
        <v>2029</v>
      </c>
      <c r="O36" s="3">
        <v>2030</v>
      </c>
      <c r="P36" s="3">
        <v>2031</v>
      </c>
      <c r="Q36" s="3">
        <v>2032</v>
      </c>
      <c r="R36" s="3">
        <v>2033</v>
      </c>
      <c r="S36" s="3">
        <v>2034</v>
      </c>
      <c r="T36" s="3">
        <v>2035</v>
      </c>
      <c r="U36" s="3">
        <v>2036</v>
      </c>
      <c r="V36" s="3">
        <v>2037</v>
      </c>
      <c r="W36" s="3">
        <v>2038</v>
      </c>
      <c r="X36" s="3">
        <v>2039</v>
      </c>
      <c r="Y36" s="3">
        <v>2040</v>
      </c>
      <c r="Z36" s="3">
        <v>2041</v>
      </c>
      <c r="AA36" s="3">
        <v>2042</v>
      </c>
      <c r="AB36" s="3">
        <v>2043</v>
      </c>
      <c r="AC36" s="3">
        <v>2044</v>
      </c>
      <c r="AD36" s="3">
        <v>2045</v>
      </c>
      <c r="AE36" s="3">
        <v>2046</v>
      </c>
      <c r="AF36" s="3">
        <v>2047</v>
      </c>
      <c r="AG36" s="3">
        <v>2048</v>
      </c>
      <c r="AH36" s="3">
        <v>2049</v>
      </c>
      <c r="AI36" s="3">
        <v>2050</v>
      </c>
    </row>
    <row r="37" spans="2:35" x14ac:dyDescent="0.45">
      <c r="B37" s="4" t="s">
        <v>4</v>
      </c>
      <c r="C37" s="17" t="s">
        <v>5</v>
      </c>
      <c r="D37" s="4" t="s">
        <v>514</v>
      </c>
      <c r="E37" s="9">
        <v>46.311670137589829</v>
      </c>
      <c r="F37" s="9">
        <v>46.311670137589829</v>
      </c>
      <c r="G37" s="9">
        <v>44.077553189619636</v>
      </c>
      <c r="H37" s="9">
        <v>47.886055901336164</v>
      </c>
      <c r="I37" s="9">
        <v>52.20599550809775</v>
      </c>
      <c r="J37" s="9">
        <v>55.555621850913219</v>
      </c>
      <c r="K37" s="9">
        <v>58.359508688047875</v>
      </c>
      <c r="L37" s="9">
        <v>61.644439269929848</v>
      </c>
      <c r="M37" s="9">
        <v>63.832663239953625</v>
      </c>
      <c r="N37" s="9">
        <v>65.808515021362382</v>
      </c>
      <c r="O37" s="9">
        <v>68.336110411532843</v>
      </c>
      <c r="P37" s="9">
        <v>70.781070480743708</v>
      </c>
      <c r="Q37" s="9">
        <v>72.892293596743073</v>
      </c>
      <c r="R37" s="9">
        <v>75.463114262691633</v>
      </c>
      <c r="S37" s="9">
        <v>77.861027326237078</v>
      </c>
      <c r="T37" s="9">
        <v>79.028863032776783</v>
      </c>
      <c r="U37" s="9">
        <v>79.849161443905004</v>
      </c>
      <c r="V37" s="9">
        <f>2.6987*V36-5411</f>
        <v>86.251900000000205</v>
      </c>
      <c r="W37" s="9">
        <f t="shared" ref="W37:AI37" si="21">2.6987*W36-5411</f>
        <v>88.950600000000122</v>
      </c>
      <c r="X37" s="9">
        <f t="shared" si="21"/>
        <v>91.649300000000039</v>
      </c>
      <c r="Y37" s="9">
        <f t="shared" si="21"/>
        <v>94.347999999999956</v>
      </c>
      <c r="Z37" s="9">
        <f t="shared" si="21"/>
        <v>97.046699999999873</v>
      </c>
      <c r="AA37" s="9">
        <f t="shared" si="21"/>
        <v>99.74539999999979</v>
      </c>
      <c r="AB37" s="9">
        <f t="shared" si="21"/>
        <v>102.44410000000062</v>
      </c>
      <c r="AC37" s="9">
        <f t="shared" si="21"/>
        <v>105.14280000000053</v>
      </c>
      <c r="AD37" s="9">
        <f t="shared" si="21"/>
        <v>107.84150000000045</v>
      </c>
      <c r="AE37" s="9">
        <f t="shared" si="21"/>
        <v>110.54020000000037</v>
      </c>
      <c r="AF37" s="9">
        <f t="shared" si="21"/>
        <v>113.23890000000029</v>
      </c>
      <c r="AG37" s="9">
        <f t="shared" si="21"/>
        <v>115.9376000000002</v>
      </c>
      <c r="AH37" s="9">
        <f t="shared" si="21"/>
        <v>118.63630000000012</v>
      </c>
      <c r="AI37" s="9">
        <f t="shared" si="21"/>
        <v>121.33500000000004</v>
      </c>
    </row>
    <row r="38" spans="2:35" x14ac:dyDescent="0.45">
      <c r="B38" s="4" t="s">
        <v>8</v>
      </c>
      <c r="C38" s="17" t="s">
        <v>9</v>
      </c>
      <c r="D38" s="4" t="s">
        <v>515</v>
      </c>
      <c r="E38" s="9">
        <v>7.1081524154562494</v>
      </c>
      <c r="F38" s="9">
        <v>7.1081524154562494</v>
      </c>
      <c r="G38" s="9">
        <v>7.7901546472544707</v>
      </c>
      <c r="H38" s="9">
        <v>8.2645672606470839</v>
      </c>
      <c r="I38" s="9">
        <v>8.2157960941081463</v>
      </c>
      <c r="J38" s="9">
        <v>8.5327757167553759</v>
      </c>
      <c r="K38" s="9">
        <v>9.1010280722527614</v>
      </c>
      <c r="L38" s="9">
        <v>9.6273068315041694</v>
      </c>
      <c r="M38" s="9">
        <v>9.7945909160810576</v>
      </c>
      <c r="N38" s="9">
        <v>10.065667461235293</v>
      </c>
      <c r="O38" s="9">
        <v>10.391625323135754</v>
      </c>
      <c r="P38" s="9">
        <v>10.693336661957035</v>
      </c>
      <c r="Q38" s="9">
        <v>10.881064275285873</v>
      </c>
      <c r="R38" s="9">
        <v>11.170747790533484</v>
      </c>
      <c r="S38" s="9">
        <v>11.397664769993964</v>
      </c>
      <c r="T38" s="9">
        <v>11.529076376259638</v>
      </c>
      <c r="U38" s="9">
        <v>11.671658359496673</v>
      </c>
      <c r="V38" s="9">
        <f>0.2741*V36-546.22</f>
        <v>12.121700000000033</v>
      </c>
      <c r="W38" s="9">
        <f t="shared" ref="W38:AI38" si="22">0.2741*W36-546.22</f>
        <v>12.395800000000008</v>
      </c>
      <c r="X38" s="9">
        <f t="shared" si="22"/>
        <v>12.669899999999984</v>
      </c>
      <c r="Y38" s="9">
        <f t="shared" si="22"/>
        <v>12.94399999999996</v>
      </c>
      <c r="Z38" s="9">
        <f t="shared" si="22"/>
        <v>13.218100000000049</v>
      </c>
      <c r="AA38" s="9">
        <f t="shared" si="22"/>
        <v>13.492200000000025</v>
      </c>
      <c r="AB38" s="9">
        <f t="shared" si="22"/>
        <v>13.766300000000001</v>
      </c>
      <c r="AC38" s="9">
        <f t="shared" si="22"/>
        <v>14.040399999999977</v>
      </c>
      <c r="AD38" s="9">
        <f t="shared" si="22"/>
        <v>14.314499999999953</v>
      </c>
      <c r="AE38" s="9">
        <f t="shared" si="22"/>
        <v>14.588600000000042</v>
      </c>
      <c r="AF38" s="9">
        <f t="shared" si="22"/>
        <v>14.862700000000018</v>
      </c>
      <c r="AG38" s="9">
        <f t="shared" si="22"/>
        <v>15.136799999999994</v>
      </c>
      <c r="AH38" s="9">
        <f t="shared" si="22"/>
        <v>15.41089999999997</v>
      </c>
      <c r="AI38" s="9">
        <f t="shared" si="22"/>
        <v>15.684999999999945</v>
      </c>
    </row>
    <row r="39" spans="2:35" x14ac:dyDescent="0.45">
      <c r="B39" s="4" t="s">
        <v>27</v>
      </c>
      <c r="C39" s="17" t="s">
        <v>28</v>
      </c>
      <c r="D39" s="4" t="s">
        <v>515</v>
      </c>
      <c r="E39" s="9">
        <v>9.2664585461016991</v>
      </c>
      <c r="F39" s="9">
        <v>9.2664585461016991</v>
      </c>
      <c r="G39" s="9">
        <v>8.9560697972099081</v>
      </c>
      <c r="H39" s="9">
        <v>9.0692108044861985</v>
      </c>
      <c r="I39" s="9">
        <v>9.2600211817026405</v>
      </c>
      <c r="J39" s="9">
        <v>9.6215586378031777</v>
      </c>
      <c r="K39" s="9">
        <v>9.9792942724316465</v>
      </c>
      <c r="L39" s="9">
        <v>10.310253077652758</v>
      </c>
      <c r="M39" s="9">
        <v>10.573436997475033</v>
      </c>
      <c r="N39" s="9">
        <v>10.877330374470951</v>
      </c>
      <c r="O39" s="9">
        <v>11.10896876672652</v>
      </c>
      <c r="P39" s="9">
        <v>11.505199689473011</v>
      </c>
      <c r="Q39" s="9">
        <v>11.747520438255158</v>
      </c>
      <c r="R39" s="9">
        <v>12.028779929870188</v>
      </c>
      <c r="S39" s="9">
        <v>12.275807669958391</v>
      </c>
      <c r="T39" s="9">
        <v>12.430786746269865</v>
      </c>
      <c r="U39" s="9">
        <v>12.55542206976331</v>
      </c>
      <c r="V39" s="9">
        <f>0.281*V36-559.27</f>
        <v>13.127000000000066</v>
      </c>
      <c r="W39" s="9">
        <f t="shared" ref="W39:AI39" si="23">0.281*W36-559.27</f>
        <v>13.408000000000129</v>
      </c>
      <c r="X39" s="9">
        <f t="shared" si="23"/>
        <v>13.689000000000078</v>
      </c>
      <c r="Y39" s="9">
        <f t="shared" si="23"/>
        <v>13.970000000000027</v>
      </c>
      <c r="Z39" s="9">
        <f t="shared" si="23"/>
        <v>14.25100000000009</v>
      </c>
      <c r="AA39" s="9">
        <f t="shared" si="23"/>
        <v>14.532000000000039</v>
      </c>
      <c r="AB39" s="9">
        <f t="shared" si="23"/>
        <v>14.813000000000102</v>
      </c>
      <c r="AC39" s="9">
        <f t="shared" si="23"/>
        <v>15.094000000000051</v>
      </c>
      <c r="AD39" s="9">
        <f t="shared" si="23"/>
        <v>15.375000000000114</v>
      </c>
      <c r="AE39" s="9">
        <f t="shared" si="23"/>
        <v>15.656000000000063</v>
      </c>
      <c r="AF39" s="9">
        <f t="shared" si="23"/>
        <v>15.937000000000126</v>
      </c>
      <c r="AG39" s="9">
        <f t="shared" si="23"/>
        <v>16.218000000000075</v>
      </c>
      <c r="AH39" s="9">
        <f t="shared" si="23"/>
        <v>16.499000000000024</v>
      </c>
      <c r="AI39" s="9">
        <f t="shared" si="23"/>
        <v>16.780000000000086</v>
      </c>
    </row>
    <row r="40" spans="2:35" x14ac:dyDescent="0.45">
      <c r="B40" s="4" t="s">
        <v>29</v>
      </c>
      <c r="C40" s="17" t="s">
        <v>30</v>
      </c>
      <c r="D40" s="4" t="s">
        <v>515</v>
      </c>
      <c r="E40" s="9">
        <v>11.101851978172604</v>
      </c>
      <c r="F40" s="9">
        <v>11.101851978172604</v>
      </c>
      <c r="G40" s="9">
        <v>10.889504536147712</v>
      </c>
      <c r="H40" s="9">
        <v>10.929397923846437</v>
      </c>
      <c r="I40" s="9">
        <v>11.229385058565937</v>
      </c>
      <c r="J40" s="9">
        <v>11.518253668318417</v>
      </c>
      <c r="K40" s="9">
        <v>11.76429534837682</v>
      </c>
      <c r="L40" s="9">
        <v>12.068245106630789</v>
      </c>
      <c r="M40" s="9">
        <v>12.269110636119718</v>
      </c>
      <c r="N40" s="9">
        <v>12.581958386110779</v>
      </c>
      <c r="O40" s="9">
        <v>12.590940801078512</v>
      </c>
      <c r="P40" s="9">
        <v>13.058868265952787</v>
      </c>
      <c r="Q40" s="9">
        <v>13.259598511641627</v>
      </c>
      <c r="R40" s="9">
        <v>13.609828220626554</v>
      </c>
      <c r="S40" s="9">
        <v>13.819287737854062</v>
      </c>
      <c r="T40" s="9">
        <v>13.858237973677776</v>
      </c>
      <c r="U40" s="9">
        <v>13.929236127555052</v>
      </c>
      <c r="V40" s="9">
        <f>0.2415*V36-477.5</f>
        <v>14.43549999999999</v>
      </c>
      <c r="W40" s="9">
        <f t="shared" ref="W40:AI40" si="24">0.2415*W36-477.5</f>
        <v>14.676999999999964</v>
      </c>
      <c r="X40" s="9">
        <f t="shared" si="24"/>
        <v>14.918499999999995</v>
      </c>
      <c r="Y40" s="9">
        <f t="shared" si="24"/>
        <v>15.159999999999968</v>
      </c>
      <c r="Z40" s="9">
        <f t="shared" si="24"/>
        <v>15.401499999999999</v>
      </c>
      <c r="AA40" s="9">
        <f t="shared" si="24"/>
        <v>15.642999999999972</v>
      </c>
      <c r="AB40" s="9">
        <f t="shared" si="24"/>
        <v>15.884500000000003</v>
      </c>
      <c r="AC40" s="9">
        <f t="shared" si="24"/>
        <v>16.125999999999976</v>
      </c>
      <c r="AD40" s="9">
        <f t="shared" si="24"/>
        <v>16.367500000000007</v>
      </c>
      <c r="AE40" s="9">
        <f t="shared" si="24"/>
        <v>16.60899999999998</v>
      </c>
      <c r="AF40" s="9">
        <f t="shared" si="24"/>
        <v>16.850500000000011</v>
      </c>
      <c r="AG40" s="9">
        <f t="shared" si="24"/>
        <v>17.091999999999985</v>
      </c>
      <c r="AH40" s="9">
        <f t="shared" si="24"/>
        <v>17.333499999999958</v>
      </c>
      <c r="AI40" s="9">
        <f t="shared" si="24"/>
        <v>17.574999999999989</v>
      </c>
    </row>
    <row r="41" spans="2:35" x14ac:dyDescent="0.45">
      <c r="B41" s="4" t="s">
        <v>31</v>
      </c>
      <c r="C41" s="17" t="s">
        <v>32</v>
      </c>
      <c r="D41" s="4" t="s">
        <v>515</v>
      </c>
      <c r="E41" s="9">
        <v>10.456587187384747</v>
      </c>
      <c r="F41" s="9">
        <v>10.456587187384747</v>
      </c>
      <c r="G41" s="9">
        <v>10.004945978830358</v>
      </c>
      <c r="H41" s="9">
        <v>10.270258709681691</v>
      </c>
      <c r="I41" s="9">
        <v>10.505755711324989</v>
      </c>
      <c r="J41" s="9">
        <v>10.603420248835098</v>
      </c>
      <c r="K41" s="9">
        <v>10.786085755517872</v>
      </c>
      <c r="L41" s="9">
        <v>11.0629290543234</v>
      </c>
      <c r="M41" s="9">
        <v>11.205822372296444</v>
      </c>
      <c r="N41" s="9">
        <v>11.420509485151932</v>
      </c>
      <c r="O41" s="9">
        <v>11.503714224734523</v>
      </c>
      <c r="P41" s="9">
        <v>12.210070094242807</v>
      </c>
      <c r="Q41" s="9">
        <v>12.299738796626839</v>
      </c>
      <c r="R41" s="9">
        <v>12.624981690408267</v>
      </c>
      <c r="S41" s="9">
        <v>12.806320003830784</v>
      </c>
      <c r="T41" s="9">
        <v>12.915241888084211</v>
      </c>
      <c r="U41" s="9">
        <v>13.005897713541861</v>
      </c>
      <c r="V41" s="9">
        <f>0.2315*V36-458.4</f>
        <v>13.165500000000065</v>
      </c>
      <c r="W41" s="9">
        <f t="shared" ref="W41:AI41" si="25">0.2315*W36-458.4</f>
        <v>13.397000000000048</v>
      </c>
      <c r="X41" s="9">
        <f t="shared" si="25"/>
        <v>13.628500000000031</v>
      </c>
      <c r="Y41" s="9">
        <f t="shared" si="25"/>
        <v>13.86000000000007</v>
      </c>
      <c r="Z41" s="9">
        <f t="shared" si="25"/>
        <v>14.091500000000053</v>
      </c>
      <c r="AA41" s="9">
        <f t="shared" si="25"/>
        <v>14.323000000000036</v>
      </c>
      <c r="AB41" s="9">
        <f t="shared" si="25"/>
        <v>14.554500000000019</v>
      </c>
      <c r="AC41" s="9">
        <f t="shared" si="25"/>
        <v>14.786000000000058</v>
      </c>
      <c r="AD41" s="9">
        <f t="shared" si="25"/>
        <v>15.017500000000041</v>
      </c>
      <c r="AE41" s="9">
        <f t="shared" si="25"/>
        <v>15.249000000000024</v>
      </c>
      <c r="AF41" s="9">
        <f t="shared" si="25"/>
        <v>15.480500000000063</v>
      </c>
      <c r="AG41" s="9">
        <f t="shared" si="25"/>
        <v>15.712000000000046</v>
      </c>
      <c r="AH41" s="9">
        <f t="shared" si="25"/>
        <v>15.943500000000029</v>
      </c>
      <c r="AI41" s="9">
        <f t="shared" si="25"/>
        <v>16.175000000000068</v>
      </c>
    </row>
    <row r="42" spans="2:35" x14ac:dyDescent="0.45">
      <c r="B42" s="4" t="s">
        <v>33</v>
      </c>
      <c r="C42" s="17" t="s">
        <v>34</v>
      </c>
      <c r="D42" s="4" t="s">
        <v>515</v>
      </c>
      <c r="E42" s="9">
        <v>11.790794027791188</v>
      </c>
      <c r="F42" s="9">
        <v>11.790794027791188</v>
      </c>
      <c r="G42" s="9">
        <v>11.173695289571755</v>
      </c>
      <c r="H42" s="9">
        <v>11.930262940231231</v>
      </c>
      <c r="I42" s="9">
        <v>12.999447837108905</v>
      </c>
      <c r="J42" s="9">
        <v>13.925873827116989</v>
      </c>
      <c r="K42" s="9">
        <v>14.656817769973634</v>
      </c>
      <c r="L42" s="9">
        <v>15.381216240754284</v>
      </c>
      <c r="M42" s="9">
        <v>15.784228388281159</v>
      </c>
      <c r="N42" s="9">
        <v>16.332786086936618</v>
      </c>
      <c r="O42" s="9">
        <v>16.690074917871033</v>
      </c>
      <c r="P42" s="9">
        <v>17.348625031612031</v>
      </c>
      <c r="Q42" s="9">
        <v>17.828181587530775</v>
      </c>
      <c r="R42" s="9">
        <v>18.410908430070382</v>
      </c>
      <c r="S42" s="9">
        <v>18.972274667260532</v>
      </c>
      <c r="T42" s="9">
        <v>19.155330433989221</v>
      </c>
      <c r="U42" s="9">
        <v>19.357247481195561</v>
      </c>
      <c r="V42" s="9">
        <f>0.5814*V36-1163.7</f>
        <v>20.611799999999903</v>
      </c>
      <c r="W42" s="9">
        <f t="shared" ref="W42:AI42" si="26">0.5814*W36-1163.7</f>
        <v>21.193199999999933</v>
      </c>
      <c r="X42" s="9">
        <f t="shared" si="26"/>
        <v>21.774599999999964</v>
      </c>
      <c r="Y42" s="9">
        <f t="shared" si="26"/>
        <v>22.355999999999995</v>
      </c>
      <c r="Z42" s="9">
        <f t="shared" si="26"/>
        <v>22.937400000000025</v>
      </c>
      <c r="AA42" s="9">
        <f t="shared" si="26"/>
        <v>23.518800000000056</v>
      </c>
      <c r="AB42" s="9">
        <f t="shared" si="26"/>
        <v>24.100200000000086</v>
      </c>
      <c r="AC42" s="9">
        <f t="shared" si="26"/>
        <v>24.681600000000117</v>
      </c>
      <c r="AD42" s="9">
        <f t="shared" si="26"/>
        <v>25.26299999999992</v>
      </c>
      <c r="AE42" s="9">
        <f t="shared" si="26"/>
        <v>25.844399999999951</v>
      </c>
      <c r="AF42" s="9">
        <f t="shared" si="26"/>
        <v>26.425799999999981</v>
      </c>
      <c r="AG42" s="9">
        <f t="shared" si="26"/>
        <v>27.007200000000012</v>
      </c>
      <c r="AH42" s="9">
        <f t="shared" si="26"/>
        <v>27.588600000000042</v>
      </c>
      <c r="AI42" s="9">
        <f t="shared" si="26"/>
        <v>28.170000000000073</v>
      </c>
    </row>
    <row r="43" spans="2:35" x14ac:dyDescent="0.45">
      <c r="B43" s="4" t="s">
        <v>35</v>
      </c>
      <c r="C43" s="17" t="s">
        <v>36</v>
      </c>
      <c r="D43" s="4" t="s">
        <v>515</v>
      </c>
      <c r="E43" s="9">
        <v>5.5475965453877825</v>
      </c>
      <c r="F43" s="9">
        <v>5.5475965453877825</v>
      </c>
      <c r="G43" s="9">
        <v>5.3019970776105323</v>
      </c>
      <c r="H43" s="9">
        <v>5.6729433929115087</v>
      </c>
      <c r="I43" s="9">
        <v>6.3530988832490038</v>
      </c>
      <c r="J43" s="9">
        <v>6.8235347443863716</v>
      </c>
      <c r="K43" s="9">
        <v>7.2915099674864967</v>
      </c>
      <c r="L43" s="9">
        <v>7.6301993040852487</v>
      </c>
      <c r="M43" s="9">
        <v>7.8016853453500863</v>
      </c>
      <c r="N43" s="9">
        <v>7.9731673045540177</v>
      </c>
      <c r="O43" s="9">
        <v>8.2294855059194649</v>
      </c>
      <c r="P43" s="9">
        <v>8.4421404148673727</v>
      </c>
      <c r="Q43" s="9">
        <v>8.5715905085936033</v>
      </c>
      <c r="R43" s="9">
        <v>8.8698890474123733</v>
      </c>
      <c r="S43" s="9">
        <v>8.9556210015571747</v>
      </c>
      <c r="T43" s="9">
        <v>9.0413522473783789</v>
      </c>
      <c r="U43" s="9">
        <v>9.2553098467170845</v>
      </c>
      <c r="V43" s="9">
        <f>0.1915*V36-380.49</f>
        <v>9.5955000000000155</v>
      </c>
      <c r="W43" s="9">
        <f t="shared" ref="W43:AI43" si="27">0.1915*W36-380.49</f>
        <v>9.7869999999999777</v>
      </c>
      <c r="X43" s="9">
        <f t="shared" si="27"/>
        <v>9.9784999999999968</v>
      </c>
      <c r="Y43" s="9">
        <f t="shared" si="27"/>
        <v>10.170000000000016</v>
      </c>
      <c r="Z43" s="9">
        <f t="shared" si="27"/>
        <v>10.361499999999978</v>
      </c>
      <c r="AA43" s="9">
        <f t="shared" si="27"/>
        <v>10.552999999999997</v>
      </c>
      <c r="AB43" s="9">
        <f t="shared" si="27"/>
        <v>10.744500000000016</v>
      </c>
      <c r="AC43" s="9">
        <f t="shared" si="27"/>
        <v>10.935999999999979</v>
      </c>
      <c r="AD43" s="9">
        <f t="shared" si="27"/>
        <v>11.127499999999998</v>
      </c>
      <c r="AE43" s="9">
        <f t="shared" si="27"/>
        <v>11.319000000000017</v>
      </c>
      <c r="AF43" s="9">
        <f t="shared" si="27"/>
        <v>11.510499999999979</v>
      </c>
      <c r="AG43" s="9">
        <f t="shared" si="27"/>
        <v>11.701999999999998</v>
      </c>
      <c r="AH43" s="9">
        <f t="shared" si="27"/>
        <v>11.893500000000017</v>
      </c>
      <c r="AI43" s="9">
        <f t="shared" si="27"/>
        <v>12.08499999999998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3903-3A38-4B50-B650-82FAEEE450F2}">
  <dimension ref="A1:AH111"/>
  <sheetViews>
    <sheetView workbookViewId="0">
      <selection activeCell="B86" sqref="B86"/>
    </sheetView>
  </sheetViews>
  <sheetFormatPr baseColWidth="10" defaultRowHeight="17.5" x14ac:dyDescent="0.45"/>
  <cols>
    <col min="2" max="2" width="44.61328125" customWidth="1"/>
    <col min="5" max="5" width="12.07421875" bestFit="1" customWidth="1"/>
    <col min="6" max="34" width="11.23046875" bestFit="1" customWidth="1"/>
  </cols>
  <sheetData>
    <row r="1" spans="1:34" x14ac:dyDescent="0.45">
      <c r="B1" t="s">
        <v>568</v>
      </c>
    </row>
    <row r="3" spans="1:34" x14ac:dyDescent="0.45">
      <c r="A3" s="3" t="s">
        <v>260</v>
      </c>
      <c r="B3" s="5" t="s">
        <v>546</v>
      </c>
      <c r="C3" s="3" t="s">
        <v>205</v>
      </c>
      <c r="D3" s="3">
        <v>2020</v>
      </c>
      <c r="E3" s="3">
        <v>2021</v>
      </c>
      <c r="F3" s="3">
        <v>2022</v>
      </c>
      <c r="G3" s="3">
        <v>2023</v>
      </c>
      <c r="H3" s="3">
        <v>2024</v>
      </c>
      <c r="I3" s="3">
        <v>2025</v>
      </c>
      <c r="J3" s="3">
        <v>2026</v>
      </c>
      <c r="K3" s="3">
        <v>2027</v>
      </c>
      <c r="L3" s="3">
        <v>2028</v>
      </c>
      <c r="M3" s="3">
        <v>2029</v>
      </c>
      <c r="N3" s="3">
        <v>2030</v>
      </c>
      <c r="O3" s="3">
        <v>2031</v>
      </c>
      <c r="P3" s="3">
        <v>2032</v>
      </c>
      <c r="Q3" s="3">
        <v>2033</v>
      </c>
      <c r="R3" s="3">
        <v>2034</v>
      </c>
      <c r="S3" s="3">
        <v>2035</v>
      </c>
      <c r="T3" s="3">
        <v>2036</v>
      </c>
      <c r="U3" s="3">
        <v>2037</v>
      </c>
      <c r="V3" s="3">
        <v>2038</v>
      </c>
      <c r="W3" s="3">
        <v>2039</v>
      </c>
      <c r="X3" s="3">
        <v>2040</v>
      </c>
      <c r="Y3" s="3">
        <v>2041</v>
      </c>
      <c r="Z3" s="3">
        <v>2042</v>
      </c>
      <c r="AA3" s="3">
        <v>2043</v>
      </c>
      <c r="AB3" s="3">
        <v>2044</v>
      </c>
      <c r="AC3" s="3">
        <v>2045</v>
      </c>
      <c r="AD3" s="3">
        <v>2046</v>
      </c>
      <c r="AE3" s="3">
        <v>2047</v>
      </c>
      <c r="AF3" s="3">
        <v>2048</v>
      </c>
      <c r="AG3" s="3">
        <v>2049</v>
      </c>
      <c r="AH3" s="3">
        <v>2050</v>
      </c>
    </row>
    <row r="4" spans="1:34" x14ac:dyDescent="0.45">
      <c r="A4" s="34" t="s">
        <v>516</v>
      </c>
      <c r="B4" s="4" t="s">
        <v>370</v>
      </c>
      <c r="C4" s="3" t="s">
        <v>520</v>
      </c>
      <c r="D4" s="15">
        <v>64.597999999999999</v>
      </c>
      <c r="E4" s="15">
        <f>$D$4*(1.024)^(E3-2020)</f>
        <v>66.148352000000003</v>
      </c>
      <c r="F4" s="15">
        <f t="shared" ref="F4:AH4" si="0">$D$4*(1.024)^(F3-2020)</f>
        <v>67.735912447999993</v>
      </c>
      <c r="G4" s="15">
        <f t="shared" si="0"/>
        <v>69.361574346752008</v>
      </c>
      <c r="H4" s="15">
        <f t="shared" si="0"/>
        <v>71.026252131074045</v>
      </c>
      <c r="I4" s="15">
        <f t="shared" si="0"/>
        <v>72.73088218221983</v>
      </c>
      <c r="J4" s="15">
        <f t="shared" si="0"/>
        <v>74.476423354593095</v>
      </c>
      <c r="K4" s="15">
        <f t="shared" si="0"/>
        <v>76.263857515103339</v>
      </c>
      <c r="L4" s="15">
        <f t="shared" si="0"/>
        <v>78.094190095465805</v>
      </c>
      <c r="M4" s="15">
        <f t="shared" si="0"/>
        <v>79.968450657756989</v>
      </c>
      <c r="N4" s="15">
        <f t="shared" si="0"/>
        <v>81.887693473543152</v>
      </c>
      <c r="O4" s="15">
        <f t="shared" si="0"/>
        <v>83.852998116908196</v>
      </c>
      <c r="P4" s="15">
        <f t="shared" si="0"/>
        <v>85.865470071713986</v>
      </c>
      <c r="Q4" s="15">
        <f t="shared" si="0"/>
        <v>87.926241353435117</v>
      </c>
      <c r="R4" s="15">
        <f t="shared" si="0"/>
        <v>90.03647114591756</v>
      </c>
      <c r="S4" s="15">
        <f t="shared" si="0"/>
        <v>92.197346453419598</v>
      </c>
      <c r="T4" s="15">
        <f t="shared" si="0"/>
        <v>94.410082768301649</v>
      </c>
      <c r="U4" s="15">
        <f t="shared" si="0"/>
        <v>96.67592475474089</v>
      </c>
      <c r="V4" s="15">
        <f t="shared" si="0"/>
        <v>98.996146948854658</v>
      </c>
      <c r="W4" s="15">
        <f t="shared" si="0"/>
        <v>101.37205447562719</v>
      </c>
      <c r="X4" s="15">
        <f t="shared" si="0"/>
        <v>103.80498378304223</v>
      </c>
      <c r="Y4" s="15">
        <f t="shared" si="0"/>
        <v>106.29630339383526</v>
      </c>
      <c r="Z4" s="15">
        <f t="shared" si="0"/>
        <v>108.84741467528728</v>
      </c>
      <c r="AA4" s="15">
        <f t="shared" si="0"/>
        <v>111.4597526274942</v>
      </c>
      <c r="AB4" s="15">
        <f t="shared" si="0"/>
        <v>114.13478669055404</v>
      </c>
      <c r="AC4" s="15">
        <f t="shared" si="0"/>
        <v>116.87402157112733</v>
      </c>
      <c r="AD4" s="15">
        <f t="shared" si="0"/>
        <v>119.67899808883439</v>
      </c>
      <c r="AE4" s="15">
        <f t="shared" si="0"/>
        <v>122.55129404296643</v>
      </c>
      <c r="AF4" s="15">
        <f t="shared" si="0"/>
        <v>125.49252509999762</v>
      </c>
      <c r="AG4" s="15">
        <f t="shared" si="0"/>
        <v>128.50434570239756</v>
      </c>
      <c r="AH4" s="15">
        <f t="shared" si="0"/>
        <v>131.58844999925509</v>
      </c>
    </row>
    <row r="5" spans="1:34" x14ac:dyDescent="0.45">
      <c r="A5" s="34"/>
      <c r="B5" s="4" t="s">
        <v>371</v>
      </c>
      <c r="C5" s="3" t="s">
        <v>521</v>
      </c>
      <c r="D5" s="15">
        <v>28.931999999999999</v>
      </c>
      <c r="E5" s="15">
        <f>$D$5*(1.024)^(E3-2020)</f>
        <v>29.626367999999999</v>
      </c>
      <c r="F5" s="15">
        <f t="shared" ref="F5:AH5" si="1">$D$5*(1.024)^(F3-2020)</f>
        <v>30.337400831999997</v>
      </c>
      <c r="G5" s="15">
        <f t="shared" si="1"/>
        <v>31.065498451968001</v>
      </c>
      <c r="H5" s="15">
        <f t="shared" si="1"/>
        <v>31.81107041481523</v>
      </c>
      <c r="I5" s="15">
        <f t="shared" si="1"/>
        <v>32.5745361047708</v>
      </c>
      <c r="J5" s="15">
        <f t="shared" si="1"/>
        <v>33.356324971285289</v>
      </c>
      <c r="K5" s="15">
        <f t="shared" si="1"/>
        <v>34.156876770596142</v>
      </c>
      <c r="L5" s="15">
        <f t="shared" si="1"/>
        <v>34.976641813090446</v>
      </c>
      <c r="M5" s="15">
        <f t="shared" si="1"/>
        <v>35.816081216604616</v>
      </c>
      <c r="N5" s="15">
        <f t="shared" si="1"/>
        <v>36.675667165803127</v>
      </c>
      <c r="O5" s="15">
        <f t="shared" si="1"/>
        <v>37.555883177782405</v>
      </c>
      <c r="P5" s="15">
        <f t="shared" si="1"/>
        <v>38.457224374049183</v>
      </c>
      <c r="Q5" s="15">
        <f t="shared" si="1"/>
        <v>39.380197759026359</v>
      </c>
      <c r="R5" s="15">
        <f t="shared" si="1"/>
        <v>40.325322505242994</v>
      </c>
      <c r="S5" s="15">
        <f t="shared" si="1"/>
        <v>41.293130245368829</v>
      </c>
      <c r="T5" s="15">
        <f t="shared" si="1"/>
        <v>42.284165371257671</v>
      </c>
      <c r="U5" s="15">
        <f t="shared" si="1"/>
        <v>43.29898534016786</v>
      </c>
      <c r="V5" s="15">
        <f t="shared" si="1"/>
        <v>44.338160988331886</v>
      </c>
      <c r="W5" s="15">
        <f t="shared" si="1"/>
        <v>45.402276852051855</v>
      </c>
      <c r="X5" s="15">
        <f t="shared" si="1"/>
        <v>46.491931496501095</v>
      </c>
      <c r="Y5" s="15">
        <f t="shared" si="1"/>
        <v>47.607737852417131</v>
      </c>
      <c r="Z5" s="15">
        <f t="shared" si="1"/>
        <v>48.750323560875131</v>
      </c>
      <c r="AA5" s="15">
        <f t="shared" si="1"/>
        <v>49.920331326336147</v>
      </c>
      <c r="AB5" s="15">
        <f t="shared" si="1"/>
        <v>51.118419278168197</v>
      </c>
      <c r="AC5" s="15">
        <f t="shared" si="1"/>
        <v>52.345261340844232</v>
      </c>
      <c r="AD5" s="15">
        <f t="shared" si="1"/>
        <v>53.601547613024501</v>
      </c>
      <c r="AE5" s="15">
        <f t="shared" si="1"/>
        <v>54.887984755737094</v>
      </c>
      <c r="AF5" s="15">
        <f t="shared" si="1"/>
        <v>56.205296389874782</v>
      </c>
      <c r="AG5" s="15">
        <f t="shared" si="1"/>
        <v>57.554223503231775</v>
      </c>
      <c r="AH5" s="15">
        <f t="shared" si="1"/>
        <v>58.935524867309333</v>
      </c>
    </row>
    <row r="6" spans="1:34" x14ac:dyDescent="0.45">
      <c r="A6" s="34"/>
      <c r="B6" s="4" t="s">
        <v>372</v>
      </c>
      <c r="C6" s="3" t="s">
        <v>522</v>
      </c>
      <c r="D6" s="15">
        <v>23.777000000000001</v>
      </c>
      <c r="E6" s="15">
        <f>$D$6*(1.024)^(E3-2020)</f>
        <v>24.347648000000003</v>
      </c>
      <c r="F6" s="15">
        <f t="shared" ref="F6:AH6" si="2">$D$6*(1.024)^(F3-2020)</f>
        <v>24.931991552</v>
      </c>
      <c r="G6" s="15">
        <f t="shared" si="2"/>
        <v>25.530359349248002</v>
      </c>
      <c r="H6" s="15">
        <f t="shared" si="2"/>
        <v>26.143087973629953</v>
      </c>
      <c r="I6" s="15">
        <f t="shared" si="2"/>
        <v>26.770522084997076</v>
      </c>
      <c r="J6" s="15">
        <f t="shared" si="2"/>
        <v>27.413014615037</v>
      </c>
      <c r="K6" s="15">
        <f t="shared" si="2"/>
        <v>28.070926965797891</v>
      </c>
      <c r="L6" s="15">
        <f t="shared" si="2"/>
        <v>28.744629212977038</v>
      </c>
      <c r="M6" s="15">
        <f t="shared" si="2"/>
        <v>29.434500314088485</v>
      </c>
      <c r="N6" s="15">
        <f t="shared" si="2"/>
        <v>30.14092832162661</v>
      </c>
      <c r="O6" s="15">
        <f t="shared" si="2"/>
        <v>30.864310601345654</v>
      </c>
      <c r="P6" s="15">
        <f t="shared" si="2"/>
        <v>31.605054055777945</v>
      </c>
      <c r="Q6" s="15">
        <f t="shared" si="2"/>
        <v>32.363575353116616</v>
      </c>
      <c r="R6" s="15">
        <f t="shared" si="2"/>
        <v>33.14030116159141</v>
      </c>
      <c r="S6" s="15">
        <f t="shared" si="2"/>
        <v>33.935668389469612</v>
      </c>
      <c r="T6" s="15">
        <f t="shared" si="2"/>
        <v>34.750124430816875</v>
      </c>
      <c r="U6" s="15">
        <f t="shared" si="2"/>
        <v>35.584127417156481</v>
      </c>
      <c r="V6" s="15">
        <f t="shared" si="2"/>
        <v>36.438146475168232</v>
      </c>
      <c r="W6" s="15">
        <f t="shared" si="2"/>
        <v>37.312661990572281</v>
      </c>
      <c r="X6" s="15">
        <f t="shared" si="2"/>
        <v>38.208165878346009</v>
      </c>
      <c r="Y6" s="15">
        <f t="shared" si="2"/>
        <v>39.125161859426314</v>
      </c>
      <c r="Z6" s="15">
        <f t="shared" si="2"/>
        <v>40.064165744052538</v>
      </c>
      <c r="AA6" s="15">
        <f t="shared" si="2"/>
        <v>41.025705721909809</v>
      </c>
      <c r="AB6" s="15">
        <f t="shared" si="2"/>
        <v>42.010322659235634</v>
      </c>
      <c r="AC6" s="15">
        <f t="shared" si="2"/>
        <v>43.018570403057289</v>
      </c>
      <c r="AD6" s="15">
        <f t="shared" si="2"/>
        <v>44.051016092730663</v>
      </c>
      <c r="AE6" s="15">
        <f t="shared" si="2"/>
        <v>45.108240478956205</v>
      </c>
      <c r="AF6" s="15">
        <f t="shared" si="2"/>
        <v>46.190838250451151</v>
      </c>
      <c r="AG6" s="15">
        <f t="shared" si="2"/>
        <v>47.299418368461978</v>
      </c>
      <c r="AH6" s="15">
        <f t="shared" si="2"/>
        <v>48.434604409305066</v>
      </c>
    </row>
    <row r="7" spans="1:34" x14ac:dyDescent="0.45">
      <c r="A7" s="34"/>
      <c r="B7" s="4" t="s">
        <v>373</v>
      </c>
      <c r="C7" s="3" t="s">
        <v>523</v>
      </c>
      <c r="D7" s="15">
        <v>17.762</v>
      </c>
      <c r="E7" s="15">
        <f>$D$7*(1.024)^(E3-2020)</f>
        <v>18.188288</v>
      </c>
      <c r="F7" s="15">
        <f t="shared" ref="F7:AH7" si="3">$D$7*(1.024)^(F3-2020)</f>
        <v>18.624806912</v>
      </c>
      <c r="G7" s="15">
        <f t="shared" si="3"/>
        <v>19.071802277888001</v>
      </c>
      <c r="H7" s="15">
        <f t="shared" si="3"/>
        <v>19.529525532557312</v>
      </c>
      <c r="I7" s="15">
        <f t="shared" si="3"/>
        <v>19.998234145338689</v>
      </c>
      <c r="J7" s="15">
        <f t="shared" si="3"/>
        <v>20.478191764826814</v>
      </c>
      <c r="K7" s="15">
        <f t="shared" si="3"/>
        <v>20.969668367182663</v>
      </c>
      <c r="L7" s="15">
        <f t="shared" si="3"/>
        <v>21.472940407995043</v>
      </c>
      <c r="M7" s="15">
        <f t="shared" si="3"/>
        <v>21.988290977786921</v>
      </c>
      <c r="N7" s="15">
        <f t="shared" si="3"/>
        <v>22.516009961253808</v>
      </c>
      <c r="O7" s="15">
        <f t="shared" si="3"/>
        <v>23.056394200323904</v>
      </c>
      <c r="P7" s="15">
        <f t="shared" si="3"/>
        <v>23.609747661131674</v>
      </c>
      <c r="Q7" s="15">
        <f t="shared" si="3"/>
        <v>24.176381604998834</v>
      </c>
      <c r="R7" s="15">
        <f t="shared" si="3"/>
        <v>24.756614763518805</v>
      </c>
      <c r="S7" s="15">
        <f t="shared" si="3"/>
        <v>25.350773517843258</v>
      </c>
      <c r="T7" s="15">
        <f t="shared" si="3"/>
        <v>25.959192082271493</v>
      </c>
      <c r="U7" s="15">
        <f t="shared" si="3"/>
        <v>26.58221269224601</v>
      </c>
      <c r="V7" s="15">
        <f t="shared" si="3"/>
        <v>27.220185796859912</v>
      </c>
      <c r="W7" s="15">
        <f t="shared" si="3"/>
        <v>27.873470255984554</v>
      </c>
      <c r="X7" s="15">
        <f t="shared" si="3"/>
        <v>28.54243354212818</v>
      </c>
      <c r="Y7" s="15">
        <f t="shared" si="3"/>
        <v>29.227451947139262</v>
      </c>
      <c r="Z7" s="15">
        <f t="shared" si="3"/>
        <v>29.928910793870596</v>
      </c>
      <c r="AA7" s="15">
        <f t="shared" si="3"/>
        <v>30.647204652923499</v>
      </c>
      <c r="AB7" s="15">
        <f t="shared" si="3"/>
        <v>31.382737564593654</v>
      </c>
      <c r="AC7" s="15">
        <f t="shared" si="3"/>
        <v>32.135923266143905</v>
      </c>
      <c r="AD7" s="15">
        <f t="shared" si="3"/>
        <v>32.907185424531356</v>
      </c>
      <c r="AE7" s="15">
        <f t="shared" si="3"/>
        <v>33.696957874720113</v>
      </c>
      <c r="AF7" s="15">
        <f t="shared" si="3"/>
        <v>34.505684863713391</v>
      </c>
      <c r="AG7" s="15">
        <f t="shared" si="3"/>
        <v>35.333821300442516</v>
      </c>
      <c r="AH7" s="15">
        <f t="shared" si="3"/>
        <v>36.181833011653133</v>
      </c>
    </row>
    <row r="8" spans="1:34" x14ac:dyDescent="0.45">
      <c r="A8" s="34"/>
      <c r="B8" s="4" t="s">
        <v>374</v>
      </c>
      <c r="C8" s="3" t="s">
        <v>524</v>
      </c>
      <c r="D8" s="15">
        <v>10.423999999999999</v>
      </c>
      <c r="E8" s="15">
        <f>$D$8*(1.024)^(E3-2020)</f>
        <v>10.674175999999999</v>
      </c>
      <c r="F8" s="15">
        <f t="shared" ref="F8:AH8" si="4">$D$8*(1.024)^(F3-2020)</f>
        <v>10.930356223999999</v>
      </c>
      <c r="G8" s="15">
        <f t="shared" si="4"/>
        <v>11.192684773376</v>
      </c>
      <c r="H8" s="15">
        <f t="shared" si="4"/>
        <v>11.461309207937024</v>
      </c>
      <c r="I8" s="15">
        <f t="shared" si="4"/>
        <v>11.736380628927513</v>
      </c>
      <c r="J8" s="15">
        <f t="shared" si="4"/>
        <v>12.01805376402177</v>
      </c>
      <c r="K8" s="15">
        <f t="shared" si="4"/>
        <v>12.306487054358296</v>
      </c>
      <c r="L8" s="15">
        <f t="shared" si="4"/>
        <v>12.601842743662893</v>
      </c>
      <c r="M8" s="15">
        <f t="shared" si="4"/>
        <v>12.904286969510801</v>
      </c>
      <c r="N8" s="15">
        <f t="shared" si="4"/>
        <v>13.213989856779062</v>
      </c>
      <c r="O8" s="15">
        <f t="shared" si="4"/>
        <v>13.531125613341761</v>
      </c>
      <c r="P8" s="15">
        <f t="shared" si="4"/>
        <v>13.855872628061961</v>
      </c>
      <c r="Q8" s="15">
        <f t="shared" si="4"/>
        <v>14.188413571135449</v>
      </c>
      <c r="R8" s="15">
        <f t="shared" si="4"/>
        <v>14.528935496842699</v>
      </c>
      <c r="S8" s="15">
        <f t="shared" si="4"/>
        <v>14.877629948766925</v>
      </c>
      <c r="T8" s="15">
        <f t="shared" si="4"/>
        <v>15.234693067537329</v>
      </c>
      <c r="U8" s="15">
        <f t="shared" si="4"/>
        <v>15.600325701158225</v>
      </c>
      <c r="V8" s="15">
        <f t="shared" si="4"/>
        <v>15.974733517986021</v>
      </c>
      <c r="W8" s="15">
        <f t="shared" si="4"/>
        <v>16.358127122417688</v>
      </c>
      <c r="X8" s="15">
        <f t="shared" si="4"/>
        <v>16.750722173355712</v>
      </c>
      <c r="Y8" s="15">
        <f t="shared" si="4"/>
        <v>17.152739505516251</v>
      </c>
      <c r="Z8" s="15">
        <f t="shared" si="4"/>
        <v>17.564405253648637</v>
      </c>
      <c r="AA8" s="15">
        <f t="shared" si="4"/>
        <v>17.985950979736209</v>
      </c>
      <c r="AB8" s="15">
        <f t="shared" si="4"/>
        <v>18.417613803249871</v>
      </c>
      <c r="AC8" s="15">
        <f t="shared" si="4"/>
        <v>18.859636534527869</v>
      </c>
      <c r="AD8" s="15">
        <f t="shared" si="4"/>
        <v>19.312267811356538</v>
      </c>
      <c r="AE8" s="15">
        <f t="shared" si="4"/>
        <v>19.775762238829099</v>
      </c>
      <c r="AF8" s="15">
        <f t="shared" si="4"/>
        <v>20.250380532560996</v>
      </c>
      <c r="AG8" s="15">
        <f t="shared" si="4"/>
        <v>20.736389665342458</v>
      </c>
      <c r="AH8" s="15">
        <f t="shared" si="4"/>
        <v>21.234063017310678</v>
      </c>
    </row>
    <row r="9" spans="1:34" x14ac:dyDescent="0.45">
      <c r="A9" s="34"/>
      <c r="B9" s="4" t="s">
        <v>375</v>
      </c>
      <c r="C9" s="3" t="s">
        <v>525</v>
      </c>
      <c r="D9" s="15">
        <v>12.641</v>
      </c>
      <c r="E9" s="15">
        <f>$D$9*(1.024)^(E3-2020)</f>
        <v>12.944383999999999</v>
      </c>
      <c r="F9" s="15">
        <f t="shared" ref="F9:AH9" si="5">$D$9*(1.024)^(F3-2020)</f>
        <v>13.255049216</v>
      </c>
      <c r="G9" s="15">
        <f t="shared" si="5"/>
        <v>13.573170397184001</v>
      </c>
      <c r="H9" s="15">
        <f t="shared" si="5"/>
        <v>13.898926486716416</v>
      </c>
      <c r="I9" s="15">
        <f t="shared" si="5"/>
        <v>14.232500722397612</v>
      </c>
      <c r="J9" s="15">
        <f t="shared" si="5"/>
        <v>14.574080739735152</v>
      </c>
      <c r="K9" s="15">
        <f t="shared" si="5"/>
        <v>14.923858677488798</v>
      </c>
      <c r="L9" s="15">
        <f t="shared" si="5"/>
        <v>15.282031285748527</v>
      </c>
      <c r="M9" s="15">
        <f t="shared" si="5"/>
        <v>15.64880003660649</v>
      </c>
      <c r="N9" s="15">
        <f t="shared" si="5"/>
        <v>16.024371237485045</v>
      </c>
      <c r="O9" s="15">
        <f t="shared" si="5"/>
        <v>16.408956147184689</v>
      </c>
      <c r="P9" s="15">
        <f t="shared" si="5"/>
        <v>16.802771094717119</v>
      </c>
      <c r="Q9" s="15">
        <f t="shared" si="5"/>
        <v>17.206037600990332</v>
      </c>
      <c r="R9" s="15">
        <f t="shared" si="5"/>
        <v>17.618982503414099</v>
      </c>
      <c r="S9" s="15">
        <f t="shared" si="5"/>
        <v>18.041838083496039</v>
      </c>
      <c r="T9" s="15">
        <f t="shared" si="5"/>
        <v>18.474842197499939</v>
      </c>
      <c r="U9" s="15">
        <f t="shared" si="5"/>
        <v>18.91823841023994</v>
      </c>
      <c r="V9" s="15">
        <f t="shared" si="5"/>
        <v>19.372276132085695</v>
      </c>
      <c r="W9" s="15">
        <f t="shared" si="5"/>
        <v>19.837210759255758</v>
      </c>
      <c r="X9" s="15">
        <f t="shared" si="5"/>
        <v>20.313303817477891</v>
      </c>
      <c r="Y9" s="15">
        <f t="shared" si="5"/>
        <v>20.800823109097365</v>
      </c>
      <c r="Z9" s="15">
        <f t="shared" si="5"/>
        <v>21.300042863715696</v>
      </c>
      <c r="AA9" s="15">
        <f t="shared" si="5"/>
        <v>21.811243892444878</v>
      </c>
      <c r="AB9" s="15">
        <f t="shared" si="5"/>
        <v>22.334713745863549</v>
      </c>
      <c r="AC9" s="15">
        <f t="shared" si="5"/>
        <v>22.870746875764276</v>
      </c>
      <c r="AD9" s="15">
        <f t="shared" si="5"/>
        <v>23.419644800782621</v>
      </c>
      <c r="AE9" s="15">
        <f t="shared" si="5"/>
        <v>23.981716276001404</v>
      </c>
      <c r="AF9" s="15">
        <f t="shared" si="5"/>
        <v>24.557277466625436</v>
      </c>
      <c r="AG9" s="15">
        <f t="shared" si="5"/>
        <v>25.146652125824446</v>
      </c>
      <c r="AH9" s="15">
        <f t="shared" si="5"/>
        <v>25.750171776844233</v>
      </c>
    </row>
    <row r="10" spans="1:34" x14ac:dyDescent="0.45">
      <c r="A10" s="34"/>
      <c r="B10" s="4" t="s">
        <v>376</v>
      </c>
      <c r="C10" s="3" t="s">
        <v>526</v>
      </c>
      <c r="D10" s="15">
        <v>18.204000000000001</v>
      </c>
      <c r="E10" s="15">
        <f>$D$10*(1.024)^(E3-2020)</f>
        <v>18.640896000000001</v>
      </c>
      <c r="F10" s="15">
        <f t="shared" ref="F10:AH10" si="6">$D$10*(1.024)^(F3-2020)</f>
        <v>19.088277504000001</v>
      </c>
      <c r="G10" s="15">
        <f t="shared" si="6"/>
        <v>19.546396164096002</v>
      </c>
      <c r="H10" s="15">
        <f t="shared" si="6"/>
        <v>20.015509672034305</v>
      </c>
      <c r="I10" s="15">
        <f t="shared" si="6"/>
        <v>20.495881904163131</v>
      </c>
      <c r="J10" s="15">
        <f t="shared" si="6"/>
        <v>20.987783069863042</v>
      </c>
      <c r="K10" s="15">
        <f t="shared" si="6"/>
        <v>21.491489863539758</v>
      </c>
      <c r="L10" s="15">
        <f t="shared" si="6"/>
        <v>22.00728562026471</v>
      </c>
      <c r="M10" s="15">
        <f t="shared" si="6"/>
        <v>22.535460475151059</v>
      </c>
      <c r="N10" s="15">
        <f t="shared" si="6"/>
        <v>23.076311526554687</v>
      </c>
      <c r="O10" s="15">
        <f t="shared" si="6"/>
        <v>23.630143003192003</v>
      </c>
      <c r="P10" s="15">
        <f t="shared" si="6"/>
        <v>24.19726643526861</v>
      </c>
      <c r="Q10" s="15">
        <f t="shared" si="6"/>
        <v>24.778000829715054</v>
      </c>
      <c r="R10" s="15">
        <f t="shared" si="6"/>
        <v>25.372672849628213</v>
      </c>
      <c r="S10" s="15">
        <f t="shared" si="6"/>
        <v>25.981616998019295</v>
      </c>
      <c r="T10" s="15">
        <f t="shared" si="6"/>
        <v>26.605175805971754</v>
      </c>
      <c r="U10" s="15">
        <f t="shared" si="6"/>
        <v>27.243700025315075</v>
      </c>
      <c r="V10" s="15">
        <f t="shared" si="6"/>
        <v>27.897548825922634</v>
      </c>
      <c r="W10" s="15">
        <f t="shared" si="6"/>
        <v>28.567089997744784</v>
      </c>
      <c r="X10" s="15">
        <f t="shared" si="6"/>
        <v>29.252700157690654</v>
      </c>
      <c r="Y10" s="15">
        <f t="shared" si="6"/>
        <v>29.954764961475234</v>
      </c>
      <c r="Z10" s="15">
        <f t="shared" si="6"/>
        <v>30.673679320550633</v>
      </c>
      <c r="AA10" s="15">
        <f t="shared" si="6"/>
        <v>31.409847624243856</v>
      </c>
      <c r="AB10" s="15">
        <f t="shared" si="6"/>
        <v>32.163683967225701</v>
      </c>
      <c r="AC10" s="15">
        <f t="shared" si="6"/>
        <v>32.935612382439118</v>
      </c>
      <c r="AD10" s="15">
        <f t="shared" si="6"/>
        <v>33.726067079617657</v>
      </c>
      <c r="AE10" s="15">
        <f t="shared" si="6"/>
        <v>34.535492689528482</v>
      </c>
      <c r="AF10" s="15">
        <f t="shared" si="6"/>
        <v>35.364344514077168</v>
      </c>
      <c r="AG10" s="15">
        <f t="shared" si="6"/>
        <v>36.213088782415021</v>
      </c>
      <c r="AH10" s="15">
        <f t="shared" si="6"/>
        <v>37.08220291319298</v>
      </c>
    </row>
    <row r="11" spans="1:34" x14ac:dyDescent="0.45">
      <c r="A11" s="34" t="s">
        <v>517</v>
      </c>
      <c r="B11" s="4" t="s">
        <v>225</v>
      </c>
      <c r="C11" s="3" t="s">
        <v>528</v>
      </c>
      <c r="D11" s="15">
        <v>56.353116116334469</v>
      </c>
      <c r="E11" s="15">
        <f>$D$11*(1.0032)^(E3-2020)</f>
        <v>56.533446087906746</v>
      </c>
      <c r="F11" s="15">
        <f t="shared" ref="F11:AH11" si="7">$D$11*(1.0032)^(F3-2020)</f>
        <v>56.71435311538805</v>
      </c>
      <c r="G11" s="15">
        <f t="shared" si="7"/>
        <v>56.895839045357292</v>
      </c>
      <c r="H11" s="15">
        <f t="shared" si="7"/>
        <v>57.07790573030244</v>
      </c>
      <c r="I11" s="15">
        <f t="shared" si="7"/>
        <v>57.260555028639409</v>
      </c>
      <c r="J11" s="15">
        <f t="shared" si="7"/>
        <v>57.443788804731057</v>
      </c>
      <c r="K11" s="15">
        <f t="shared" si="7"/>
        <v>57.627608928906199</v>
      </c>
      <c r="L11" s="15">
        <f t="shared" si="7"/>
        <v>57.812017277478702</v>
      </c>
      <c r="M11" s="15">
        <f t="shared" si="7"/>
        <v>57.997015732766634</v>
      </c>
      <c r="N11" s="15">
        <f t="shared" si="7"/>
        <v>58.182606183111503</v>
      </c>
      <c r="O11" s="15">
        <f t="shared" si="7"/>
        <v>58.368790522897449</v>
      </c>
      <c r="P11" s="15">
        <f t="shared" si="7"/>
        <v>58.555570652570729</v>
      </c>
      <c r="Q11" s="15">
        <f t="shared" si="7"/>
        <v>58.742948478658953</v>
      </c>
      <c r="R11" s="15">
        <f t="shared" si="7"/>
        <v>58.930925913790659</v>
      </c>
      <c r="S11" s="15">
        <f t="shared" si="7"/>
        <v>59.119504876714799</v>
      </c>
      <c r="T11" s="15">
        <f t="shared" si="7"/>
        <v>59.308687292320293</v>
      </c>
      <c r="U11" s="15">
        <f t="shared" si="7"/>
        <v>59.49847509165572</v>
      </c>
      <c r="V11" s="15">
        <f t="shared" si="7"/>
        <v>59.688870211949023</v>
      </c>
      <c r="W11" s="15">
        <f t="shared" si="7"/>
        <v>59.879874596627261</v>
      </c>
      <c r="X11" s="15">
        <f t="shared" si="7"/>
        <v>60.071490195336473</v>
      </c>
      <c r="Y11" s="15">
        <f t="shared" si="7"/>
        <v>60.263718963961544</v>
      </c>
      <c r="Z11" s="15">
        <f t="shared" si="7"/>
        <v>60.456562864646223</v>
      </c>
      <c r="AA11" s="15">
        <f t="shared" si="7"/>
        <v>60.650023865813097</v>
      </c>
      <c r="AB11" s="15">
        <f t="shared" si="7"/>
        <v>60.844103942183708</v>
      </c>
      <c r="AC11" s="15">
        <f t="shared" si="7"/>
        <v>61.038805074798695</v>
      </c>
      <c r="AD11" s="15">
        <f t="shared" si="7"/>
        <v>61.23412925103807</v>
      </c>
      <c r="AE11" s="15">
        <f t="shared" si="7"/>
        <v>61.430078464641376</v>
      </c>
      <c r="AF11" s="15">
        <f t="shared" si="7"/>
        <v>61.626654715728243</v>
      </c>
      <c r="AG11" s="15">
        <f t="shared" si="7"/>
        <v>61.823860010818564</v>
      </c>
      <c r="AH11" s="15">
        <f t="shared" si="7"/>
        <v>62.021696362853184</v>
      </c>
    </row>
    <row r="12" spans="1:34" x14ac:dyDescent="0.45">
      <c r="A12" s="34"/>
      <c r="B12" s="4" t="s">
        <v>378</v>
      </c>
      <c r="C12" s="3" t="s">
        <v>529</v>
      </c>
      <c r="D12" s="15">
        <v>0.66273088810329706</v>
      </c>
      <c r="E12" s="15">
        <f>$D$12*(1.0032)^(E3-2020)</f>
        <v>0.6648516269452277</v>
      </c>
      <c r="F12" s="15">
        <f t="shared" ref="F12:AH12" si="8">$D$12*(1.0032)^(F3-2020)</f>
        <v>0.66697915215145243</v>
      </c>
      <c r="G12" s="15">
        <f t="shared" si="8"/>
        <v>0.66911348543833715</v>
      </c>
      <c r="H12" s="15">
        <f t="shared" si="8"/>
        <v>0.67125464859173978</v>
      </c>
      <c r="I12" s="15">
        <f t="shared" si="8"/>
        <v>0.67340266346723343</v>
      </c>
      <c r="J12" s="15">
        <f t="shared" si="8"/>
        <v>0.67555755199032852</v>
      </c>
      <c r="K12" s="15">
        <f t="shared" si="8"/>
        <v>0.67771933615669766</v>
      </c>
      <c r="L12" s="15">
        <f t="shared" si="8"/>
        <v>0.67988803803239917</v>
      </c>
      <c r="M12" s="15">
        <f t="shared" si="8"/>
        <v>0.68206367975410287</v>
      </c>
      <c r="N12" s="15">
        <f t="shared" si="8"/>
        <v>0.68424628352931605</v>
      </c>
      <c r="O12" s="15">
        <f t="shared" si="8"/>
        <v>0.6864358716366098</v>
      </c>
      <c r="P12" s="15">
        <f t="shared" si="8"/>
        <v>0.68863246642584708</v>
      </c>
      <c r="Q12" s="15">
        <f t="shared" si="8"/>
        <v>0.69083609031840976</v>
      </c>
      <c r="R12" s="15">
        <f t="shared" si="8"/>
        <v>0.69304676580742863</v>
      </c>
      <c r="S12" s="15">
        <f t="shared" si="8"/>
        <v>0.69526451545801249</v>
      </c>
      <c r="T12" s="15">
        <f t="shared" si="8"/>
        <v>0.69748936190747823</v>
      </c>
      <c r="U12" s="15">
        <f t="shared" si="8"/>
        <v>0.69972132786558217</v>
      </c>
      <c r="V12" s="15">
        <f t="shared" si="8"/>
        <v>0.70196043611475212</v>
      </c>
      <c r="W12" s="15">
        <f t="shared" si="8"/>
        <v>0.70420670951031927</v>
      </c>
      <c r="X12" s="15">
        <f t="shared" si="8"/>
        <v>0.70646017098075242</v>
      </c>
      <c r="Y12" s="15">
        <f t="shared" si="8"/>
        <v>0.70872084352789078</v>
      </c>
      <c r="Z12" s="15">
        <f t="shared" si="8"/>
        <v>0.71098875022718</v>
      </c>
      <c r="AA12" s="15">
        <f t="shared" si="8"/>
        <v>0.71326391422790714</v>
      </c>
      <c r="AB12" s="15">
        <f t="shared" si="8"/>
        <v>0.71554635875343642</v>
      </c>
      <c r="AC12" s="15">
        <f t="shared" si="8"/>
        <v>0.71783610710144741</v>
      </c>
      <c r="AD12" s="15">
        <f t="shared" si="8"/>
        <v>0.72013318264417225</v>
      </c>
      <c r="AE12" s="15">
        <f t="shared" si="8"/>
        <v>0.7224376088286335</v>
      </c>
      <c r="AF12" s="15">
        <f t="shared" si="8"/>
        <v>0.72474940917688535</v>
      </c>
      <c r="AG12" s="15">
        <f t="shared" si="8"/>
        <v>0.72706860728625122</v>
      </c>
      <c r="AH12" s="15">
        <f t="shared" si="8"/>
        <v>0.72939522682956726</v>
      </c>
    </row>
    <row r="13" spans="1:34" x14ac:dyDescent="0.45">
      <c r="A13" s="34"/>
      <c r="B13" s="4" t="s">
        <v>227</v>
      </c>
      <c r="C13" s="3" t="s">
        <v>530</v>
      </c>
      <c r="D13" s="15">
        <v>4.0827849386987587E-2</v>
      </c>
      <c r="E13" s="15">
        <f>$D$13*(1.0032)^(E3-2020)</f>
        <v>4.0958498505025955E-2</v>
      </c>
      <c r="F13" s="15">
        <f t="shared" ref="F13:AH13" si="9">$D$13*(1.0032)^(F3-2020)</f>
        <v>4.1089565700242033E-2</v>
      </c>
      <c r="G13" s="15">
        <f t="shared" si="9"/>
        <v>4.1221052310482814E-2</v>
      </c>
      <c r="H13" s="15">
        <f t="shared" si="9"/>
        <v>4.1352959677876361E-2</v>
      </c>
      <c r="I13" s="15">
        <f t="shared" si="9"/>
        <v>4.1485289148845562E-2</v>
      </c>
      <c r="J13" s="15">
        <f t="shared" si="9"/>
        <v>4.1618042074121869E-2</v>
      </c>
      <c r="K13" s="15">
        <f t="shared" si="9"/>
        <v>4.1751219808759066E-2</v>
      </c>
      <c r="L13" s="15">
        <f t="shared" si="9"/>
        <v>4.1884823712147093E-2</v>
      </c>
      <c r="M13" s="15">
        <f t="shared" si="9"/>
        <v>4.2018855148025967E-2</v>
      </c>
      <c r="N13" s="15">
        <f t="shared" si="9"/>
        <v>4.2153315484499659E-2</v>
      </c>
      <c r="O13" s="15">
        <f t="shared" si="9"/>
        <v>4.2288206094050054E-2</v>
      </c>
      <c r="P13" s="15">
        <f t="shared" si="9"/>
        <v>4.2423528353551024E-2</v>
      </c>
      <c r="Q13" s="15">
        <f t="shared" si="9"/>
        <v>4.2559283644282381E-2</v>
      </c>
      <c r="R13" s="15">
        <f t="shared" si="9"/>
        <v>4.2695473351944083E-2</v>
      </c>
      <c r="S13" s="15">
        <f t="shared" si="9"/>
        <v>4.2832098866670311E-2</v>
      </c>
      <c r="T13" s="15">
        <f t="shared" si="9"/>
        <v>4.2969161583043661E-2</v>
      </c>
      <c r="U13" s="15">
        <f t="shared" si="9"/>
        <v>4.3106662900109401E-2</v>
      </c>
      <c r="V13" s="15">
        <f t="shared" si="9"/>
        <v>4.3244604221389753E-2</v>
      </c>
      <c r="W13" s="15">
        <f t="shared" si="9"/>
        <v>4.3382986954898201E-2</v>
      </c>
      <c r="X13" s="15">
        <f t="shared" si="9"/>
        <v>4.352181251315388E-2</v>
      </c>
      <c r="Y13" s="15">
        <f t="shared" si="9"/>
        <v>4.3661082313195966E-2</v>
      </c>
      <c r="Z13" s="15">
        <f t="shared" si="9"/>
        <v>4.3800797776598198E-2</v>
      </c>
      <c r="AA13" s="15">
        <f t="shared" si="9"/>
        <v>4.3940960329483317E-2</v>
      </c>
      <c r="AB13" s="15">
        <f t="shared" si="9"/>
        <v>4.4081571402537663E-2</v>
      </c>
      <c r="AC13" s="15">
        <f t="shared" si="9"/>
        <v>4.4222632431025789E-2</v>
      </c>
      <c r="AD13" s="15">
        <f t="shared" si="9"/>
        <v>4.4364144854805082E-2</v>
      </c>
      <c r="AE13" s="15">
        <f t="shared" si="9"/>
        <v>4.450611011834045E-2</v>
      </c>
      <c r="AF13" s="15">
        <f t="shared" si="9"/>
        <v>4.4648529670719153E-2</v>
      </c>
      <c r="AG13" s="15">
        <f t="shared" si="9"/>
        <v>4.4791404965665443E-2</v>
      </c>
      <c r="AH13" s="15">
        <f t="shared" si="9"/>
        <v>4.4934737461555574E-2</v>
      </c>
    </row>
    <row r="14" spans="1:34" x14ac:dyDescent="0.45">
      <c r="A14" s="34"/>
      <c r="B14" s="4" t="s">
        <v>228</v>
      </c>
      <c r="C14" s="3" t="s">
        <v>531</v>
      </c>
      <c r="D14" s="15">
        <v>12.129825967055282</v>
      </c>
      <c r="E14" s="15">
        <f>$D$14*(1.0032)^(E3-2020)</f>
        <v>12.16864141014986</v>
      </c>
      <c r="F14" s="15">
        <f t="shared" ref="F14:AH14" si="10">$D$14*(1.0032)^(F3-2020)</f>
        <v>12.20758106266234</v>
      </c>
      <c r="G14" s="15">
        <f t="shared" si="10"/>
        <v>12.246645322062861</v>
      </c>
      <c r="H14" s="15">
        <f t="shared" si="10"/>
        <v>12.285834587093461</v>
      </c>
      <c r="I14" s="15">
        <f t="shared" si="10"/>
        <v>12.325149257772161</v>
      </c>
      <c r="J14" s="15">
        <f t="shared" si="10"/>
        <v>12.364589735397033</v>
      </c>
      <c r="K14" s="15">
        <f t="shared" si="10"/>
        <v>12.404156422550304</v>
      </c>
      <c r="L14" s="15">
        <f t="shared" si="10"/>
        <v>12.443849723102465</v>
      </c>
      <c r="M14" s="15">
        <f t="shared" si="10"/>
        <v>12.483670042216394</v>
      </c>
      <c r="N14" s="15">
        <f t="shared" si="10"/>
        <v>12.523617786351489</v>
      </c>
      <c r="O14" s="15">
        <f t="shared" si="10"/>
        <v>12.563693363267813</v>
      </c>
      <c r="P14" s="15">
        <f t="shared" si="10"/>
        <v>12.603897182030272</v>
      </c>
      <c r="Q14" s="15">
        <f t="shared" si="10"/>
        <v>12.644229653012767</v>
      </c>
      <c r="R14" s="15">
        <f t="shared" si="10"/>
        <v>12.684691187902407</v>
      </c>
      <c r="S14" s="15">
        <f t="shared" si="10"/>
        <v>12.725282199703697</v>
      </c>
      <c r="T14" s="15">
        <f t="shared" si="10"/>
        <v>12.766003102742751</v>
      </c>
      <c r="U14" s="15">
        <f t="shared" si="10"/>
        <v>12.806854312671527</v>
      </c>
      <c r="V14" s="15">
        <f t="shared" si="10"/>
        <v>12.847836246472077</v>
      </c>
      <c r="W14" s="15">
        <f t="shared" si="10"/>
        <v>12.888949322460787</v>
      </c>
      <c r="X14" s="15">
        <f t="shared" si="10"/>
        <v>12.930193960292664</v>
      </c>
      <c r="Y14" s="15">
        <f t="shared" si="10"/>
        <v>12.971570580965599</v>
      </c>
      <c r="Z14" s="15">
        <f t="shared" si="10"/>
        <v>13.013079606824689</v>
      </c>
      <c r="AA14" s="15">
        <f t="shared" si="10"/>
        <v>13.054721461566531</v>
      </c>
      <c r="AB14" s="15">
        <f t="shared" si="10"/>
        <v>13.096496570243545</v>
      </c>
      <c r="AC14" s="15">
        <f t="shared" si="10"/>
        <v>13.138405359268324</v>
      </c>
      <c r="AD14" s="15">
        <f t="shared" si="10"/>
        <v>13.180448256417987</v>
      </c>
      <c r="AE14" s="15">
        <f t="shared" si="10"/>
        <v>13.222625690838521</v>
      </c>
      <c r="AF14" s="15">
        <f t="shared" si="10"/>
        <v>13.264938093049208</v>
      </c>
      <c r="AG14" s="15">
        <f t="shared" si="10"/>
        <v>13.307385894946963</v>
      </c>
      <c r="AH14" s="15">
        <f t="shared" si="10"/>
        <v>13.349969529810794</v>
      </c>
    </row>
    <row r="15" spans="1:34" x14ac:dyDescent="0.45">
      <c r="A15" s="34"/>
      <c r="B15" s="4" t="s">
        <v>229</v>
      </c>
      <c r="C15" s="3" t="s">
        <v>532</v>
      </c>
      <c r="D15" s="15">
        <v>22.098979206468599</v>
      </c>
      <c r="E15" s="15">
        <f>$D$15*(1.0032)^(E3-2020)</f>
        <v>22.169695939929301</v>
      </c>
      <c r="F15" s="15">
        <f t="shared" ref="F15:AH15" si="11">$D$15*(1.0032)^(F3-2020)</f>
        <v>22.240638966937073</v>
      </c>
      <c r="G15" s="15">
        <f t="shared" si="11"/>
        <v>22.311809011631276</v>
      </c>
      <c r="H15" s="15">
        <f t="shared" si="11"/>
        <v>22.383206800468496</v>
      </c>
      <c r="I15" s="15">
        <f t="shared" si="11"/>
        <v>22.454833062229994</v>
      </c>
      <c r="J15" s="15">
        <f t="shared" si="11"/>
        <v>22.52668852802913</v>
      </c>
      <c r="K15" s="15">
        <f t="shared" si="11"/>
        <v>22.598773931318828</v>
      </c>
      <c r="L15" s="15">
        <f t="shared" si="11"/>
        <v>22.67109000789905</v>
      </c>
      <c r="M15" s="15">
        <f t="shared" si="11"/>
        <v>22.743637495924325</v>
      </c>
      <c r="N15" s="15">
        <f t="shared" si="11"/>
        <v>22.816417135911287</v>
      </c>
      <c r="O15" s="15">
        <f t="shared" si="11"/>
        <v>22.889429670746203</v>
      </c>
      <c r="P15" s="15">
        <f t="shared" si="11"/>
        <v>22.962675845692594</v>
      </c>
      <c r="Q15" s="15">
        <f t="shared" si="11"/>
        <v>23.036156408398806</v>
      </c>
      <c r="R15" s="15">
        <f t="shared" si="11"/>
        <v>23.109872108905684</v>
      </c>
      <c r="S15" s="15">
        <f t="shared" si="11"/>
        <v>23.183823699654184</v>
      </c>
      <c r="T15" s="15">
        <f t="shared" si="11"/>
        <v>23.25801193549308</v>
      </c>
      <c r="U15" s="15">
        <f t="shared" si="11"/>
        <v>23.332437573686658</v>
      </c>
      <c r="V15" s="15">
        <f t="shared" si="11"/>
        <v>23.407101373922458</v>
      </c>
      <c r="W15" s="15">
        <f t="shared" si="11"/>
        <v>23.48200409831901</v>
      </c>
      <c r="X15" s="15">
        <f t="shared" si="11"/>
        <v>23.557146511433633</v>
      </c>
      <c r="Y15" s="15">
        <f t="shared" si="11"/>
        <v>23.632529380270217</v>
      </c>
      <c r="Z15" s="15">
        <f t="shared" si="11"/>
        <v>23.708153474287084</v>
      </c>
      <c r="AA15" s="15">
        <f t="shared" si="11"/>
        <v>23.784019565404808</v>
      </c>
      <c r="AB15" s="15">
        <f t="shared" si="11"/>
        <v>23.860128428014104</v>
      </c>
      <c r="AC15" s="15">
        <f t="shared" si="11"/>
        <v>23.936480838983748</v>
      </c>
      <c r="AD15" s="15">
        <f t="shared" si="11"/>
        <v>24.013077577668504</v>
      </c>
      <c r="AE15" s="15">
        <f t="shared" si="11"/>
        <v>24.089919425917039</v>
      </c>
      <c r="AF15" s="15">
        <f t="shared" si="11"/>
        <v>24.16700716807998</v>
      </c>
      <c r="AG15" s="15">
        <f t="shared" si="11"/>
        <v>24.244341591017829</v>
      </c>
      <c r="AH15" s="15">
        <f t="shared" si="11"/>
        <v>24.321923484109089</v>
      </c>
    </row>
    <row r="16" spans="1:34" x14ac:dyDescent="0.45">
      <c r="A16" s="34"/>
      <c r="B16" s="4" t="s">
        <v>230</v>
      </c>
      <c r="C16" s="3" t="s">
        <v>533</v>
      </c>
      <c r="D16" s="15">
        <v>0.12580815123480002</v>
      </c>
      <c r="E16" s="15">
        <f>$D$16*(1.0032)^(E3-2020)</f>
        <v>0.1262107373187514</v>
      </c>
      <c r="F16" s="15">
        <f t="shared" ref="F16:AH16" si="12">$D$16*(1.0032)^(F3-2020)</f>
        <v>0.1266146116781714</v>
      </c>
      <c r="G16" s="15">
        <f t="shared" si="12"/>
        <v>0.12701977843554155</v>
      </c>
      <c r="H16" s="15">
        <f t="shared" si="12"/>
        <v>0.1274262417265353</v>
      </c>
      <c r="I16" s="15">
        <f t="shared" si="12"/>
        <v>0.1278340057000602</v>
      </c>
      <c r="J16" s="15">
        <f t="shared" si="12"/>
        <v>0.12824307451830039</v>
      </c>
      <c r="K16" s="15">
        <f t="shared" si="12"/>
        <v>0.12865345235675898</v>
      </c>
      <c r="L16" s="15">
        <f t="shared" si="12"/>
        <v>0.12906514340430061</v>
      </c>
      <c r="M16" s="15">
        <f t="shared" si="12"/>
        <v>0.12947815186319439</v>
      </c>
      <c r="N16" s="15">
        <f t="shared" si="12"/>
        <v>0.12989248194915662</v>
      </c>
      <c r="O16" s="15">
        <f t="shared" si="12"/>
        <v>0.13030813789139392</v>
      </c>
      <c r="P16" s="15">
        <f t="shared" si="12"/>
        <v>0.1307251239326464</v>
      </c>
      <c r="Q16" s="15">
        <f t="shared" si="12"/>
        <v>0.13114344432923086</v>
      </c>
      <c r="R16" s="15">
        <f t="shared" si="12"/>
        <v>0.13156310335108437</v>
      </c>
      <c r="S16" s="15">
        <f t="shared" si="12"/>
        <v>0.13198410528180787</v>
      </c>
      <c r="T16" s="15">
        <f t="shared" si="12"/>
        <v>0.13240645441870966</v>
      </c>
      <c r="U16" s="15">
        <f t="shared" si="12"/>
        <v>0.13283015507284954</v>
      </c>
      <c r="V16" s="15">
        <f t="shared" si="12"/>
        <v>0.13325521156908268</v>
      </c>
      <c r="W16" s="15">
        <f t="shared" si="12"/>
        <v>0.13368162824610375</v>
      </c>
      <c r="X16" s="15">
        <f t="shared" si="12"/>
        <v>0.1341094094564913</v>
      </c>
      <c r="Y16" s="15">
        <f t="shared" si="12"/>
        <v>0.13453855956675204</v>
      </c>
      <c r="Z16" s="15">
        <f t="shared" si="12"/>
        <v>0.13496908295736565</v>
      </c>
      <c r="AA16" s="15">
        <f t="shared" si="12"/>
        <v>0.13540098402282924</v>
      </c>
      <c r="AB16" s="15">
        <f t="shared" si="12"/>
        <v>0.1358342671717023</v>
      </c>
      <c r="AC16" s="15">
        <f t="shared" si="12"/>
        <v>0.13626893682665175</v>
      </c>
      <c r="AD16" s="15">
        <f t="shared" si="12"/>
        <v>0.1367049974244971</v>
      </c>
      <c r="AE16" s="15">
        <f t="shared" si="12"/>
        <v>0.13714245341625544</v>
      </c>
      <c r="AF16" s="15">
        <f t="shared" si="12"/>
        <v>0.13758130926718751</v>
      </c>
      <c r="AG16" s="15">
        <f t="shared" si="12"/>
        <v>0.13802156945684249</v>
      </c>
      <c r="AH16" s="15">
        <f t="shared" si="12"/>
        <v>0.13846323847910438</v>
      </c>
    </row>
    <row r="17" spans="1:34" x14ac:dyDescent="0.45">
      <c r="A17" s="34"/>
      <c r="B17" s="4" t="s">
        <v>379</v>
      </c>
      <c r="C17" s="3" t="s">
        <v>534</v>
      </c>
      <c r="D17" s="15">
        <v>0.29641995677573019</v>
      </c>
      <c r="E17" s="15">
        <f>$D$17*(1.0032)^(E3-2020)</f>
        <v>0.29736850063741255</v>
      </c>
      <c r="F17" s="15">
        <f t="shared" ref="F17:AH17" si="13">$D$17*(1.0032)^(F3-2020)</f>
        <v>0.2983200798394523</v>
      </c>
      <c r="G17" s="15">
        <f t="shared" si="13"/>
        <v>0.29927470409493856</v>
      </c>
      <c r="H17" s="15">
        <f t="shared" si="13"/>
        <v>0.30023238314804235</v>
      </c>
      <c r="I17" s="15">
        <f t="shared" si="13"/>
        <v>0.30119312677411608</v>
      </c>
      <c r="J17" s="15">
        <f t="shared" si="13"/>
        <v>0.30215694477979327</v>
      </c>
      <c r="K17" s="15">
        <f t="shared" si="13"/>
        <v>0.30312384700308864</v>
      </c>
      <c r="L17" s="15">
        <f t="shared" si="13"/>
        <v>0.30409384331349854</v>
      </c>
      <c r="M17" s="15">
        <f t="shared" si="13"/>
        <v>0.30506694361210174</v>
      </c>
      <c r="N17" s="15">
        <f t="shared" si="13"/>
        <v>0.30604315783166053</v>
      </c>
      <c r="O17" s="15">
        <f t="shared" si="13"/>
        <v>0.30702249593672182</v>
      </c>
      <c r="P17" s="15">
        <f t="shared" si="13"/>
        <v>0.3080049679237194</v>
      </c>
      <c r="Q17" s="15">
        <f t="shared" si="13"/>
        <v>0.30899058382107525</v>
      </c>
      <c r="R17" s="15">
        <f t="shared" si="13"/>
        <v>0.30997935368930268</v>
      </c>
      <c r="S17" s="15">
        <f t="shared" si="13"/>
        <v>0.31097128762110848</v>
      </c>
      <c r="T17" s="15">
        <f t="shared" si="13"/>
        <v>0.31196639574149604</v>
      </c>
      <c r="U17" s="15">
        <f t="shared" si="13"/>
        <v>0.31296468820786888</v>
      </c>
      <c r="V17" s="15">
        <f t="shared" si="13"/>
        <v>0.31396617521013409</v>
      </c>
      <c r="W17" s="15">
        <f t="shared" si="13"/>
        <v>0.31497086697080651</v>
      </c>
      <c r="X17" s="15">
        <f t="shared" si="13"/>
        <v>0.31597877374511313</v>
      </c>
      <c r="Y17" s="15">
        <f t="shared" si="13"/>
        <v>0.31698990582109743</v>
      </c>
      <c r="Z17" s="15">
        <f t="shared" si="13"/>
        <v>0.31800427351972499</v>
      </c>
      <c r="AA17" s="15">
        <f t="shared" si="13"/>
        <v>0.31902188719498814</v>
      </c>
      <c r="AB17" s="15">
        <f t="shared" si="13"/>
        <v>0.3200427572340121</v>
      </c>
      <c r="AC17" s="15">
        <f t="shared" si="13"/>
        <v>0.32106689405716093</v>
      </c>
      <c r="AD17" s="15">
        <f t="shared" si="13"/>
        <v>0.32209430811814399</v>
      </c>
      <c r="AE17" s="15">
        <f t="shared" si="13"/>
        <v>0.32312500990412196</v>
      </c>
      <c r="AF17" s="15">
        <f t="shared" si="13"/>
        <v>0.32415900993581526</v>
      </c>
      <c r="AG17" s="15">
        <f t="shared" si="13"/>
        <v>0.32519631876760979</v>
      </c>
      <c r="AH17" s="15">
        <f t="shared" si="13"/>
        <v>0.32623694698766614</v>
      </c>
    </row>
    <row r="18" spans="1:34" x14ac:dyDescent="0.45">
      <c r="A18" s="34"/>
      <c r="B18" s="4" t="s">
        <v>380</v>
      </c>
      <c r="C18" s="3" t="s">
        <v>535</v>
      </c>
      <c r="D18" s="15">
        <v>0.17559585207471479</v>
      </c>
      <c r="E18" s="15">
        <f>$D$18*(1.0032)^(E3-2020)</f>
        <v>0.1761577588013539</v>
      </c>
      <c r="F18" s="15">
        <f t="shared" ref="F18:AH18" si="14">$D$18*(1.0032)^(F3-2020)</f>
        <v>0.17672146362951824</v>
      </c>
      <c r="G18" s="15">
        <f t="shared" si="14"/>
        <v>0.1772869723131327</v>
      </c>
      <c r="H18" s="15">
        <f t="shared" si="14"/>
        <v>0.17785429062453473</v>
      </c>
      <c r="I18" s="15">
        <f t="shared" si="14"/>
        <v>0.17842342435453323</v>
      </c>
      <c r="J18" s="15">
        <f t="shared" si="14"/>
        <v>0.17899437931246776</v>
      </c>
      <c r="K18" s="15">
        <f t="shared" si="14"/>
        <v>0.17956716132626765</v>
      </c>
      <c r="L18" s="15">
        <f t="shared" si="14"/>
        <v>0.18014177624251174</v>
      </c>
      <c r="M18" s="15">
        <f t="shared" si="14"/>
        <v>0.18071822992648778</v>
      </c>
      <c r="N18" s="15">
        <f t="shared" si="14"/>
        <v>0.18129652826225257</v>
      </c>
      <c r="O18" s="15">
        <f t="shared" si="14"/>
        <v>0.18187667715269176</v>
      </c>
      <c r="P18" s="15">
        <f t="shared" si="14"/>
        <v>0.18245868251958042</v>
      </c>
      <c r="Q18" s="15">
        <f t="shared" si="14"/>
        <v>0.18304255030364305</v>
      </c>
      <c r="R18" s="15">
        <f t="shared" si="14"/>
        <v>0.18362828646461468</v>
      </c>
      <c r="S18" s="15">
        <f t="shared" si="14"/>
        <v>0.1842158969813015</v>
      </c>
      <c r="T18" s="15">
        <f t="shared" si="14"/>
        <v>0.18480538785164166</v>
      </c>
      <c r="U18" s="15">
        <f t="shared" si="14"/>
        <v>0.18539676509276692</v>
      </c>
      <c r="V18" s="15">
        <f t="shared" si="14"/>
        <v>0.18599003474106379</v>
      </c>
      <c r="W18" s="15">
        <f t="shared" si="14"/>
        <v>0.1865852028522352</v>
      </c>
      <c r="X18" s="15">
        <f t="shared" si="14"/>
        <v>0.18718227550136238</v>
      </c>
      <c r="Y18" s="15">
        <f t="shared" si="14"/>
        <v>0.18778125878296673</v>
      </c>
      <c r="Z18" s="15">
        <f t="shared" si="14"/>
        <v>0.1883821588110722</v>
      </c>
      <c r="AA18" s="15">
        <f t="shared" si="14"/>
        <v>0.18898498171926767</v>
      </c>
      <c r="AB18" s="15">
        <f t="shared" si="14"/>
        <v>0.18958973366076934</v>
      </c>
      <c r="AC18" s="15">
        <f t="shared" si="14"/>
        <v>0.19019642080848381</v>
      </c>
      <c r="AD18" s="15">
        <f t="shared" si="14"/>
        <v>0.19080504935507103</v>
      </c>
      <c r="AE18" s="15">
        <f t="shared" si="14"/>
        <v>0.1914156255130072</v>
      </c>
      <c r="AF18" s="15">
        <f t="shared" si="14"/>
        <v>0.19202815551464888</v>
      </c>
      <c r="AG18" s="15">
        <f t="shared" si="14"/>
        <v>0.19264264561229572</v>
      </c>
      <c r="AH18" s="15">
        <f t="shared" si="14"/>
        <v>0.19325910207825509</v>
      </c>
    </row>
    <row r="19" spans="1:34" x14ac:dyDescent="0.45">
      <c r="A19" s="34"/>
      <c r="B19" s="4" t="s">
        <v>233</v>
      </c>
      <c r="C19" s="3" t="s">
        <v>536</v>
      </c>
      <c r="D19" s="15">
        <v>1.0665024144415194</v>
      </c>
      <c r="E19" s="15">
        <f>$D$19*(1.0032)^(E3-2020)</f>
        <v>1.0699152221677324</v>
      </c>
      <c r="F19" s="15">
        <f t="shared" ref="F19:AH19" si="15">$D$19*(1.0032)^(F3-2020)</f>
        <v>1.073338950878669</v>
      </c>
      <c r="G19" s="15">
        <f t="shared" si="15"/>
        <v>1.076773635521481</v>
      </c>
      <c r="H19" s="15">
        <f t="shared" si="15"/>
        <v>1.0802193111551497</v>
      </c>
      <c r="I19" s="15">
        <f t="shared" si="15"/>
        <v>1.0836760129508463</v>
      </c>
      <c r="J19" s="15">
        <f t="shared" si="15"/>
        <v>1.0871437761922889</v>
      </c>
      <c r="K19" s="15">
        <f t="shared" si="15"/>
        <v>1.0906226362761045</v>
      </c>
      <c r="L19" s="15">
        <f t="shared" si="15"/>
        <v>1.0941126287121881</v>
      </c>
      <c r="M19" s="15">
        <f t="shared" si="15"/>
        <v>1.0976137891240669</v>
      </c>
      <c r="N19" s="15">
        <f t="shared" si="15"/>
        <v>1.1011261532492642</v>
      </c>
      <c r="O19" s="15">
        <f t="shared" si="15"/>
        <v>1.1046497569396618</v>
      </c>
      <c r="P19" s="15">
        <f t="shared" si="15"/>
        <v>1.1081846361618688</v>
      </c>
      <c r="Q19" s="15">
        <f t="shared" si="15"/>
        <v>1.1117308269975867</v>
      </c>
      <c r="R19" s="15">
        <f t="shared" si="15"/>
        <v>1.1152883656439789</v>
      </c>
      <c r="S19" s="15">
        <f t="shared" si="15"/>
        <v>1.1188572884140398</v>
      </c>
      <c r="T19" s="15">
        <f t="shared" si="15"/>
        <v>1.1224376317369649</v>
      </c>
      <c r="U19" s="15">
        <f t="shared" si="15"/>
        <v>1.1260294321585231</v>
      </c>
      <c r="V19" s="15">
        <f t="shared" si="15"/>
        <v>1.1296327263414305</v>
      </c>
      <c r="W19" s="15">
        <f t="shared" si="15"/>
        <v>1.1332475510657232</v>
      </c>
      <c r="X19" s="15">
        <f t="shared" si="15"/>
        <v>1.1368739432291337</v>
      </c>
      <c r="Y19" s="15">
        <f t="shared" si="15"/>
        <v>1.1405119398474668</v>
      </c>
      <c r="Z19" s="15">
        <f t="shared" si="15"/>
        <v>1.1441615780549785</v>
      </c>
      <c r="AA19" s="15">
        <f t="shared" si="15"/>
        <v>1.1478228951047547</v>
      </c>
      <c r="AB19" s="15">
        <f t="shared" si="15"/>
        <v>1.15149592836909</v>
      </c>
      <c r="AC19" s="15">
        <f t="shared" si="15"/>
        <v>1.1551807153398712</v>
      </c>
      <c r="AD19" s="15">
        <f t="shared" si="15"/>
        <v>1.1588772936289591</v>
      </c>
      <c r="AE19" s="15">
        <f t="shared" si="15"/>
        <v>1.1625857009685714</v>
      </c>
      <c r="AF19" s="15">
        <f t="shared" si="15"/>
        <v>1.1663059752116713</v>
      </c>
      <c r="AG19" s="15">
        <f t="shared" si="15"/>
        <v>1.1700381543323484</v>
      </c>
      <c r="AH19" s="15">
        <f t="shared" si="15"/>
        <v>1.173782276426212</v>
      </c>
    </row>
    <row r="20" spans="1:34" ht="17.5" customHeight="1" x14ac:dyDescent="0.45">
      <c r="A20" s="34" t="s">
        <v>545</v>
      </c>
      <c r="B20" s="5" t="s">
        <v>234</v>
      </c>
      <c r="C20" s="3" t="s">
        <v>537</v>
      </c>
      <c r="D20" s="15">
        <v>141.31966566</v>
      </c>
      <c r="E20" s="15">
        <f>$D$20*(1.0032)^(E3-2020)</f>
        <v>141.77188859011201</v>
      </c>
      <c r="F20" s="15">
        <f t="shared" ref="F20:AH20" si="16">$D$20*(1.0032)^(F3-2020)</f>
        <v>142.22555863360037</v>
      </c>
      <c r="G20" s="15">
        <f t="shared" si="16"/>
        <v>142.68068042122789</v>
      </c>
      <c r="H20" s="15">
        <f t="shared" si="16"/>
        <v>143.13725859857584</v>
      </c>
      <c r="I20" s="15">
        <f t="shared" si="16"/>
        <v>143.59529782609127</v>
      </c>
      <c r="J20" s="15">
        <f t="shared" si="16"/>
        <v>144.05480277913477</v>
      </c>
      <c r="K20" s="15">
        <f t="shared" si="16"/>
        <v>144.51577814802803</v>
      </c>
      <c r="L20" s="15">
        <f t="shared" si="16"/>
        <v>144.97822863810171</v>
      </c>
      <c r="M20" s="15">
        <f t="shared" si="16"/>
        <v>145.44215896974364</v>
      </c>
      <c r="N20" s="15">
        <f t="shared" si="16"/>
        <v>145.90757387844687</v>
      </c>
      <c r="O20" s="15">
        <f t="shared" si="16"/>
        <v>146.37447811485788</v>
      </c>
      <c r="P20" s="15">
        <f t="shared" si="16"/>
        <v>146.84287644482544</v>
      </c>
      <c r="Q20" s="15">
        <f t="shared" si="16"/>
        <v>147.31277364944887</v>
      </c>
      <c r="R20" s="15">
        <f t="shared" si="16"/>
        <v>147.7841745251271</v>
      </c>
      <c r="S20" s="15">
        <f t="shared" si="16"/>
        <v>148.25708388360752</v>
      </c>
      <c r="T20" s="15">
        <f t="shared" si="16"/>
        <v>148.73150655203509</v>
      </c>
      <c r="U20" s="15">
        <f t="shared" si="16"/>
        <v>149.2074473730016</v>
      </c>
      <c r="V20" s="15">
        <f t="shared" si="16"/>
        <v>149.68491120459524</v>
      </c>
      <c r="W20" s="15">
        <f t="shared" si="16"/>
        <v>150.16390292044991</v>
      </c>
      <c r="X20" s="15">
        <f t="shared" si="16"/>
        <v>150.64442740979538</v>
      </c>
      <c r="Y20" s="15">
        <f t="shared" si="16"/>
        <v>151.1264895775067</v>
      </c>
      <c r="Z20" s="15">
        <f t="shared" si="16"/>
        <v>151.61009434415473</v>
      </c>
      <c r="AA20" s="15">
        <f t="shared" si="16"/>
        <v>152.09524664605607</v>
      </c>
      <c r="AB20" s="15">
        <f t="shared" si="16"/>
        <v>152.58195143532345</v>
      </c>
      <c r="AC20" s="15">
        <f t="shared" si="16"/>
        <v>153.07021367991649</v>
      </c>
      <c r="AD20" s="15">
        <f t="shared" si="16"/>
        <v>153.56003836369226</v>
      </c>
      <c r="AE20" s="15">
        <f t="shared" si="16"/>
        <v>154.05143048645604</v>
      </c>
      <c r="AF20" s="15">
        <f t="shared" si="16"/>
        <v>154.54439506401275</v>
      </c>
      <c r="AG20" s="15">
        <f t="shared" si="16"/>
        <v>155.03893712821755</v>
      </c>
      <c r="AH20" s="15">
        <f t="shared" si="16"/>
        <v>155.53506172702785</v>
      </c>
    </row>
    <row r="21" spans="1:34" x14ac:dyDescent="0.45">
      <c r="A21" s="34"/>
      <c r="B21" s="5" t="s">
        <v>235</v>
      </c>
      <c r="C21" s="3" t="s">
        <v>538</v>
      </c>
      <c r="D21" s="15">
        <v>333.13311499999992</v>
      </c>
      <c r="E21" s="15">
        <f>$D$21*(1.0032)^(E3-2020)</f>
        <v>334.19914096799994</v>
      </c>
      <c r="F21" s="15">
        <f t="shared" ref="F21:AH21" si="17">$D$21*(1.0032)^(F3-2020)</f>
        <v>335.26857821909755</v>
      </c>
      <c r="G21" s="15">
        <f t="shared" si="17"/>
        <v>336.34143766939872</v>
      </c>
      <c r="H21" s="15">
        <f t="shared" si="17"/>
        <v>337.41773026994076</v>
      </c>
      <c r="I21" s="15">
        <f t="shared" si="17"/>
        <v>338.49746700680458</v>
      </c>
      <c r="J21" s="15">
        <f t="shared" si="17"/>
        <v>339.58065890122634</v>
      </c>
      <c r="K21" s="15">
        <f t="shared" si="17"/>
        <v>340.66731700971036</v>
      </c>
      <c r="L21" s="15">
        <f t="shared" si="17"/>
        <v>341.75745242414143</v>
      </c>
      <c r="M21" s="15">
        <f t="shared" si="17"/>
        <v>342.85107627189871</v>
      </c>
      <c r="N21" s="15">
        <f t="shared" si="17"/>
        <v>343.94819971596883</v>
      </c>
      <c r="O21" s="15">
        <f t="shared" si="17"/>
        <v>345.04883395505988</v>
      </c>
      <c r="P21" s="15">
        <f t="shared" si="17"/>
        <v>346.15299022371613</v>
      </c>
      <c r="Q21" s="15">
        <f t="shared" si="17"/>
        <v>347.26067979243197</v>
      </c>
      <c r="R21" s="15">
        <f t="shared" si="17"/>
        <v>348.37191396776774</v>
      </c>
      <c r="S21" s="15">
        <f t="shared" si="17"/>
        <v>349.48670409246466</v>
      </c>
      <c r="T21" s="15">
        <f t="shared" si="17"/>
        <v>350.6050615455606</v>
      </c>
      <c r="U21" s="15">
        <f t="shared" si="17"/>
        <v>351.7269977425064</v>
      </c>
      <c r="V21" s="15">
        <f t="shared" si="17"/>
        <v>352.85252413528247</v>
      </c>
      <c r="W21" s="15">
        <f t="shared" si="17"/>
        <v>353.98165221251537</v>
      </c>
      <c r="X21" s="15">
        <f t="shared" si="17"/>
        <v>355.11439349959545</v>
      </c>
      <c r="Y21" s="15">
        <f t="shared" si="17"/>
        <v>356.25075955879413</v>
      </c>
      <c r="Z21" s="15">
        <f t="shared" si="17"/>
        <v>357.39076198938227</v>
      </c>
      <c r="AA21" s="15">
        <f t="shared" si="17"/>
        <v>358.53441242774835</v>
      </c>
      <c r="AB21" s="15">
        <f t="shared" si="17"/>
        <v>359.68172254751715</v>
      </c>
      <c r="AC21" s="15">
        <f t="shared" si="17"/>
        <v>360.8327040596692</v>
      </c>
      <c r="AD21" s="15">
        <f t="shared" si="17"/>
        <v>361.98736871266027</v>
      </c>
      <c r="AE21" s="15">
        <f t="shared" si="17"/>
        <v>363.1457282925407</v>
      </c>
      <c r="AF21" s="15">
        <f t="shared" si="17"/>
        <v>364.30779462307692</v>
      </c>
      <c r="AG21" s="15">
        <f t="shared" si="17"/>
        <v>365.47357956587069</v>
      </c>
      <c r="AH21" s="15">
        <f t="shared" si="17"/>
        <v>366.6430950204815</v>
      </c>
    </row>
    <row r="22" spans="1:34" x14ac:dyDescent="0.45">
      <c r="A22" s="34"/>
      <c r="B22" s="5" t="s">
        <v>384</v>
      </c>
      <c r="C22" s="3" t="s">
        <v>539</v>
      </c>
      <c r="D22" s="15">
        <v>89.620827239999997</v>
      </c>
      <c r="E22" s="15">
        <f>$D$22*(1.024)^(E3-2020)</f>
        <v>91.771727093759992</v>
      </c>
      <c r="F22" s="15">
        <f t="shared" ref="F22:AH22" si="18">$D$22*(1.024)^(F3-2020)</f>
        <v>93.974248544010237</v>
      </c>
      <c r="G22" s="15">
        <f t="shared" si="18"/>
        <v>96.229630509066482</v>
      </c>
      <c r="H22" s="15">
        <f t="shared" si="18"/>
        <v>98.539141641284075</v>
      </c>
      <c r="I22" s="15">
        <f t="shared" si="18"/>
        <v>100.90408104067491</v>
      </c>
      <c r="J22" s="15">
        <f t="shared" si="18"/>
        <v>103.32577898565108</v>
      </c>
      <c r="K22" s="15">
        <f t="shared" si="18"/>
        <v>105.80559768130674</v>
      </c>
      <c r="L22" s="15">
        <f t="shared" si="18"/>
        <v>108.34493202565807</v>
      </c>
      <c r="M22" s="15">
        <f t="shared" si="18"/>
        <v>110.94521039427386</v>
      </c>
      <c r="N22" s="15">
        <f t="shared" si="18"/>
        <v>113.60789544373644</v>
      </c>
      <c r="O22" s="15">
        <f t="shared" si="18"/>
        <v>116.33448493438613</v>
      </c>
      <c r="P22" s="15">
        <f t="shared" si="18"/>
        <v>119.12651257281138</v>
      </c>
      <c r="Q22" s="15">
        <f t="shared" si="18"/>
        <v>121.98554887455886</v>
      </c>
      <c r="R22" s="15">
        <f t="shared" si="18"/>
        <v>124.91320204754827</v>
      </c>
      <c r="S22" s="15">
        <f t="shared" si="18"/>
        <v>127.91111889668943</v>
      </c>
      <c r="T22" s="15">
        <f t="shared" si="18"/>
        <v>130.98098575020995</v>
      </c>
      <c r="U22" s="15">
        <f t="shared" si="18"/>
        <v>134.12452940821501</v>
      </c>
      <c r="V22" s="15">
        <f t="shared" si="18"/>
        <v>137.34351811401214</v>
      </c>
      <c r="W22" s="15">
        <f t="shared" si="18"/>
        <v>140.63976254874848</v>
      </c>
      <c r="X22" s="15">
        <f t="shared" si="18"/>
        <v>144.0151168499184</v>
      </c>
      <c r="Y22" s="15">
        <f t="shared" si="18"/>
        <v>147.47147965431648</v>
      </c>
      <c r="Z22" s="15">
        <f t="shared" si="18"/>
        <v>151.01079516602002</v>
      </c>
      <c r="AA22" s="15">
        <f t="shared" si="18"/>
        <v>154.63505425000454</v>
      </c>
      <c r="AB22" s="15">
        <f t="shared" si="18"/>
        <v>158.34629555200462</v>
      </c>
      <c r="AC22" s="15">
        <f t="shared" si="18"/>
        <v>162.14660664525272</v>
      </c>
      <c r="AD22" s="15">
        <f t="shared" si="18"/>
        <v>166.0381252047388</v>
      </c>
      <c r="AE22" s="15">
        <f t="shared" si="18"/>
        <v>170.02304020965255</v>
      </c>
      <c r="AF22" s="15">
        <f t="shared" si="18"/>
        <v>174.10359317468419</v>
      </c>
      <c r="AG22" s="15">
        <f t="shared" si="18"/>
        <v>178.28207941087663</v>
      </c>
      <c r="AH22" s="15">
        <f t="shared" si="18"/>
        <v>182.56084931673766</v>
      </c>
    </row>
    <row r="23" spans="1:34" x14ac:dyDescent="0.45">
      <c r="A23" s="34"/>
      <c r="B23" s="5" t="s">
        <v>385</v>
      </c>
      <c r="C23" s="3" t="s">
        <v>540</v>
      </c>
      <c r="D23" s="15">
        <v>23.1</v>
      </c>
      <c r="E23" s="15">
        <f>$D$23*(1.0032)^(E3-2020)</f>
        <v>23.173920000000003</v>
      </c>
      <c r="F23" s="15">
        <f t="shared" ref="F23:AH23" si="19">$D$23*(1.0032)^(F3-2020)</f>
        <v>23.248076544000003</v>
      </c>
      <c r="G23" s="15">
        <f t="shared" si="19"/>
        <v>23.322470388940804</v>
      </c>
      <c r="H23" s="15">
        <f t="shared" si="19"/>
        <v>23.397102294185416</v>
      </c>
      <c r="I23" s="15">
        <f t="shared" si="19"/>
        <v>23.471973021526811</v>
      </c>
      <c r="J23" s="15">
        <f t="shared" si="19"/>
        <v>23.547083335195698</v>
      </c>
      <c r="K23" s="15">
        <f t="shared" si="19"/>
        <v>23.622434001868324</v>
      </c>
      <c r="L23" s="15">
        <f t="shared" si="19"/>
        <v>23.698025790674304</v>
      </c>
      <c r="M23" s="15">
        <f t="shared" si="19"/>
        <v>23.773859473204464</v>
      </c>
      <c r="N23" s="15">
        <f t="shared" si="19"/>
        <v>23.849935823518724</v>
      </c>
      <c r="O23" s="15">
        <f t="shared" si="19"/>
        <v>23.926255618153981</v>
      </c>
      <c r="P23" s="15">
        <f t="shared" si="19"/>
        <v>24.002819636132077</v>
      </c>
      <c r="Q23" s="15">
        <f t="shared" si="19"/>
        <v>24.079628658967696</v>
      </c>
      <c r="R23" s="15">
        <f t="shared" si="19"/>
        <v>24.156683470676391</v>
      </c>
      <c r="S23" s="15">
        <f t="shared" si="19"/>
        <v>24.233984857782563</v>
      </c>
      <c r="T23" s="15">
        <f t="shared" si="19"/>
        <v>24.311533609327466</v>
      </c>
      <c r="U23" s="15">
        <f t="shared" si="19"/>
        <v>24.389330516877315</v>
      </c>
      <c r="V23" s="15">
        <f t="shared" si="19"/>
        <v>24.467376374531327</v>
      </c>
      <c r="W23" s="15">
        <f t="shared" si="19"/>
        <v>24.545671978929825</v>
      </c>
      <c r="X23" s="15">
        <f t="shared" si="19"/>
        <v>24.624218129262406</v>
      </c>
      <c r="Y23" s="15">
        <f t="shared" si="19"/>
        <v>24.703015627276041</v>
      </c>
      <c r="Z23" s="15">
        <f t="shared" si="19"/>
        <v>24.782065277283326</v>
      </c>
      <c r="AA23" s="15">
        <f t="shared" si="19"/>
        <v>24.861367886170637</v>
      </c>
      <c r="AB23" s="15">
        <f t="shared" si="19"/>
        <v>24.940924263406384</v>
      </c>
      <c r="AC23" s="15">
        <f t="shared" si="19"/>
        <v>25.020735221049282</v>
      </c>
      <c r="AD23" s="15">
        <f t="shared" si="19"/>
        <v>25.100801573756652</v>
      </c>
      <c r="AE23" s="15">
        <f t="shared" si="19"/>
        <v>25.181124138792665</v>
      </c>
      <c r="AF23" s="15">
        <f t="shared" si="19"/>
        <v>25.261703736036807</v>
      </c>
      <c r="AG23" s="15">
        <f t="shared" si="19"/>
        <v>25.342541187992122</v>
      </c>
      <c r="AH23" s="15">
        <f t="shared" si="19"/>
        <v>25.423637319793698</v>
      </c>
    </row>
    <row r="24" spans="1:34" x14ac:dyDescent="0.45">
      <c r="A24" s="34"/>
      <c r="B24" s="5" t="s">
        <v>386</v>
      </c>
      <c r="C24" s="3" t="s">
        <v>541</v>
      </c>
      <c r="D24" s="15">
        <v>15.68</v>
      </c>
      <c r="E24" s="15">
        <f>$D$24*(1.024)^(E3-2020)</f>
        <v>16.056319999999999</v>
      </c>
      <c r="F24" s="15">
        <f t="shared" ref="F24:AH24" si="20">$D$24*(1.024)^(F3-2020)</f>
        <v>16.441671679999999</v>
      </c>
      <c r="G24" s="15">
        <f t="shared" si="20"/>
        <v>16.836271800320002</v>
      </c>
      <c r="H24" s="15">
        <f t="shared" si="20"/>
        <v>17.240342323527678</v>
      </c>
      <c r="I24" s="15">
        <f t="shared" si="20"/>
        <v>17.654110539292347</v>
      </c>
      <c r="J24" s="15">
        <f t="shared" si="20"/>
        <v>18.077809192235357</v>
      </c>
      <c r="K24" s="15">
        <f t="shared" si="20"/>
        <v>18.511676612849012</v>
      </c>
      <c r="L24" s="15">
        <f t="shared" si="20"/>
        <v>18.955956851557385</v>
      </c>
      <c r="M24" s="15">
        <f t="shared" si="20"/>
        <v>19.41089981599476</v>
      </c>
      <c r="N24" s="15">
        <f t="shared" si="20"/>
        <v>19.876761411578634</v>
      </c>
      <c r="O24" s="15">
        <f t="shared" si="20"/>
        <v>20.353803685456526</v>
      </c>
      <c r="P24" s="15">
        <f t="shared" si="20"/>
        <v>20.842294973907478</v>
      </c>
      <c r="Q24" s="15">
        <f t="shared" si="20"/>
        <v>21.342510053281259</v>
      </c>
      <c r="R24" s="15">
        <f t="shared" si="20"/>
        <v>21.854730294560007</v>
      </c>
      <c r="S24" s="15">
        <f t="shared" si="20"/>
        <v>22.379243821629451</v>
      </c>
      <c r="T24" s="15">
        <f t="shared" si="20"/>
        <v>22.916345673348552</v>
      </c>
      <c r="U24" s="15">
        <f t="shared" si="20"/>
        <v>23.46633796950892</v>
      </c>
      <c r="V24" s="15">
        <f t="shared" si="20"/>
        <v>24.029530080777132</v>
      </c>
      <c r="W24" s="15">
        <f t="shared" si="20"/>
        <v>24.606238802715787</v>
      </c>
      <c r="X24" s="15">
        <f t="shared" si="20"/>
        <v>25.196788533980964</v>
      </c>
      <c r="Y24" s="15">
        <f t="shared" si="20"/>
        <v>25.801511458796508</v>
      </c>
      <c r="Z24" s="15">
        <f t="shared" si="20"/>
        <v>26.42074773380762</v>
      </c>
      <c r="AA24" s="15">
        <f t="shared" si="20"/>
        <v>27.05484567941901</v>
      </c>
      <c r="AB24" s="15">
        <f t="shared" si="20"/>
        <v>27.704161975725057</v>
      </c>
      <c r="AC24" s="15">
        <f t="shared" si="20"/>
        <v>28.369061863142459</v>
      </c>
      <c r="AD24" s="15">
        <f t="shared" si="20"/>
        <v>29.04991934785788</v>
      </c>
      <c r="AE24" s="15">
        <f t="shared" si="20"/>
        <v>29.747117412206471</v>
      </c>
      <c r="AF24" s="15">
        <f t="shared" si="20"/>
        <v>30.461048230099426</v>
      </c>
      <c r="AG24" s="15">
        <f t="shared" si="20"/>
        <v>31.192113387621813</v>
      </c>
      <c r="AH24" s="15">
        <f t="shared" si="20"/>
        <v>31.940724108924734</v>
      </c>
    </row>
    <row r="25" spans="1:34" x14ac:dyDescent="0.45">
      <c r="A25" s="34"/>
      <c r="B25" s="5" t="s">
        <v>387</v>
      </c>
      <c r="C25" s="3" t="s">
        <v>542</v>
      </c>
      <c r="D25" s="15">
        <v>37.44</v>
      </c>
      <c r="E25" s="15">
        <f>$D$25*(1.0032)^(E3-2020)</f>
        <v>37.559808000000004</v>
      </c>
      <c r="F25" s="15">
        <f t="shared" ref="F25:AH25" si="21">$D$25*(1.0032)^(F3-2020)</f>
        <v>37.679999385600006</v>
      </c>
      <c r="G25" s="15">
        <f t="shared" si="21"/>
        <v>37.800575383633927</v>
      </c>
      <c r="H25" s="15">
        <f t="shared" si="21"/>
        <v>37.921537224861552</v>
      </c>
      <c r="I25" s="15">
        <f t="shared" si="21"/>
        <v>38.042886143981114</v>
      </c>
      <c r="J25" s="15">
        <f t="shared" si="21"/>
        <v>38.164623379641853</v>
      </c>
      <c r="K25" s="15">
        <f t="shared" si="21"/>
        <v>38.286750174456714</v>
      </c>
      <c r="L25" s="15">
        <f t="shared" si="21"/>
        <v>38.409267775014975</v>
      </c>
      <c r="M25" s="15">
        <f t="shared" si="21"/>
        <v>38.532177431895022</v>
      </c>
      <c r="N25" s="15">
        <f t="shared" si="21"/>
        <v>38.655480399677096</v>
      </c>
      <c r="O25" s="15">
        <f t="shared" si="21"/>
        <v>38.779177936956053</v>
      </c>
      <c r="P25" s="15">
        <f t="shared" si="21"/>
        <v>38.90327130635432</v>
      </c>
      <c r="Q25" s="15">
        <f t="shared" si="21"/>
        <v>39.027761774534653</v>
      </c>
      <c r="R25" s="15">
        <f t="shared" si="21"/>
        <v>39.152650612213165</v>
      </c>
      <c r="S25" s="15">
        <f t="shared" si="21"/>
        <v>39.277939094172247</v>
      </c>
      <c r="T25" s="15">
        <f t="shared" si="21"/>
        <v>39.403628499273601</v>
      </c>
      <c r="U25" s="15">
        <f t="shared" si="21"/>
        <v>39.529720110471281</v>
      </c>
      <c r="V25" s="15">
        <f t="shared" si="21"/>
        <v>39.656215214824797</v>
      </c>
      <c r="W25" s="15">
        <f t="shared" si="21"/>
        <v>39.78311510351223</v>
      </c>
      <c r="X25" s="15">
        <f t="shared" si="21"/>
        <v>39.91042107184348</v>
      </c>
      <c r="Y25" s="15">
        <f t="shared" si="21"/>
        <v>40.038134419273369</v>
      </c>
      <c r="Z25" s="15">
        <f t="shared" si="21"/>
        <v>40.166256449415044</v>
      </c>
      <c r="AA25" s="15">
        <f t="shared" si="21"/>
        <v>40.294788470053184</v>
      </c>
      <c r="AB25" s="15">
        <f t="shared" si="21"/>
        <v>40.423731793157351</v>
      </c>
      <c r="AC25" s="15">
        <f t="shared" si="21"/>
        <v>40.553087734895456</v>
      </c>
      <c r="AD25" s="15">
        <f t="shared" si="21"/>
        <v>40.682857615647137</v>
      </c>
      <c r="AE25" s="15">
        <f t="shared" si="21"/>
        <v>40.813042760017197</v>
      </c>
      <c r="AF25" s="15">
        <f t="shared" si="21"/>
        <v>40.943644496849267</v>
      </c>
      <c r="AG25" s="15">
        <f t="shared" si="21"/>
        <v>41.074664159239177</v>
      </c>
      <c r="AH25" s="15">
        <f t="shared" si="21"/>
        <v>41.206103084548744</v>
      </c>
    </row>
    <row r="26" spans="1:34" x14ac:dyDescent="0.45">
      <c r="A26" s="34" t="s">
        <v>544</v>
      </c>
      <c r="B26" s="5" t="s">
        <v>518</v>
      </c>
      <c r="C26" s="3" t="s">
        <v>543</v>
      </c>
      <c r="D26" s="15">
        <v>169.756</v>
      </c>
      <c r="E26" s="15">
        <f>$D$26*(1.024)^(E3-2020)</f>
        <v>173.83014399999999</v>
      </c>
      <c r="F26" s="15">
        <f t="shared" ref="F26:AH26" si="22">$D$26*(1.024)^(F3-2020)</f>
        <v>178.00206745599999</v>
      </c>
      <c r="G26" s="15">
        <f t="shared" si="22"/>
        <v>182.274117074944</v>
      </c>
      <c r="H26" s="15">
        <f t="shared" si="22"/>
        <v>186.64869588474266</v>
      </c>
      <c r="I26" s="15">
        <f t="shared" si="22"/>
        <v>191.1282645859765</v>
      </c>
      <c r="J26" s="15">
        <f t="shared" si="22"/>
        <v>195.71534293603989</v>
      </c>
      <c r="K26" s="15">
        <f t="shared" si="22"/>
        <v>200.41251116650488</v>
      </c>
      <c r="L26" s="15">
        <f t="shared" si="22"/>
        <v>205.22241143450097</v>
      </c>
      <c r="M26" s="15">
        <f t="shared" si="22"/>
        <v>210.14774930892898</v>
      </c>
      <c r="N26" s="15">
        <f t="shared" si="22"/>
        <v>215.19129529234328</v>
      </c>
      <c r="O26" s="15">
        <f t="shared" si="22"/>
        <v>220.35588637935956</v>
      </c>
      <c r="P26" s="15">
        <f t="shared" si="22"/>
        <v>225.64442765246417</v>
      </c>
      <c r="Q26" s="15">
        <f t="shared" si="22"/>
        <v>231.05989391612331</v>
      </c>
      <c r="R26" s="15">
        <f t="shared" si="22"/>
        <v>236.60533137011026</v>
      </c>
      <c r="S26" s="15">
        <f t="shared" si="22"/>
        <v>242.28385932299292</v>
      </c>
      <c r="T26" s="15">
        <f t="shared" si="22"/>
        <v>248.0986719467447</v>
      </c>
      <c r="U26" s="15">
        <f t="shared" si="22"/>
        <v>254.0530400734666</v>
      </c>
      <c r="V26" s="15">
        <f t="shared" si="22"/>
        <v>260.15031303522977</v>
      </c>
      <c r="W26" s="15">
        <f t="shared" si="22"/>
        <v>266.39392054807536</v>
      </c>
      <c r="X26" s="15">
        <f t="shared" si="22"/>
        <v>272.78737464122912</v>
      </c>
      <c r="Y26" s="15">
        <f t="shared" si="22"/>
        <v>279.33427163261865</v>
      </c>
      <c r="Z26" s="15">
        <f t="shared" si="22"/>
        <v>286.03829415180144</v>
      </c>
      <c r="AA26" s="15">
        <f t="shared" si="22"/>
        <v>292.90321321144472</v>
      </c>
      <c r="AB26" s="15">
        <f t="shared" si="22"/>
        <v>299.93289032851931</v>
      </c>
      <c r="AC26" s="15">
        <f t="shared" si="22"/>
        <v>307.13127969640379</v>
      </c>
      <c r="AD26" s="15">
        <f t="shared" si="22"/>
        <v>314.50243040911749</v>
      </c>
      <c r="AE26" s="15">
        <f t="shared" si="22"/>
        <v>322.05048873893634</v>
      </c>
      <c r="AF26" s="15">
        <f t="shared" si="22"/>
        <v>329.7797004686708</v>
      </c>
      <c r="AG26" s="15">
        <f t="shared" si="22"/>
        <v>337.69441327991888</v>
      </c>
      <c r="AH26" s="15">
        <f t="shared" si="22"/>
        <v>345.79907919863695</v>
      </c>
    </row>
    <row r="27" spans="1:34" x14ac:dyDescent="0.45">
      <c r="A27" s="34"/>
      <c r="B27" s="5" t="s">
        <v>519</v>
      </c>
      <c r="C27" s="3" t="s">
        <v>527</v>
      </c>
      <c r="D27" s="15">
        <v>1.6074287999999999</v>
      </c>
      <c r="E27" s="15">
        <f>D27+0.258</f>
        <v>1.8654287999999999</v>
      </c>
      <c r="F27" s="15">
        <f t="shared" ref="F27:N27" si="23">E27+0.258</f>
        <v>2.1234288000000001</v>
      </c>
      <c r="G27" s="15">
        <f t="shared" si="23"/>
        <v>2.3814288000000001</v>
      </c>
      <c r="H27" s="15">
        <f t="shared" si="23"/>
        <v>2.6394288000000001</v>
      </c>
      <c r="I27" s="15">
        <f t="shared" si="23"/>
        <v>2.8974288000000001</v>
      </c>
      <c r="J27" s="15">
        <f t="shared" si="23"/>
        <v>3.1554288000000001</v>
      </c>
      <c r="K27" s="15">
        <f t="shared" si="23"/>
        <v>3.4134288000000002</v>
      </c>
      <c r="L27" s="15">
        <f>K27+0.258</f>
        <v>3.6714288000000002</v>
      </c>
      <c r="M27" s="15">
        <f t="shared" si="23"/>
        <v>3.9294288000000002</v>
      </c>
      <c r="N27" s="15">
        <f t="shared" si="23"/>
        <v>4.1874288000000002</v>
      </c>
      <c r="O27" s="15">
        <f>$N$27</f>
        <v>4.1874288000000002</v>
      </c>
      <c r="P27" s="15">
        <f t="shared" ref="P27:AH27" si="24">$N$27</f>
        <v>4.1874288000000002</v>
      </c>
      <c r="Q27" s="15">
        <f t="shared" si="24"/>
        <v>4.1874288000000002</v>
      </c>
      <c r="R27" s="15">
        <f t="shared" si="24"/>
        <v>4.1874288000000002</v>
      </c>
      <c r="S27" s="15">
        <f t="shared" si="24"/>
        <v>4.1874288000000002</v>
      </c>
      <c r="T27" s="15">
        <f t="shared" si="24"/>
        <v>4.1874288000000002</v>
      </c>
      <c r="U27" s="15">
        <f t="shared" si="24"/>
        <v>4.1874288000000002</v>
      </c>
      <c r="V27" s="15">
        <f t="shared" si="24"/>
        <v>4.1874288000000002</v>
      </c>
      <c r="W27" s="15">
        <f t="shared" si="24"/>
        <v>4.1874288000000002</v>
      </c>
      <c r="X27" s="15">
        <f t="shared" si="24"/>
        <v>4.1874288000000002</v>
      </c>
      <c r="Y27" s="15">
        <f t="shared" si="24"/>
        <v>4.1874288000000002</v>
      </c>
      <c r="Z27" s="15">
        <f t="shared" si="24"/>
        <v>4.1874288000000002</v>
      </c>
      <c r="AA27" s="15">
        <f t="shared" si="24"/>
        <v>4.1874288000000002</v>
      </c>
      <c r="AB27" s="15">
        <f t="shared" si="24"/>
        <v>4.1874288000000002</v>
      </c>
      <c r="AC27" s="15">
        <f t="shared" si="24"/>
        <v>4.1874288000000002</v>
      </c>
      <c r="AD27" s="15">
        <f t="shared" si="24"/>
        <v>4.1874288000000002</v>
      </c>
      <c r="AE27" s="15">
        <f t="shared" si="24"/>
        <v>4.1874288000000002</v>
      </c>
      <c r="AF27" s="15">
        <f t="shared" si="24"/>
        <v>4.1874288000000002</v>
      </c>
      <c r="AG27" s="15">
        <f t="shared" si="24"/>
        <v>4.1874288000000002</v>
      </c>
      <c r="AH27" s="15">
        <f t="shared" si="24"/>
        <v>4.1874288000000002</v>
      </c>
    </row>
    <row r="29" spans="1:34" x14ac:dyDescent="0.45">
      <c r="B29" s="25" t="s">
        <v>569</v>
      </c>
    </row>
    <row r="31" spans="1:34" x14ac:dyDescent="0.45">
      <c r="A31" s="3" t="s">
        <v>260</v>
      </c>
      <c r="B31" s="5" t="s">
        <v>546</v>
      </c>
      <c r="C31" s="3" t="s">
        <v>205</v>
      </c>
      <c r="D31" s="3">
        <v>2020</v>
      </c>
      <c r="E31" s="3">
        <v>2021</v>
      </c>
      <c r="F31" s="3">
        <v>2022</v>
      </c>
      <c r="G31" s="3">
        <v>2023</v>
      </c>
      <c r="H31" s="3">
        <v>2024</v>
      </c>
      <c r="I31" s="3">
        <v>2025</v>
      </c>
      <c r="J31" s="3">
        <v>2026</v>
      </c>
      <c r="K31" s="3">
        <v>2027</v>
      </c>
      <c r="L31" s="3">
        <v>2028</v>
      </c>
      <c r="M31" s="3">
        <v>2029</v>
      </c>
      <c r="N31" s="3">
        <v>2030</v>
      </c>
      <c r="O31" s="3">
        <v>2031</v>
      </c>
      <c r="P31" s="3">
        <v>2032</v>
      </c>
      <c r="Q31" s="3">
        <v>2033</v>
      </c>
      <c r="R31" s="3">
        <v>2034</v>
      </c>
      <c r="S31" s="3">
        <v>2035</v>
      </c>
      <c r="T31" s="3">
        <v>2036</v>
      </c>
      <c r="U31" s="3">
        <v>2037</v>
      </c>
      <c r="V31" s="3">
        <v>2038</v>
      </c>
      <c r="W31" s="3">
        <v>2039</v>
      </c>
      <c r="X31" s="3">
        <v>2040</v>
      </c>
      <c r="Y31" s="3">
        <v>2041</v>
      </c>
      <c r="Z31" s="3">
        <v>2042</v>
      </c>
      <c r="AA31" s="3">
        <v>2043</v>
      </c>
      <c r="AB31" s="3">
        <v>2044</v>
      </c>
      <c r="AC31" s="3">
        <v>2045</v>
      </c>
      <c r="AD31" s="3">
        <v>2046</v>
      </c>
      <c r="AE31" s="3">
        <v>2047</v>
      </c>
      <c r="AF31" s="3">
        <v>2048</v>
      </c>
      <c r="AG31" s="3">
        <v>2049</v>
      </c>
      <c r="AH31" s="3">
        <v>2050</v>
      </c>
    </row>
    <row r="32" spans="1:34" x14ac:dyDescent="0.45">
      <c r="A32" s="34" t="s">
        <v>516</v>
      </c>
      <c r="B32" s="4" t="s">
        <v>370</v>
      </c>
      <c r="C32" s="3" t="s">
        <v>520</v>
      </c>
      <c r="D32" s="15">
        <v>64.597999999999999</v>
      </c>
      <c r="E32" s="15">
        <f>$D$4*(1.035)^(E31-2020)</f>
        <v>66.858930000000001</v>
      </c>
      <c r="F32" s="15">
        <f t="shared" ref="F32:AH32" si="25">$D$4*(1.035)^(F31-2020)</f>
        <v>69.198992549999986</v>
      </c>
      <c r="G32" s="15">
        <f t="shared" si="25"/>
        <v>71.620957289249986</v>
      </c>
      <c r="H32" s="15">
        <f t="shared" si="25"/>
        <v>74.127690794373734</v>
      </c>
      <c r="I32" s="15">
        <f t="shared" si="25"/>
        <v>76.722159972176797</v>
      </c>
      <c r="J32" s="15">
        <f t="shared" si="25"/>
        <v>79.407435571202996</v>
      </c>
      <c r="K32" s="15">
        <f t="shared" si="25"/>
        <v>82.186695816195083</v>
      </c>
      <c r="L32" s="15">
        <f t="shared" si="25"/>
        <v>85.063230169761894</v>
      </c>
      <c r="M32" s="15">
        <f t="shared" si="25"/>
        <v>88.040443225703555</v>
      </c>
      <c r="N32" s="15">
        <f t="shared" si="25"/>
        <v>91.121858738603166</v>
      </c>
      <c r="O32" s="15">
        <f t="shared" si="25"/>
        <v>94.311123794454289</v>
      </c>
      <c r="P32" s="15">
        <f t="shared" si="25"/>
        <v>97.612013127260184</v>
      </c>
      <c r="Q32" s="15">
        <f t="shared" si="25"/>
        <v>101.02843358671427</v>
      </c>
      <c r="R32" s="15">
        <f t="shared" si="25"/>
        <v>104.56442876224928</v>
      </c>
      <c r="S32" s="15">
        <f t="shared" si="25"/>
        <v>108.22418376892799</v>
      </c>
      <c r="T32" s="15">
        <f t="shared" si="25"/>
        <v>112.01203020084044</v>
      </c>
      <c r="U32" s="15">
        <f t="shared" si="25"/>
        <v>115.93245125786986</v>
      </c>
      <c r="V32" s="15">
        <f t="shared" si="25"/>
        <v>119.99008705189529</v>
      </c>
      <c r="W32" s="15">
        <f t="shared" si="25"/>
        <v>124.18974009871161</v>
      </c>
      <c r="X32" s="15">
        <f t="shared" si="25"/>
        <v>128.53638100216651</v>
      </c>
      <c r="Y32" s="15">
        <f t="shared" si="25"/>
        <v>133.03515433724232</v>
      </c>
      <c r="Z32" s="15">
        <f t="shared" si="25"/>
        <v>137.69138473904579</v>
      </c>
      <c r="AA32" s="15">
        <f t="shared" si="25"/>
        <v>142.51058320491239</v>
      </c>
      <c r="AB32" s="15">
        <f t="shared" si="25"/>
        <v>147.49845361708429</v>
      </c>
      <c r="AC32" s="15">
        <f t="shared" si="25"/>
        <v>152.66089949368222</v>
      </c>
      <c r="AD32" s="15">
        <f t="shared" si="25"/>
        <v>158.00403097596111</v>
      </c>
      <c r="AE32" s="15">
        <f t="shared" si="25"/>
        <v>163.53417206011974</v>
      </c>
      <c r="AF32" s="15">
        <f t="shared" si="25"/>
        <v>169.25786808222395</v>
      </c>
      <c r="AG32" s="15">
        <f t="shared" si="25"/>
        <v>175.18189346510172</v>
      </c>
      <c r="AH32" s="15">
        <f t="shared" si="25"/>
        <v>181.3132597363803</v>
      </c>
    </row>
    <row r="33" spans="1:34" x14ac:dyDescent="0.45">
      <c r="A33" s="34"/>
      <c r="B33" s="4" t="s">
        <v>371</v>
      </c>
      <c r="C33" s="3" t="s">
        <v>521</v>
      </c>
      <c r="D33" s="15">
        <v>28.931999999999999</v>
      </c>
      <c r="E33" s="15">
        <f>$D$5*(1.035)^(E31-2020)</f>
        <v>29.944619999999997</v>
      </c>
      <c r="F33" s="15">
        <f t="shared" ref="F33:AH33" si="26">$D$5*(1.035)^(F31-2020)</f>
        <v>30.992681699999995</v>
      </c>
      <c r="G33" s="15">
        <f t="shared" si="26"/>
        <v>32.077425559499993</v>
      </c>
      <c r="H33" s="15">
        <f t="shared" si="26"/>
        <v>33.200135454082492</v>
      </c>
      <c r="I33" s="15">
        <f t="shared" si="26"/>
        <v>34.362140194975375</v>
      </c>
      <c r="J33" s="15">
        <f t="shared" si="26"/>
        <v>35.56481510179951</v>
      </c>
      <c r="K33" s="15">
        <f t="shared" si="26"/>
        <v>36.809583630362489</v>
      </c>
      <c r="L33" s="15">
        <f t="shared" si="26"/>
        <v>38.097919057425173</v>
      </c>
      <c r="M33" s="15">
        <f t="shared" si="26"/>
        <v>39.431346224435046</v>
      </c>
      <c r="N33" s="15">
        <f t="shared" si="26"/>
        <v>40.811443342290268</v>
      </c>
      <c r="O33" s="15">
        <f t="shared" si="26"/>
        <v>42.23984385927043</v>
      </c>
      <c r="P33" s="15">
        <f t="shared" si="26"/>
        <v>43.718238394344894</v>
      </c>
      <c r="Q33" s="15">
        <f t="shared" si="26"/>
        <v>45.248376738146952</v>
      </c>
      <c r="R33" s="15">
        <f t="shared" si="26"/>
        <v>46.832069923982104</v>
      </c>
      <c r="S33" s="15">
        <f t="shared" si="26"/>
        <v>48.471192371321472</v>
      </c>
      <c r="T33" s="15">
        <f t="shared" si="26"/>
        <v>50.167684104317715</v>
      </c>
      <c r="U33" s="15">
        <f t="shared" si="26"/>
        <v>51.923553047968831</v>
      </c>
      <c r="V33" s="15">
        <f t="shared" si="26"/>
        <v>53.740877404647733</v>
      </c>
      <c r="W33" s="15">
        <f t="shared" si="26"/>
        <v>55.621808113810403</v>
      </c>
      <c r="X33" s="15">
        <f t="shared" si="26"/>
        <v>57.568571397793761</v>
      </c>
      <c r="Y33" s="15">
        <f t="shared" si="26"/>
        <v>59.583471396716533</v>
      </c>
      <c r="Z33" s="15">
        <f t="shared" si="26"/>
        <v>61.668892895601608</v>
      </c>
      <c r="AA33" s="15">
        <f t="shared" si="26"/>
        <v>63.827304146947668</v>
      </c>
      <c r="AB33" s="15">
        <f t="shared" si="26"/>
        <v>66.061259792090823</v>
      </c>
      <c r="AC33" s="15">
        <f t="shared" si="26"/>
        <v>68.373403884813996</v>
      </c>
      <c r="AD33" s="15">
        <f t="shared" si="26"/>
        <v>70.766473020782485</v>
      </c>
      <c r="AE33" s="15">
        <f t="shared" si="26"/>
        <v>73.24329957650987</v>
      </c>
      <c r="AF33" s="15">
        <f t="shared" si="26"/>
        <v>75.806815061687715</v>
      </c>
      <c r="AG33" s="15">
        <f t="shared" si="26"/>
        <v>78.460053588846762</v>
      </c>
      <c r="AH33" s="15">
        <f t="shared" si="26"/>
        <v>81.206155464456401</v>
      </c>
    </row>
    <row r="34" spans="1:34" x14ac:dyDescent="0.45">
      <c r="A34" s="34"/>
      <c r="B34" s="4" t="s">
        <v>372</v>
      </c>
      <c r="C34" s="3" t="s">
        <v>522</v>
      </c>
      <c r="D34" s="15">
        <v>23.777000000000001</v>
      </c>
      <c r="E34" s="15">
        <f>$D$6*(1.035)^(E31-2020)</f>
        <v>24.609195</v>
      </c>
      <c r="F34" s="15">
        <f t="shared" ref="F34:AH34" si="27">$D$6*(1.035)^(F31-2020)</f>
        <v>25.470516824999997</v>
      </c>
      <c r="G34" s="15">
        <f t="shared" si="27"/>
        <v>26.361984913874995</v>
      </c>
      <c r="H34" s="15">
        <f t="shared" si="27"/>
        <v>27.28465438586062</v>
      </c>
      <c r="I34" s="15">
        <f t="shared" si="27"/>
        <v>28.239617289365736</v>
      </c>
      <c r="J34" s="15">
        <f t="shared" si="27"/>
        <v>29.22800389449354</v>
      </c>
      <c r="K34" s="15">
        <f t="shared" si="27"/>
        <v>30.250984030800812</v>
      </c>
      <c r="L34" s="15">
        <f t="shared" si="27"/>
        <v>31.309768471878833</v>
      </c>
      <c r="M34" s="15">
        <f t="shared" si="27"/>
        <v>32.405610368394584</v>
      </c>
      <c r="N34" s="15">
        <f t="shared" si="27"/>
        <v>33.539806731288394</v>
      </c>
      <c r="O34" s="15">
        <f t="shared" si="27"/>
        <v>34.713699966883489</v>
      </c>
      <c r="P34" s="15">
        <f t="shared" si="27"/>
        <v>35.928679465724407</v>
      </c>
      <c r="Q34" s="15">
        <f t="shared" si="27"/>
        <v>37.186183247024758</v>
      </c>
      <c r="R34" s="15">
        <f t="shared" si="27"/>
        <v>38.487699660670629</v>
      </c>
      <c r="S34" s="15">
        <f t="shared" si="27"/>
        <v>39.834769148794095</v>
      </c>
      <c r="T34" s="15">
        <f t="shared" si="27"/>
        <v>41.228986069001877</v>
      </c>
      <c r="U34" s="15">
        <f t="shared" si="27"/>
        <v>42.672000581416945</v>
      </c>
      <c r="V34" s="15">
        <f t="shared" si="27"/>
        <v>44.165520601766531</v>
      </c>
      <c r="W34" s="15">
        <f t="shared" si="27"/>
        <v>45.711313822828359</v>
      </c>
      <c r="X34" s="15">
        <f t="shared" si="27"/>
        <v>47.311209806627346</v>
      </c>
      <c r="Y34" s="15">
        <f t="shared" si="27"/>
        <v>48.967102149859294</v>
      </c>
      <c r="Z34" s="15">
        <f t="shared" si="27"/>
        <v>50.680950725104367</v>
      </c>
      <c r="AA34" s="15">
        <f t="shared" si="27"/>
        <v>52.454784000483023</v>
      </c>
      <c r="AB34" s="15">
        <f t="shared" si="27"/>
        <v>54.290701440499916</v>
      </c>
      <c r="AC34" s="15">
        <f t="shared" si="27"/>
        <v>56.190875990917405</v>
      </c>
      <c r="AD34" s="15">
        <f t="shared" si="27"/>
        <v>58.157556650599517</v>
      </c>
      <c r="AE34" s="15">
        <f t="shared" si="27"/>
        <v>60.193071133370502</v>
      </c>
      <c r="AF34" s="15">
        <f t="shared" si="27"/>
        <v>62.299828623038465</v>
      </c>
      <c r="AG34" s="15">
        <f t="shared" si="27"/>
        <v>64.480322624844803</v>
      </c>
      <c r="AH34" s="15">
        <f t="shared" si="27"/>
        <v>66.73713391671437</v>
      </c>
    </row>
    <row r="35" spans="1:34" x14ac:dyDescent="0.45">
      <c r="A35" s="34"/>
      <c r="B35" s="4" t="s">
        <v>373</v>
      </c>
      <c r="C35" s="3" t="s">
        <v>523</v>
      </c>
      <c r="D35" s="15">
        <v>17.762</v>
      </c>
      <c r="E35" s="15">
        <f>$D$7*(1.035)^(E31-2020)</f>
        <v>18.383669999999999</v>
      </c>
      <c r="F35" s="15">
        <f t="shared" ref="F35:AH35" si="28">$D$7*(1.035)^(F31-2020)</f>
        <v>19.027098449999997</v>
      </c>
      <c r="G35" s="15">
        <f t="shared" si="28"/>
        <v>19.693046895749998</v>
      </c>
      <c r="H35" s="15">
        <f t="shared" si="28"/>
        <v>20.382303537101244</v>
      </c>
      <c r="I35" s="15">
        <f t="shared" si="28"/>
        <v>21.095684160899786</v>
      </c>
      <c r="J35" s="15">
        <f t="shared" si="28"/>
        <v>21.83403310653128</v>
      </c>
      <c r="K35" s="15">
        <f t="shared" si="28"/>
        <v>22.598224265259873</v>
      </c>
      <c r="L35" s="15">
        <f t="shared" si="28"/>
        <v>23.389162114543964</v>
      </c>
      <c r="M35" s="15">
        <f t="shared" si="28"/>
        <v>24.207782788552997</v>
      </c>
      <c r="N35" s="15">
        <f t="shared" si="28"/>
        <v>25.055055186152352</v>
      </c>
      <c r="O35" s="15">
        <f t="shared" si="28"/>
        <v>25.931982117667687</v>
      </c>
      <c r="P35" s="15">
        <f t="shared" si="28"/>
        <v>26.839601491786052</v>
      </c>
      <c r="Q35" s="15">
        <f t="shared" si="28"/>
        <v>27.778987543998557</v>
      </c>
      <c r="R35" s="15">
        <f t="shared" si="28"/>
        <v>28.751252108038511</v>
      </c>
      <c r="S35" s="15">
        <f t="shared" si="28"/>
        <v>29.757545931819855</v>
      </c>
      <c r="T35" s="15">
        <f t="shared" si="28"/>
        <v>30.799060039433542</v>
      </c>
      <c r="U35" s="15">
        <f t="shared" si="28"/>
        <v>31.877027140813716</v>
      </c>
      <c r="V35" s="15">
        <f t="shared" si="28"/>
        <v>32.992723090742196</v>
      </c>
      <c r="W35" s="15">
        <f t="shared" si="28"/>
        <v>34.147468398918164</v>
      </c>
      <c r="X35" s="15">
        <f t="shared" si="28"/>
        <v>35.342629792880302</v>
      </c>
      <c r="Y35" s="15">
        <f t="shared" si="28"/>
        <v>36.579621835631102</v>
      </c>
      <c r="Z35" s="15">
        <f t="shared" si="28"/>
        <v>37.859908599878196</v>
      </c>
      <c r="AA35" s="15">
        <f t="shared" si="28"/>
        <v>39.185005400873926</v>
      </c>
      <c r="AB35" s="15">
        <f t="shared" si="28"/>
        <v>40.55648058990451</v>
      </c>
      <c r="AC35" s="15">
        <f t="shared" si="28"/>
        <v>41.97595741055116</v>
      </c>
      <c r="AD35" s="15">
        <f t="shared" si="28"/>
        <v>43.445115919920454</v>
      </c>
      <c r="AE35" s="15">
        <f t="shared" si="28"/>
        <v>44.965694977117671</v>
      </c>
      <c r="AF35" s="15">
        <f t="shared" si="28"/>
        <v>46.539494301316786</v>
      </c>
      <c r="AG35" s="15">
        <f t="shared" si="28"/>
        <v>48.16837660186286</v>
      </c>
      <c r="AH35" s="15">
        <f t="shared" si="28"/>
        <v>49.854269782928064</v>
      </c>
    </row>
    <row r="36" spans="1:34" x14ac:dyDescent="0.45">
      <c r="A36" s="34"/>
      <c r="B36" s="4" t="s">
        <v>374</v>
      </c>
      <c r="C36" s="3" t="s">
        <v>524</v>
      </c>
      <c r="D36" s="15">
        <v>10.423999999999999</v>
      </c>
      <c r="E36" s="15">
        <f>$D$8*(1.035)^(E31-2020)</f>
        <v>10.788839999999999</v>
      </c>
      <c r="F36" s="15">
        <f t="shared" ref="F36:AH36" si="29">$D$8*(1.035)^(F31-2020)</f>
        <v>11.166449399999998</v>
      </c>
      <c r="G36" s="15">
        <f t="shared" si="29"/>
        <v>11.557275128999997</v>
      </c>
      <c r="H36" s="15">
        <f t="shared" si="29"/>
        <v>11.961779758514997</v>
      </c>
      <c r="I36" s="15">
        <f t="shared" si="29"/>
        <v>12.380442050063019</v>
      </c>
      <c r="J36" s="15">
        <f t="shared" si="29"/>
        <v>12.813757521815226</v>
      </c>
      <c r="K36" s="15">
        <f t="shared" si="29"/>
        <v>13.262239035078757</v>
      </c>
      <c r="L36" s="15">
        <f t="shared" si="29"/>
        <v>13.726417401306511</v>
      </c>
      <c r="M36" s="15">
        <f t="shared" si="29"/>
        <v>14.206842010352236</v>
      </c>
      <c r="N36" s="15">
        <f t="shared" si="29"/>
        <v>14.704081480714564</v>
      </c>
      <c r="O36" s="15">
        <f t="shared" si="29"/>
        <v>15.218724332539574</v>
      </c>
      <c r="P36" s="15">
        <f t="shared" si="29"/>
        <v>15.75137968417846</v>
      </c>
      <c r="Q36" s="15">
        <f t="shared" si="29"/>
        <v>16.302677973124702</v>
      </c>
      <c r="R36" s="15">
        <f t="shared" si="29"/>
        <v>16.873271702184066</v>
      </c>
      <c r="S36" s="15">
        <f t="shared" si="29"/>
        <v>17.463836211760508</v>
      </c>
      <c r="T36" s="15">
        <f t="shared" si="29"/>
        <v>18.075070479172123</v>
      </c>
      <c r="U36" s="15">
        <f t="shared" si="29"/>
        <v>18.707697945943146</v>
      </c>
      <c r="V36" s="15">
        <f t="shared" si="29"/>
        <v>19.362467374051153</v>
      </c>
      <c r="W36" s="15">
        <f t="shared" si="29"/>
        <v>20.040153732142944</v>
      </c>
      <c r="X36" s="15">
        <f t="shared" si="29"/>
        <v>20.741559112767945</v>
      </c>
      <c r="Y36" s="15">
        <f t="shared" si="29"/>
        <v>21.467513681714816</v>
      </c>
      <c r="Z36" s="15">
        <f t="shared" si="29"/>
        <v>22.218876660574836</v>
      </c>
      <c r="AA36" s="15">
        <f t="shared" si="29"/>
        <v>22.996537343694957</v>
      </c>
      <c r="AB36" s="15">
        <f t="shared" si="29"/>
        <v>23.801416150724275</v>
      </c>
      <c r="AC36" s="15">
        <f t="shared" si="29"/>
        <v>24.634465715999621</v>
      </c>
      <c r="AD36" s="15">
        <f t="shared" si="29"/>
        <v>25.496672016059609</v>
      </c>
      <c r="AE36" s="15">
        <f t="shared" si="29"/>
        <v>26.389055536621694</v>
      </c>
      <c r="AF36" s="15">
        <f t="shared" si="29"/>
        <v>27.312672480403453</v>
      </c>
      <c r="AG36" s="15">
        <f t="shared" si="29"/>
        <v>28.268616017217568</v>
      </c>
      <c r="AH36" s="15">
        <f t="shared" si="29"/>
        <v>29.258017577820183</v>
      </c>
    </row>
    <row r="37" spans="1:34" x14ac:dyDescent="0.45">
      <c r="A37" s="34"/>
      <c r="B37" s="4" t="s">
        <v>375</v>
      </c>
      <c r="C37" s="3" t="s">
        <v>525</v>
      </c>
      <c r="D37" s="15">
        <v>12.641</v>
      </c>
      <c r="E37" s="15">
        <f>$D$9*(1.035)^(E31-2020)</f>
        <v>13.083435</v>
      </c>
      <c r="F37" s="15">
        <f t="shared" ref="F37:AH37" si="30">$D$9*(1.035)^(F31-2020)</f>
        <v>13.541355224999998</v>
      </c>
      <c r="G37" s="15">
        <f t="shared" si="30"/>
        <v>14.015302657874997</v>
      </c>
      <c r="H37" s="15">
        <f t="shared" si="30"/>
        <v>14.50583825090062</v>
      </c>
      <c r="I37" s="15">
        <f t="shared" si="30"/>
        <v>15.013542589682141</v>
      </c>
      <c r="J37" s="15">
        <f t="shared" si="30"/>
        <v>15.539016580321016</v>
      </c>
      <c r="K37" s="15">
        <f t="shared" si="30"/>
        <v>16.082882160632252</v>
      </c>
      <c r="L37" s="15">
        <f t="shared" si="30"/>
        <v>16.645783036254375</v>
      </c>
      <c r="M37" s="15">
        <f t="shared" si="30"/>
        <v>17.228385442523276</v>
      </c>
      <c r="N37" s="15">
        <f t="shared" si="30"/>
        <v>17.831378933011589</v>
      </c>
      <c r="O37" s="15">
        <f t="shared" si="30"/>
        <v>18.455477195666997</v>
      </c>
      <c r="P37" s="15">
        <f t="shared" si="30"/>
        <v>19.101418897515341</v>
      </c>
      <c r="Q37" s="15">
        <f t="shared" si="30"/>
        <v>19.769968558928372</v>
      </c>
      <c r="R37" s="15">
        <f t="shared" si="30"/>
        <v>20.46191745849087</v>
      </c>
      <c r="S37" s="15">
        <f t="shared" si="30"/>
        <v>21.178084569538047</v>
      </c>
      <c r="T37" s="15">
        <f t="shared" si="30"/>
        <v>21.919317529471872</v>
      </c>
      <c r="U37" s="15">
        <f t="shared" si="30"/>
        <v>22.686493643003388</v>
      </c>
      <c r="V37" s="15">
        <f t="shared" si="30"/>
        <v>23.480520920508503</v>
      </c>
      <c r="W37" s="15">
        <f t="shared" si="30"/>
        <v>24.302339152726301</v>
      </c>
      <c r="X37" s="15">
        <f t="shared" si="30"/>
        <v>25.152921023071716</v>
      </c>
      <c r="Y37" s="15">
        <f t="shared" si="30"/>
        <v>26.033273258879223</v>
      </c>
      <c r="Z37" s="15">
        <f t="shared" si="30"/>
        <v>26.944437822939996</v>
      </c>
      <c r="AA37" s="15">
        <f t="shared" si="30"/>
        <v>27.887493146742898</v>
      </c>
      <c r="AB37" s="15">
        <f t="shared" si="30"/>
        <v>28.863555406878891</v>
      </c>
      <c r="AC37" s="15">
        <f t="shared" si="30"/>
        <v>29.87377984611965</v>
      </c>
      <c r="AD37" s="15">
        <f t="shared" si="30"/>
        <v>30.919362140733838</v>
      </c>
      <c r="AE37" s="15">
        <f t="shared" si="30"/>
        <v>32.00153981565952</v>
      </c>
      <c r="AF37" s="15">
        <f t="shared" si="30"/>
        <v>33.121593709207602</v>
      </c>
      <c r="AG37" s="15">
        <f t="shared" si="30"/>
        <v>34.280849489029862</v>
      </c>
      <c r="AH37" s="15">
        <f t="shared" si="30"/>
        <v>35.480679221145913</v>
      </c>
    </row>
    <row r="38" spans="1:34" x14ac:dyDescent="0.45">
      <c r="A38" s="34"/>
      <c r="B38" s="4" t="s">
        <v>376</v>
      </c>
      <c r="C38" s="3" t="s">
        <v>526</v>
      </c>
      <c r="D38" s="15">
        <v>18.204000000000001</v>
      </c>
      <c r="E38" s="15">
        <f>$D$10*(1.035)^(E31-2020)</f>
        <v>18.841139999999999</v>
      </c>
      <c r="F38" s="15">
        <f t="shared" ref="F38:AH38" si="31">$D$10*(1.035)^(F31-2020)</f>
        <v>19.500579899999998</v>
      </c>
      <c r="G38" s="15">
        <f t="shared" si="31"/>
        <v>20.183100196499996</v>
      </c>
      <c r="H38" s="15">
        <f t="shared" si="31"/>
        <v>20.889508703377494</v>
      </c>
      <c r="I38" s="15">
        <f t="shared" si="31"/>
        <v>21.620641507995703</v>
      </c>
      <c r="J38" s="15">
        <f t="shared" si="31"/>
        <v>22.377363960775554</v>
      </c>
      <c r="K38" s="15">
        <f t="shared" si="31"/>
        <v>23.160571699402698</v>
      </c>
      <c r="L38" s="15">
        <f t="shared" si="31"/>
        <v>23.971191708881786</v>
      </c>
      <c r="M38" s="15">
        <f t="shared" si="31"/>
        <v>24.810183418692645</v>
      </c>
      <c r="N38" s="15">
        <f t="shared" si="31"/>
        <v>25.678539838346886</v>
      </c>
      <c r="O38" s="15">
        <f t="shared" si="31"/>
        <v>26.577288732689031</v>
      </c>
      <c r="P38" s="15">
        <f t="shared" si="31"/>
        <v>27.507493838333144</v>
      </c>
      <c r="Q38" s="15">
        <f t="shared" si="31"/>
        <v>28.470256122674797</v>
      </c>
      <c r="R38" s="15">
        <f t="shared" si="31"/>
        <v>29.466715086968421</v>
      </c>
      <c r="S38" s="15">
        <f t="shared" si="31"/>
        <v>30.498050115012308</v>
      </c>
      <c r="T38" s="15">
        <f t="shared" si="31"/>
        <v>31.565481869037733</v>
      </c>
      <c r="U38" s="15">
        <f t="shared" si="31"/>
        <v>32.670273734454057</v>
      </c>
      <c r="V38" s="15">
        <f t="shared" si="31"/>
        <v>33.813733315159944</v>
      </c>
      <c r="W38" s="15">
        <f t="shared" si="31"/>
        <v>34.997213981190534</v>
      </c>
      <c r="X38" s="15">
        <f t="shared" si="31"/>
        <v>36.2221164705322</v>
      </c>
      <c r="Y38" s="15">
        <f t="shared" si="31"/>
        <v>37.489890547000826</v>
      </c>
      <c r="Z38" s="15">
        <f t="shared" si="31"/>
        <v>38.802036716145849</v>
      </c>
      <c r="AA38" s="15">
        <f t="shared" si="31"/>
        <v>40.160108001210958</v>
      </c>
      <c r="AB38" s="15">
        <f t="shared" si="31"/>
        <v>41.565711781253334</v>
      </c>
      <c r="AC38" s="15">
        <f t="shared" si="31"/>
        <v>43.020511693597193</v>
      </c>
      <c r="AD38" s="15">
        <f t="shared" si="31"/>
        <v>44.526229602873094</v>
      </c>
      <c r="AE38" s="15">
        <f t="shared" si="31"/>
        <v>46.084647638973657</v>
      </c>
      <c r="AF38" s="15">
        <f t="shared" si="31"/>
        <v>47.697610306337729</v>
      </c>
      <c r="AG38" s="15">
        <f t="shared" si="31"/>
        <v>49.367026667059541</v>
      </c>
      <c r="AH38" s="15">
        <f t="shared" si="31"/>
        <v>51.094872600406624</v>
      </c>
    </row>
    <row r="39" spans="1:34" x14ac:dyDescent="0.45">
      <c r="A39" s="34" t="s">
        <v>517</v>
      </c>
      <c r="B39" s="4" t="s">
        <v>225</v>
      </c>
      <c r="C39" s="3" t="s">
        <v>528</v>
      </c>
      <c r="D39" s="15">
        <v>56.353116116334469</v>
      </c>
      <c r="E39" s="15">
        <f>$D$11*(1.0025)^(E31-2020)</f>
        <v>56.493998906625301</v>
      </c>
      <c r="F39" s="15">
        <f t="shared" ref="F39:AH39" si="32">$D$11*(1.0025)^(F31-2020)</f>
        <v>56.635233903891859</v>
      </c>
      <c r="G39" s="15">
        <f t="shared" si="32"/>
        <v>56.776821988651584</v>
      </c>
      <c r="H39" s="15">
        <f t="shared" si="32"/>
        <v>56.918764043623213</v>
      </c>
      <c r="I39" s="15">
        <f t="shared" si="32"/>
        <v>57.061060953732273</v>
      </c>
      <c r="J39" s="15">
        <f t="shared" si="32"/>
        <v>57.203713606116594</v>
      </c>
      <c r="K39" s="15">
        <f t="shared" si="32"/>
        <v>57.346722890131886</v>
      </c>
      <c r="L39" s="15">
        <f t="shared" si="32"/>
        <v>57.490089697357213</v>
      </c>
      <c r="M39" s="15">
        <f t="shared" si="32"/>
        <v>57.63381492160061</v>
      </c>
      <c r="N39" s="15">
        <f t="shared" si="32"/>
        <v>57.777899458904599</v>
      </c>
      <c r="O39" s="15">
        <f t="shared" si="32"/>
        <v>57.922344207551852</v>
      </c>
      <c r="P39" s="15">
        <f t="shared" si="32"/>
        <v>58.067150068070738</v>
      </c>
      <c r="Q39" s="15">
        <f t="shared" si="32"/>
        <v>58.212317943240919</v>
      </c>
      <c r="R39" s="15">
        <f t="shared" si="32"/>
        <v>58.357848738099008</v>
      </c>
      <c r="S39" s="15">
        <f t="shared" si="32"/>
        <v>58.503743359944252</v>
      </c>
      <c r="T39" s="15">
        <f t="shared" si="32"/>
        <v>58.650002718344119</v>
      </c>
      <c r="U39" s="15">
        <f t="shared" si="32"/>
        <v>58.79662772513997</v>
      </c>
      <c r="V39" s="15">
        <f t="shared" si="32"/>
        <v>58.943619294452823</v>
      </c>
      <c r="W39" s="15">
        <f t="shared" si="32"/>
        <v>59.090978342688949</v>
      </c>
      <c r="X39" s="15">
        <f t="shared" si="32"/>
        <v>59.23870578854568</v>
      </c>
      <c r="Y39" s="15">
        <f t="shared" si="32"/>
        <v>59.386802553017034</v>
      </c>
      <c r="Z39" s="15">
        <f t="shared" si="32"/>
        <v>59.535269559399559</v>
      </c>
      <c r="AA39" s="15">
        <f t="shared" si="32"/>
        <v>59.684107733298063</v>
      </c>
      <c r="AB39" s="15">
        <f t="shared" si="32"/>
        <v>59.833318002631309</v>
      </c>
      <c r="AC39" s="15">
        <f t="shared" si="32"/>
        <v>59.982901297637888</v>
      </c>
      <c r="AD39" s="15">
        <f t="shared" si="32"/>
        <v>60.132858550881984</v>
      </c>
      <c r="AE39" s="15">
        <f t="shared" si="32"/>
        <v>60.28319069725918</v>
      </c>
      <c r="AF39" s="15">
        <f t="shared" si="32"/>
        <v>60.433898674002322</v>
      </c>
      <c r="AG39" s="15">
        <f t="shared" si="32"/>
        <v>60.584983420687344</v>
      </c>
      <c r="AH39" s="15">
        <f t="shared" si="32"/>
        <v>60.736445879239042</v>
      </c>
    </row>
    <row r="40" spans="1:34" x14ac:dyDescent="0.45">
      <c r="A40" s="34"/>
      <c r="B40" s="4" t="s">
        <v>378</v>
      </c>
      <c r="C40" s="3" t="s">
        <v>529</v>
      </c>
      <c r="D40" s="15">
        <v>0.66273088810329706</v>
      </c>
      <c r="E40" s="15">
        <f>$D$12*(1.0025)^(E31-2020)</f>
        <v>0.66438771532355523</v>
      </c>
      <c r="F40" s="15">
        <f t="shared" ref="F40:AH40" si="33">$D$12*(1.0025)^(F31-2020)</f>
        <v>0.66604868461186406</v>
      </c>
      <c r="G40" s="15">
        <f t="shared" si="33"/>
        <v>0.66771380632339372</v>
      </c>
      <c r="H40" s="15">
        <f t="shared" si="33"/>
        <v>0.66938309083920222</v>
      </c>
      <c r="I40" s="15">
        <f t="shared" si="33"/>
        <v>0.67105654856630026</v>
      </c>
      <c r="J40" s="15">
        <f t="shared" si="33"/>
        <v>0.67273418993771583</v>
      </c>
      <c r="K40" s="15">
        <f t="shared" si="33"/>
        <v>0.67441602541256007</v>
      </c>
      <c r="L40" s="15">
        <f t="shared" si="33"/>
        <v>0.67610206547609153</v>
      </c>
      <c r="M40" s="15">
        <f t="shared" si="33"/>
        <v>0.67779232063978179</v>
      </c>
      <c r="N40" s="15">
        <f t="shared" si="33"/>
        <v>0.67948680144138107</v>
      </c>
      <c r="O40" s="15">
        <f t="shared" si="33"/>
        <v>0.68118551844498443</v>
      </c>
      <c r="P40" s="15">
        <f t="shared" si="33"/>
        <v>0.68288848224109699</v>
      </c>
      <c r="Q40" s="15">
        <f t="shared" si="33"/>
        <v>0.68459570344669973</v>
      </c>
      <c r="R40" s="15">
        <f t="shared" si="33"/>
        <v>0.68630719270531637</v>
      </c>
      <c r="S40" s="15">
        <f t="shared" si="33"/>
        <v>0.68802296068707958</v>
      </c>
      <c r="T40" s="15">
        <f t="shared" si="33"/>
        <v>0.68974301808879734</v>
      </c>
      <c r="U40" s="15">
        <f t="shared" si="33"/>
        <v>0.69146737563401928</v>
      </c>
      <c r="V40" s="15">
        <f t="shared" si="33"/>
        <v>0.69319604407310442</v>
      </c>
      <c r="W40" s="15">
        <f t="shared" si="33"/>
        <v>0.694929034183287</v>
      </c>
      <c r="X40" s="15">
        <f t="shared" si="33"/>
        <v>0.69666635676874533</v>
      </c>
      <c r="Y40" s="15">
        <f t="shared" si="33"/>
        <v>0.69840802266066704</v>
      </c>
      <c r="Z40" s="15">
        <f t="shared" si="33"/>
        <v>0.70015404271731863</v>
      </c>
      <c r="AA40" s="15">
        <f t="shared" si="33"/>
        <v>0.70190442782411189</v>
      </c>
      <c r="AB40" s="15">
        <f t="shared" si="33"/>
        <v>0.70365918889367218</v>
      </c>
      <c r="AC40" s="15">
        <f t="shared" si="33"/>
        <v>0.70541833686590638</v>
      </c>
      <c r="AD40" s="15">
        <f t="shared" si="33"/>
        <v>0.70718188270807114</v>
      </c>
      <c r="AE40" s="15">
        <f t="shared" si="33"/>
        <v>0.70894983741484119</v>
      </c>
      <c r="AF40" s="15">
        <f t="shared" si="33"/>
        <v>0.71072221200837826</v>
      </c>
      <c r="AG40" s="15">
        <f t="shared" si="33"/>
        <v>0.71249901753839939</v>
      </c>
      <c r="AH40" s="15">
        <f t="shared" si="33"/>
        <v>0.71428026508224518</v>
      </c>
    </row>
    <row r="41" spans="1:34" x14ac:dyDescent="0.45">
      <c r="A41" s="34"/>
      <c r="B41" s="4" t="s">
        <v>227</v>
      </c>
      <c r="C41" s="3" t="s">
        <v>530</v>
      </c>
      <c r="D41" s="15">
        <v>4.0827849386987587E-2</v>
      </c>
      <c r="E41" s="15">
        <f>$D$13*(1.0025)^(E31-2020)</f>
        <v>4.0929919010455056E-2</v>
      </c>
      <c r="F41" s="15">
        <f t="shared" ref="F41:AH41" si="34">$D$13*(1.0025)^(F31-2020)</f>
        <v>4.1032243807981192E-2</v>
      </c>
      <c r="G41" s="15">
        <f t="shared" si="34"/>
        <v>4.1134824417501138E-2</v>
      </c>
      <c r="H41" s="15">
        <f t="shared" si="34"/>
        <v>4.1237661478544893E-2</v>
      </c>
      <c r="I41" s="15">
        <f t="shared" si="34"/>
        <v>4.1340755632241252E-2</v>
      </c>
      <c r="J41" s="15">
        <f t="shared" si="34"/>
        <v>4.1444107521321848E-2</v>
      </c>
      <c r="K41" s="15">
        <f t="shared" si="34"/>
        <v>4.1547717790125151E-2</v>
      </c>
      <c r="L41" s="15">
        <f t="shared" si="34"/>
        <v>4.1651587084600469E-2</v>
      </c>
      <c r="M41" s="15">
        <f t="shared" si="34"/>
        <v>4.1755716052311966E-2</v>
      </c>
      <c r="N41" s="15">
        <f t="shared" si="34"/>
        <v>4.1860105342442742E-2</v>
      </c>
      <c r="O41" s="15">
        <f t="shared" si="34"/>
        <v>4.1964755605798841E-2</v>
      </c>
      <c r="P41" s="15">
        <f t="shared" si="34"/>
        <v>4.2069667494813341E-2</v>
      </c>
      <c r="Q41" s="15">
        <f t="shared" si="34"/>
        <v>4.2174841663550379E-2</v>
      </c>
      <c r="R41" s="15">
        <f t="shared" si="34"/>
        <v>4.2280278767709248E-2</v>
      </c>
      <c r="S41" s="15">
        <f t="shared" si="34"/>
        <v>4.2385979464628513E-2</v>
      </c>
      <c r="T41" s="15">
        <f t="shared" si="34"/>
        <v>4.2491944413290093E-2</v>
      </c>
      <c r="U41" s="15">
        <f t="shared" si="34"/>
        <v>4.259817427432331E-2</v>
      </c>
      <c r="V41" s="15">
        <f t="shared" si="34"/>
        <v>4.2704669710009122E-2</v>
      </c>
      <c r="W41" s="15">
        <f t="shared" si="34"/>
        <v>4.2811431384284136E-2</v>
      </c>
      <c r="X41" s="15">
        <f t="shared" si="34"/>
        <v>4.2918459962744855E-2</v>
      </c>
      <c r="Y41" s="15">
        <f t="shared" si="34"/>
        <v>4.3025756112651706E-2</v>
      </c>
      <c r="Z41" s="15">
        <f t="shared" si="34"/>
        <v>4.313332050293333E-2</v>
      </c>
      <c r="AA41" s="15">
        <f t="shared" si="34"/>
        <v>4.3241153804190663E-2</v>
      </c>
      <c r="AB41" s="15">
        <f t="shared" si="34"/>
        <v>4.334925668870114E-2</v>
      </c>
      <c r="AC41" s="15">
        <f t="shared" si="34"/>
        <v>4.3457629830422895E-2</v>
      </c>
      <c r="AD41" s="15">
        <f t="shared" si="34"/>
        <v>4.3566273904998953E-2</v>
      </c>
      <c r="AE41" s="15">
        <f t="shared" si="34"/>
        <v>4.3675189589761444E-2</v>
      </c>
      <c r="AF41" s="15">
        <f t="shared" si="34"/>
        <v>4.3784377563735842E-2</v>
      </c>
      <c r="AG41" s="15">
        <f t="shared" si="34"/>
        <v>4.3893838507645194E-2</v>
      </c>
      <c r="AH41" s="15">
        <f t="shared" si="34"/>
        <v>4.4003573103914291E-2</v>
      </c>
    </row>
    <row r="42" spans="1:34" x14ac:dyDescent="0.45">
      <c r="A42" s="34"/>
      <c r="B42" s="4" t="s">
        <v>228</v>
      </c>
      <c r="C42" s="3" t="s">
        <v>531</v>
      </c>
      <c r="D42" s="15">
        <v>12.129825967055282</v>
      </c>
      <c r="E42" s="15">
        <f>$D$14*(1.0025)^(E31-2020)</f>
        <v>12.160150531972921</v>
      </c>
      <c r="F42" s="15">
        <f t="shared" ref="F42:AH42" si="35">$D$14*(1.0025)^(F31-2020)</f>
        <v>12.190550908302852</v>
      </c>
      <c r="G42" s="15">
        <f t="shared" si="35"/>
        <v>12.221027285573607</v>
      </c>
      <c r="H42" s="15">
        <f t="shared" si="35"/>
        <v>12.251579853787542</v>
      </c>
      <c r="I42" s="15">
        <f t="shared" si="35"/>
        <v>12.28220880342201</v>
      </c>
      <c r="J42" s="15">
        <f t="shared" si="35"/>
        <v>12.312914325430564</v>
      </c>
      <c r="K42" s="15">
        <f t="shared" si="35"/>
        <v>12.343696611244139</v>
      </c>
      <c r="L42" s="15">
        <f t="shared" si="35"/>
        <v>12.37455585277225</v>
      </c>
      <c r="M42" s="15">
        <f t="shared" si="35"/>
        <v>12.405492242404181</v>
      </c>
      <c r="N42" s="15">
        <f t="shared" si="35"/>
        <v>12.43650597301019</v>
      </c>
      <c r="O42" s="15">
        <f t="shared" si="35"/>
        <v>12.467597237942712</v>
      </c>
      <c r="P42" s="15">
        <f t="shared" si="35"/>
        <v>12.498766231037571</v>
      </c>
      <c r="Q42" s="15">
        <f t="shared" si="35"/>
        <v>12.530013146615167</v>
      </c>
      <c r="R42" s="15">
        <f t="shared" si="35"/>
        <v>12.5613381794817</v>
      </c>
      <c r="S42" s="15">
        <f t="shared" si="35"/>
        <v>12.592741524930403</v>
      </c>
      <c r="T42" s="15">
        <f t="shared" si="35"/>
        <v>12.624223378742732</v>
      </c>
      <c r="U42" s="15">
        <f t="shared" si="35"/>
        <v>12.655783937189586</v>
      </c>
      <c r="V42" s="15">
        <f t="shared" si="35"/>
        <v>12.687423397032561</v>
      </c>
      <c r="W42" s="15">
        <f t="shared" si="35"/>
        <v>12.71914195552514</v>
      </c>
      <c r="X42" s="15">
        <f t="shared" si="35"/>
        <v>12.750939810413955</v>
      </c>
      <c r="Y42" s="15">
        <f t="shared" si="35"/>
        <v>12.782817159939988</v>
      </c>
      <c r="Z42" s="15">
        <f t="shared" si="35"/>
        <v>12.814774202839835</v>
      </c>
      <c r="AA42" s="15">
        <f t="shared" si="35"/>
        <v>12.846811138346936</v>
      </c>
      <c r="AB42" s="15">
        <f t="shared" si="35"/>
        <v>12.878928166192802</v>
      </c>
      <c r="AC42" s="15">
        <f t="shared" si="35"/>
        <v>12.911125486608285</v>
      </c>
      <c r="AD42" s="15">
        <f t="shared" si="35"/>
        <v>12.943403300324805</v>
      </c>
      <c r="AE42" s="15">
        <f t="shared" si="35"/>
        <v>12.975761808575616</v>
      </c>
      <c r="AF42" s="15">
        <f t="shared" si="35"/>
        <v>13.008201213097054</v>
      </c>
      <c r="AG42" s="15">
        <f t="shared" si="35"/>
        <v>13.040721716129799</v>
      </c>
      <c r="AH42" s="15">
        <f t="shared" si="35"/>
        <v>13.07332352042012</v>
      </c>
    </row>
    <row r="43" spans="1:34" x14ac:dyDescent="0.45">
      <c r="A43" s="34"/>
      <c r="B43" s="4" t="s">
        <v>229</v>
      </c>
      <c r="C43" s="3" t="s">
        <v>532</v>
      </c>
      <c r="D43" s="15">
        <v>22.098979206468599</v>
      </c>
      <c r="E43" s="15">
        <f>$D$15*(1.0025)^(E31-2020)</f>
        <v>22.15422665448477</v>
      </c>
      <c r="F43" s="15">
        <f t="shared" ref="F43:AH43" si="36">$D$15*(1.0025)^(F31-2020)</f>
        <v>22.209612221120981</v>
      </c>
      <c r="G43" s="15">
        <f t="shared" si="36"/>
        <v>22.265136251673781</v>
      </c>
      <c r="H43" s="15">
        <f t="shared" si="36"/>
        <v>22.320799092302963</v>
      </c>
      <c r="I43" s="15">
        <f t="shared" si="36"/>
        <v>22.376601090033724</v>
      </c>
      <c r="J43" s="15">
        <f t="shared" si="36"/>
        <v>22.4325425927588</v>
      </c>
      <c r="K43" s="15">
        <f t="shared" si="36"/>
        <v>22.488623949240697</v>
      </c>
      <c r="L43" s="15">
        <f t="shared" si="36"/>
        <v>22.544845509113802</v>
      </c>
      <c r="M43" s="15">
        <f t="shared" si="36"/>
        <v>22.601207622886587</v>
      </c>
      <c r="N43" s="15">
        <f t="shared" si="36"/>
        <v>22.657710641943797</v>
      </c>
      <c r="O43" s="15">
        <f t="shared" si="36"/>
        <v>22.714354918548654</v>
      </c>
      <c r="P43" s="15">
        <f t="shared" si="36"/>
        <v>22.771140805845029</v>
      </c>
      <c r="Q43" s="15">
        <f t="shared" si="36"/>
        <v>22.828068657859642</v>
      </c>
      <c r="R43" s="15">
        <f t="shared" si="36"/>
        <v>22.885138829504285</v>
      </c>
      <c r="S43" s="15">
        <f t="shared" si="36"/>
        <v>22.942351676578046</v>
      </c>
      <c r="T43" s="15">
        <f t="shared" si="36"/>
        <v>22.999707555769493</v>
      </c>
      <c r="U43" s="15">
        <f t="shared" si="36"/>
        <v>23.057206824658913</v>
      </c>
      <c r="V43" s="15">
        <f t="shared" si="36"/>
        <v>23.114849841720563</v>
      </c>
      <c r="W43" s="15">
        <f t="shared" si="36"/>
        <v>23.172636966324859</v>
      </c>
      <c r="X43" s="15">
        <f t="shared" si="36"/>
        <v>23.230568558740675</v>
      </c>
      <c r="Y43" s="15">
        <f t="shared" si="36"/>
        <v>23.288644980137523</v>
      </c>
      <c r="Z43" s="15">
        <f t="shared" si="36"/>
        <v>23.346866592587862</v>
      </c>
      <c r="AA43" s="15">
        <f t="shared" si="36"/>
        <v>23.405233759069333</v>
      </c>
      <c r="AB43" s="15">
        <f t="shared" si="36"/>
        <v>23.463746843467003</v>
      </c>
      <c r="AC43" s="15">
        <f t="shared" si="36"/>
        <v>23.522406210575674</v>
      </c>
      <c r="AD43" s="15">
        <f t="shared" si="36"/>
        <v>23.581212226102114</v>
      </c>
      <c r="AE43" s="15">
        <f t="shared" si="36"/>
        <v>23.640165256667366</v>
      </c>
      <c r="AF43" s="15">
        <f t="shared" si="36"/>
        <v>23.699265669809034</v>
      </c>
      <c r="AG43" s="15">
        <f t="shared" si="36"/>
        <v>23.75851383398356</v>
      </c>
      <c r="AH43" s="15">
        <f t="shared" si="36"/>
        <v>23.817910118568509</v>
      </c>
    </row>
    <row r="44" spans="1:34" x14ac:dyDescent="0.45">
      <c r="A44" s="34"/>
      <c r="B44" s="4" t="s">
        <v>230</v>
      </c>
      <c r="C44" s="3" t="s">
        <v>533</v>
      </c>
      <c r="D44" s="15">
        <v>0.12580815123480002</v>
      </c>
      <c r="E44" s="15">
        <f>$D$16*(1.0025)^(E31-2020)</f>
        <v>0.12612267161288701</v>
      </c>
      <c r="F44" s="15">
        <f t="shared" ref="F44:AH44" si="37">$D$16*(1.0025)^(F31-2020)</f>
        <v>0.12643797829191922</v>
      </c>
      <c r="G44" s="15">
        <f t="shared" si="37"/>
        <v>0.12675407323764901</v>
      </c>
      <c r="H44" s="15">
        <f t="shared" si="37"/>
        <v>0.12707095842074312</v>
      </c>
      <c r="I44" s="15">
        <f t="shared" si="37"/>
        <v>0.12738863581679499</v>
      </c>
      <c r="J44" s="15">
        <f t="shared" si="37"/>
        <v>0.12770710740633695</v>
      </c>
      <c r="K44" s="15">
        <f t="shared" si="37"/>
        <v>0.1280263751748528</v>
      </c>
      <c r="L44" s="15">
        <f t="shared" si="37"/>
        <v>0.12834644111278992</v>
      </c>
      <c r="M44" s="15">
        <f t="shared" si="37"/>
        <v>0.1286673072155719</v>
      </c>
      <c r="N44" s="15">
        <f t="shared" si="37"/>
        <v>0.12898897548361082</v>
      </c>
      <c r="O44" s="15">
        <f t="shared" si="37"/>
        <v>0.12931144792231983</v>
      </c>
      <c r="P44" s="15">
        <f t="shared" si="37"/>
        <v>0.12963472654212563</v>
      </c>
      <c r="Q44" s="15">
        <f t="shared" si="37"/>
        <v>0.12995881335848095</v>
      </c>
      <c r="R44" s="15">
        <f t="shared" si="37"/>
        <v>0.13028371039187714</v>
      </c>
      <c r="S44" s="15">
        <f t="shared" si="37"/>
        <v>0.1306094196678568</v>
      </c>
      <c r="T44" s="15">
        <f t="shared" si="37"/>
        <v>0.13093594321702648</v>
      </c>
      <c r="U44" s="15">
        <f t="shared" si="37"/>
        <v>0.13126328307506901</v>
      </c>
      <c r="V44" s="15">
        <f t="shared" si="37"/>
        <v>0.13159144128275671</v>
      </c>
      <c r="W44" s="15">
        <f t="shared" si="37"/>
        <v>0.13192041988596356</v>
      </c>
      <c r="X44" s="15">
        <f t="shared" si="37"/>
        <v>0.13225022093567848</v>
      </c>
      <c r="Y44" s="15">
        <f t="shared" si="37"/>
        <v>0.13258084648801766</v>
      </c>
      <c r="Z44" s="15">
        <f t="shared" si="37"/>
        <v>0.13291229860423767</v>
      </c>
      <c r="AA44" s="15">
        <f t="shared" si="37"/>
        <v>0.13324457935074829</v>
      </c>
      <c r="AB44" s="15">
        <f t="shared" si="37"/>
        <v>0.13357769079912515</v>
      </c>
      <c r="AC44" s="15">
        <f t="shared" si="37"/>
        <v>0.13391163502612297</v>
      </c>
      <c r="AD44" s="15">
        <f t="shared" si="37"/>
        <v>0.13424641411368826</v>
      </c>
      <c r="AE44" s="15">
        <f t="shared" si="37"/>
        <v>0.13458203014897246</v>
      </c>
      <c r="AF44" s="15">
        <f t="shared" si="37"/>
        <v>0.13491848522434491</v>
      </c>
      <c r="AG44" s="15">
        <f t="shared" si="37"/>
        <v>0.1352557814374058</v>
      </c>
      <c r="AH44" s="15">
        <f t="shared" si="37"/>
        <v>0.13559392089099925</v>
      </c>
    </row>
    <row r="45" spans="1:34" x14ac:dyDescent="0.45">
      <c r="A45" s="34"/>
      <c r="B45" s="4" t="s">
        <v>379</v>
      </c>
      <c r="C45" s="3" t="s">
        <v>534</v>
      </c>
      <c r="D45" s="15">
        <v>0.29641995677573019</v>
      </c>
      <c r="E45" s="15">
        <f>$D$17*(1.0025)^(E31-2020)</f>
        <v>0.29716100666766948</v>
      </c>
      <c r="F45" s="15">
        <f t="shared" ref="F45:AH45" si="38">$D$17*(1.0025)^(F31-2020)</f>
        <v>0.29790390918433868</v>
      </c>
      <c r="G45" s="15">
        <f t="shared" si="38"/>
        <v>0.29864866895729947</v>
      </c>
      <c r="H45" s="15">
        <f t="shared" si="38"/>
        <v>0.29939529062969272</v>
      </c>
      <c r="I45" s="15">
        <f t="shared" si="38"/>
        <v>0.30014377885626697</v>
      </c>
      <c r="J45" s="15">
        <f t="shared" si="38"/>
        <v>0.30089413830340755</v>
      </c>
      <c r="K45" s="15">
        <f t="shared" si="38"/>
        <v>0.30164637364916608</v>
      </c>
      <c r="L45" s="15">
        <f t="shared" si="38"/>
        <v>0.30240048958328902</v>
      </c>
      <c r="M45" s="15">
        <f t="shared" si="38"/>
        <v>0.30315649080724721</v>
      </c>
      <c r="N45" s="15">
        <f t="shared" si="38"/>
        <v>0.3039143820342653</v>
      </c>
      <c r="O45" s="15">
        <f t="shared" si="38"/>
        <v>0.30467416798935093</v>
      </c>
      <c r="P45" s="15">
        <f t="shared" si="38"/>
        <v>0.30543585340932433</v>
      </c>
      <c r="Q45" s="15">
        <f t="shared" si="38"/>
        <v>0.30619944304284763</v>
      </c>
      <c r="R45" s="15">
        <f t="shared" si="38"/>
        <v>0.30696494165045468</v>
      </c>
      <c r="S45" s="15">
        <f t="shared" si="38"/>
        <v>0.30773235400458082</v>
      </c>
      <c r="T45" s="15">
        <f t="shared" si="38"/>
        <v>0.30850168488959229</v>
      </c>
      <c r="U45" s="15">
        <f t="shared" si="38"/>
        <v>0.30927293910181625</v>
      </c>
      <c r="V45" s="15">
        <f t="shared" si="38"/>
        <v>0.31004612144957078</v>
      </c>
      <c r="W45" s="15">
        <f t="shared" si="38"/>
        <v>0.31082123675319467</v>
      </c>
      <c r="X45" s="15">
        <f t="shared" si="38"/>
        <v>0.3115982898450777</v>
      </c>
      <c r="Y45" s="15">
        <f t="shared" si="38"/>
        <v>0.31237728556969035</v>
      </c>
      <c r="Z45" s="15">
        <f t="shared" si="38"/>
        <v>0.31315822878361449</v>
      </c>
      <c r="AA45" s="15">
        <f t="shared" si="38"/>
        <v>0.31394112435557359</v>
      </c>
      <c r="AB45" s="15">
        <f t="shared" si="38"/>
        <v>0.31472597716646245</v>
      </c>
      <c r="AC45" s="15">
        <f t="shared" si="38"/>
        <v>0.31551279210937866</v>
      </c>
      <c r="AD45" s="15">
        <f t="shared" si="38"/>
        <v>0.31630157408965209</v>
      </c>
      <c r="AE45" s="15">
        <f t="shared" si="38"/>
        <v>0.31709232802487619</v>
      </c>
      <c r="AF45" s="15">
        <f t="shared" si="38"/>
        <v>0.31788505884493834</v>
      </c>
      <c r="AG45" s="15">
        <f t="shared" si="38"/>
        <v>0.31867977149205079</v>
      </c>
      <c r="AH45" s="15">
        <f t="shared" si="38"/>
        <v>0.3194764709207808</v>
      </c>
    </row>
    <row r="46" spans="1:34" x14ac:dyDescent="0.45">
      <c r="A46" s="34"/>
      <c r="B46" s="4" t="s">
        <v>380</v>
      </c>
      <c r="C46" s="3" t="s">
        <v>535</v>
      </c>
      <c r="D46" s="15">
        <v>0.17559585207471479</v>
      </c>
      <c r="E46" s="15">
        <f>$D$18*(1.0025)^(E31-2020)</f>
        <v>0.17603484170490155</v>
      </c>
      <c r="F46" s="15">
        <f t="shared" ref="F46:AH46" si="39">$D$18*(1.0025)^(F31-2020)</f>
        <v>0.17647492880916379</v>
      </c>
      <c r="G46" s="15">
        <f t="shared" si="39"/>
        <v>0.17691611613118668</v>
      </c>
      <c r="H46" s="15">
        <f t="shared" si="39"/>
        <v>0.17735840642151468</v>
      </c>
      <c r="I46" s="15">
        <f t="shared" si="39"/>
        <v>0.17780180243756846</v>
      </c>
      <c r="J46" s="15">
        <f t="shared" si="39"/>
        <v>0.17824630694366234</v>
      </c>
      <c r="K46" s="15">
        <f t="shared" si="39"/>
        <v>0.17869192271102149</v>
      </c>
      <c r="L46" s="15">
        <f t="shared" si="39"/>
        <v>0.17913865251779906</v>
      </c>
      <c r="M46" s="15">
        <f t="shared" si="39"/>
        <v>0.17958649914909355</v>
      </c>
      <c r="N46" s="15">
        <f t="shared" si="39"/>
        <v>0.18003546539696627</v>
      </c>
      <c r="O46" s="15">
        <f t="shared" si="39"/>
        <v>0.18048555406045866</v>
      </c>
      <c r="P46" s="15">
        <f t="shared" si="39"/>
        <v>0.18093676794560981</v>
      </c>
      <c r="Q46" s="15">
        <f t="shared" si="39"/>
        <v>0.18138910986547385</v>
      </c>
      <c r="R46" s="15">
        <f t="shared" si="39"/>
        <v>0.1818425826401375</v>
      </c>
      <c r="S46" s="15">
        <f t="shared" si="39"/>
        <v>0.18229718909673781</v>
      </c>
      <c r="T46" s="15">
        <f t="shared" si="39"/>
        <v>0.18275293206947968</v>
      </c>
      <c r="U46" s="15">
        <f t="shared" si="39"/>
        <v>0.18320981439965336</v>
      </c>
      <c r="V46" s="15">
        <f t="shared" si="39"/>
        <v>0.1836678389356525</v>
      </c>
      <c r="W46" s="15">
        <f t="shared" si="39"/>
        <v>0.1841270085329916</v>
      </c>
      <c r="X46" s="15">
        <f t="shared" si="39"/>
        <v>0.1845873260543241</v>
      </c>
      <c r="Y46" s="15">
        <f t="shared" si="39"/>
        <v>0.1850487943694599</v>
      </c>
      <c r="Z46" s="15">
        <f t="shared" si="39"/>
        <v>0.18551141635538348</v>
      </c>
      <c r="AA46" s="15">
        <f t="shared" si="39"/>
        <v>0.18597519489627198</v>
      </c>
      <c r="AB46" s="15">
        <f t="shared" si="39"/>
        <v>0.18644013288351263</v>
      </c>
      <c r="AC46" s="15">
        <f t="shared" si="39"/>
        <v>0.18690623321572145</v>
      </c>
      <c r="AD46" s="15">
        <f t="shared" si="39"/>
        <v>0.18737349879876072</v>
      </c>
      <c r="AE46" s="15">
        <f t="shared" si="39"/>
        <v>0.1878419325457576</v>
      </c>
      <c r="AF46" s="15">
        <f t="shared" si="39"/>
        <v>0.188311537377122</v>
      </c>
      <c r="AG46" s="15">
        <f t="shared" si="39"/>
        <v>0.18878231622056485</v>
      </c>
      <c r="AH46" s="15">
        <f t="shared" si="39"/>
        <v>0.18925427201111619</v>
      </c>
    </row>
    <row r="47" spans="1:34" x14ac:dyDescent="0.45">
      <c r="A47" s="34"/>
      <c r="B47" s="4" t="s">
        <v>233</v>
      </c>
      <c r="C47" s="3" t="s">
        <v>536</v>
      </c>
      <c r="D47" s="15">
        <v>1.0665024144415194</v>
      </c>
      <c r="E47" s="15">
        <f>$D$19*(1.0025)^(E31-2020)</f>
        <v>1.0691686704776231</v>
      </c>
      <c r="F47" s="15">
        <f t="shared" ref="F47:AH47" si="40">$D$19*(1.0025)^(F31-2020)</f>
        <v>1.0718415921538171</v>
      </c>
      <c r="G47" s="15">
        <f t="shared" si="40"/>
        <v>1.0745211961342016</v>
      </c>
      <c r="H47" s="15">
        <f t="shared" si="40"/>
        <v>1.0772074991245371</v>
      </c>
      <c r="I47" s="15">
        <f t="shared" si="40"/>
        <v>1.0799005178723484</v>
      </c>
      <c r="J47" s="15">
        <f t="shared" si="40"/>
        <v>1.0826002691670291</v>
      </c>
      <c r="K47" s="15">
        <f t="shared" si="40"/>
        <v>1.0853067698399466</v>
      </c>
      <c r="L47" s="15">
        <f t="shared" si="40"/>
        <v>1.0880200367645465</v>
      </c>
      <c r="M47" s="15">
        <f t="shared" si="40"/>
        <v>1.0907400868564578</v>
      </c>
      <c r="N47" s="15">
        <f t="shared" si="40"/>
        <v>1.093466937073599</v>
      </c>
      <c r="O47" s="15">
        <f t="shared" si="40"/>
        <v>1.0962006044162826</v>
      </c>
      <c r="P47" s="15">
        <f t="shared" si="40"/>
        <v>1.0989411059273235</v>
      </c>
      <c r="Q47" s="15">
        <f t="shared" si="40"/>
        <v>1.1016884586921418</v>
      </c>
      <c r="R47" s="15">
        <f t="shared" si="40"/>
        <v>1.104442679838872</v>
      </c>
      <c r="S47" s="15">
        <f t="shared" si="40"/>
        <v>1.1072037865384692</v>
      </c>
      <c r="T47" s="15">
        <f t="shared" si="40"/>
        <v>1.1099717960048154</v>
      </c>
      <c r="U47" s="15">
        <f t="shared" si="40"/>
        <v>1.1127467254948273</v>
      </c>
      <c r="V47" s="15">
        <f t="shared" si="40"/>
        <v>1.1155285923085645</v>
      </c>
      <c r="W47" s="15">
        <f t="shared" si="40"/>
        <v>1.1183174137893357</v>
      </c>
      <c r="X47" s="15">
        <f t="shared" si="40"/>
        <v>1.121113207323809</v>
      </c>
      <c r="Y47" s="15">
        <f t="shared" si="40"/>
        <v>1.1239159903421185</v>
      </c>
      <c r="Z47" s="15">
        <f t="shared" si="40"/>
        <v>1.1267257803179735</v>
      </c>
      <c r="AA47" s="15">
        <f t="shared" si="40"/>
        <v>1.1295425947687685</v>
      </c>
      <c r="AB47" s="15">
        <f t="shared" si="40"/>
        <v>1.1323664512556904</v>
      </c>
      <c r="AC47" s="15">
        <f t="shared" si="40"/>
        <v>1.1351973673838298</v>
      </c>
      <c r="AD47" s="15">
        <f t="shared" si="40"/>
        <v>1.1380353608022893</v>
      </c>
      <c r="AE47" s="15">
        <f t="shared" si="40"/>
        <v>1.1408804492042948</v>
      </c>
      <c r="AF47" s="15">
        <f t="shared" si="40"/>
        <v>1.1437326503273055</v>
      </c>
      <c r="AG47" s="15">
        <f t="shared" si="40"/>
        <v>1.1465919819531241</v>
      </c>
      <c r="AH47" s="15">
        <f t="shared" si="40"/>
        <v>1.1494584619080064</v>
      </c>
    </row>
    <row r="48" spans="1:34" x14ac:dyDescent="0.45">
      <c r="A48" s="34" t="s">
        <v>545</v>
      </c>
      <c r="B48" s="5" t="s">
        <v>234</v>
      </c>
      <c r="C48" s="3" t="s">
        <v>537</v>
      </c>
      <c r="D48" s="15">
        <v>141.31966566</v>
      </c>
      <c r="E48" s="15">
        <f>$D$20*(1.0025)^(E31-2020)</f>
        <v>141.67296482415</v>
      </c>
      <c r="F48" s="15">
        <f t="shared" ref="F48:AH48" si="41">$D$20*(1.0025)^(F31-2020)</f>
        <v>142.02714723621037</v>
      </c>
      <c r="G48" s="15">
        <f t="shared" si="41"/>
        <v>142.38221510430085</v>
      </c>
      <c r="H48" s="15">
        <f t="shared" si="41"/>
        <v>142.73817064206162</v>
      </c>
      <c r="I48" s="15">
        <f t="shared" si="41"/>
        <v>143.09501606866678</v>
      </c>
      <c r="J48" s="15">
        <f t="shared" si="41"/>
        <v>143.45275360883841</v>
      </c>
      <c r="K48" s="15">
        <f t="shared" si="41"/>
        <v>143.8113854928605</v>
      </c>
      <c r="L48" s="15">
        <f t="shared" si="41"/>
        <v>144.17091395659267</v>
      </c>
      <c r="M48" s="15">
        <f t="shared" si="41"/>
        <v>144.53134124148414</v>
      </c>
      <c r="N48" s="15">
        <f t="shared" si="41"/>
        <v>144.89266959458783</v>
      </c>
      <c r="O48" s="15">
        <f t="shared" si="41"/>
        <v>145.25490126857429</v>
      </c>
      <c r="P48" s="15">
        <f t="shared" si="41"/>
        <v>145.61803852174575</v>
      </c>
      <c r="Q48" s="15">
        <f t="shared" si="41"/>
        <v>145.9820836180501</v>
      </c>
      <c r="R48" s="15">
        <f t="shared" si="41"/>
        <v>146.34703882709519</v>
      </c>
      <c r="S48" s="15">
        <f t="shared" si="41"/>
        <v>146.71290642416292</v>
      </c>
      <c r="T48" s="15">
        <f t="shared" si="41"/>
        <v>147.07968869022335</v>
      </c>
      <c r="U48" s="15">
        <f t="shared" si="41"/>
        <v>147.44738791194888</v>
      </c>
      <c r="V48" s="15">
        <f t="shared" si="41"/>
        <v>147.81600638172878</v>
      </c>
      <c r="W48" s="15">
        <f t="shared" si="41"/>
        <v>148.18554639768305</v>
      </c>
      <c r="X48" s="15">
        <f t="shared" si="41"/>
        <v>148.55601026367728</v>
      </c>
      <c r="Y48" s="15">
        <f t="shared" si="41"/>
        <v>148.92740028933648</v>
      </c>
      <c r="Z48" s="15">
        <f t="shared" si="41"/>
        <v>149.29971879005979</v>
      </c>
      <c r="AA48" s="15">
        <f t="shared" si="41"/>
        <v>149.67296808703495</v>
      </c>
      <c r="AB48" s="15">
        <f t="shared" si="41"/>
        <v>150.0471505072525</v>
      </c>
      <c r="AC48" s="15">
        <f t="shared" si="41"/>
        <v>150.42226838352065</v>
      </c>
      <c r="AD48" s="15">
        <f t="shared" si="41"/>
        <v>150.79832405447945</v>
      </c>
      <c r="AE48" s="15">
        <f t="shared" si="41"/>
        <v>151.17531986461563</v>
      </c>
      <c r="AF48" s="15">
        <f t="shared" si="41"/>
        <v>151.55325816427717</v>
      </c>
      <c r="AG48" s="15">
        <f t="shared" si="41"/>
        <v>151.93214130968789</v>
      </c>
      <c r="AH48" s="15">
        <f t="shared" si="41"/>
        <v>152.31197166296207</v>
      </c>
    </row>
    <row r="49" spans="1:34" x14ac:dyDescent="0.45">
      <c r="A49" s="34"/>
      <c r="B49" s="5" t="s">
        <v>235</v>
      </c>
      <c r="C49" s="3" t="s">
        <v>538</v>
      </c>
      <c r="D49" s="15">
        <v>333.13311499999992</v>
      </c>
      <c r="E49" s="15">
        <f>$D$21*(1.0025)^(E31-2020)</f>
        <v>333.96594778749989</v>
      </c>
      <c r="F49" s="15">
        <f t="shared" ref="F49:AH49" si="42">$D$21*(1.0025)^(F31-2020)</f>
        <v>334.8008626569686</v>
      </c>
      <c r="G49" s="15">
        <f t="shared" si="42"/>
        <v>335.63786481361103</v>
      </c>
      <c r="H49" s="15">
        <f t="shared" si="42"/>
        <v>336.47695947564506</v>
      </c>
      <c r="I49" s="15">
        <f t="shared" si="42"/>
        <v>337.31815187433415</v>
      </c>
      <c r="J49" s="15">
        <f t="shared" si="42"/>
        <v>338.16144725401995</v>
      </c>
      <c r="K49" s="15">
        <f t="shared" si="42"/>
        <v>339.00685087215498</v>
      </c>
      <c r="L49" s="15">
        <f t="shared" si="42"/>
        <v>339.85436799933535</v>
      </c>
      <c r="M49" s="15">
        <f t="shared" si="42"/>
        <v>340.70400391933373</v>
      </c>
      <c r="N49" s="15">
        <f t="shared" si="42"/>
        <v>341.55576392913201</v>
      </c>
      <c r="O49" s="15">
        <f t="shared" si="42"/>
        <v>342.4096533389548</v>
      </c>
      <c r="P49" s="15">
        <f t="shared" si="42"/>
        <v>343.26567747230217</v>
      </c>
      <c r="Q49" s="15">
        <f t="shared" si="42"/>
        <v>344.12384166598298</v>
      </c>
      <c r="R49" s="15">
        <f t="shared" si="42"/>
        <v>344.98415127014783</v>
      </c>
      <c r="S49" s="15">
        <f t="shared" si="42"/>
        <v>345.84661164832318</v>
      </c>
      <c r="T49" s="15">
        <f t="shared" si="42"/>
        <v>346.71122817744401</v>
      </c>
      <c r="U49" s="15">
        <f t="shared" si="42"/>
        <v>347.57800624788757</v>
      </c>
      <c r="V49" s="15">
        <f t="shared" si="42"/>
        <v>348.44695126350734</v>
      </c>
      <c r="W49" s="15">
        <f t="shared" si="42"/>
        <v>349.31806864166606</v>
      </c>
      <c r="X49" s="15">
        <f t="shared" si="42"/>
        <v>350.19136381327024</v>
      </c>
      <c r="Y49" s="15">
        <f t="shared" si="42"/>
        <v>351.06684222280336</v>
      </c>
      <c r="Z49" s="15">
        <f t="shared" si="42"/>
        <v>351.94450932836031</v>
      </c>
      <c r="AA49" s="15">
        <f t="shared" si="42"/>
        <v>352.82437060168127</v>
      </c>
      <c r="AB49" s="15">
        <f t="shared" si="42"/>
        <v>353.70643152818542</v>
      </c>
      <c r="AC49" s="15">
        <f t="shared" si="42"/>
        <v>354.59069760700589</v>
      </c>
      <c r="AD49" s="15">
        <f t="shared" si="42"/>
        <v>355.47717435102339</v>
      </c>
      <c r="AE49" s="15">
        <f t="shared" si="42"/>
        <v>356.36586728690094</v>
      </c>
      <c r="AF49" s="15">
        <f t="shared" si="42"/>
        <v>357.25678195511819</v>
      </c>
      <c r="AG49" s="15">
        <f t="shared" si="42"/>
        <v>358.14992391000601</v>
      </c>
      <c r="AH49" s="15">
        <f t="shared" si="42"/>
        <v>359.04529871978093</v>
      </c>
    </row>
    <row r="50" spans="1:34" x14ac:dyDescent="0.45">
      <c r="A50" s="34"/>
      <c r="B50" s="5" t="s">
        <v>384</v>
      </c>
      <c r="C50" s="3" t="s">
        <v>539</v>
      </c>
      <c r="D50" s="15">
        <v>89.620827239999997</v>
      </c>
      <c r="E50" s="15">
        <f>$D$22*(1.035)^(E31-2020)</f>
        <v>92.757556193399992</v>
      </c>
      <c r="F50" s="15">
        <f t="shared" ref="F50:AH50" si="43">$D$22*(1.035)^(F31-2020)</f>
        <v>96.004070660168992</v>
      </c>
      <c r="G50" s="15">
        <f t="shared" si="43"/>
        <v>99.364213133274887</v>
      </c>
      <c r="H50" s="15">
        <f t="shared" si="43"/>
        <v>102.8419605929395</v>
      </c>
      <c r="I50" s="15">
        <f t="shared" si="43"/>
        <v>106.44142921369237</v>
      </c>
      <c r="J50" s="15">
        <f t="shared" si="43"/>
        <v>110.16687923617161</v>
      </c>
      <c r="K50" s="15">
        <f t="shared" si="43"/>
        <v>114.02272000943761</v>
      </c>
      <c r="L50" s="15">
        <f t="shared" si="43"/>
        <v>118.0135152097679</v>
      </c>
      <c r="M50" s="15">
        <f t="shared" si="43"/>
        <v>122.14398824210976</v>
      </c>
      <c r="N50" s="15">
        <f t="shared" si="43"/>
        <v>126.4190278305836</v>
      </c>
      <c r="O50" s="15">
        <f t="shared" si="43"/>
        <v>130.84369380465404</v>
      </c>
      <c r="P50" s="15">
        <f t="shared" si="43"/>
        <v>135.42322308781692</v>
      </c>
      <c r="Q50" s="15">
        <f t="shared" si="43"/>
        <v>140.16303589589046</v>
      </c>
      <c r="R50" s="15">
        <f t="shared" si="43"/>
        <v>145.06874215224664</v>
      </c>
      <c r="S50" s="15">
        <f t="shared" si="43"/>
        <v>150.14614812757526</v>
      </c>
      <c r="T50" s="15">
        <f t="shared" si="43"/>
        <v>155.40126331204036</v>
      </c>
      <c r="U50" s="15">
        <f t="shared" si="43"/>
        <v>160.84030752796178</v>
      </c>
      <c r="V50" s="15">
        <f t="shared" si="43"/>
        <v>166.46971829144042</v>
      </c>
      <c r="W50" s="15">
        <f t="shared" si="43"/>
        <v>172.29615843164083</v>
      </c>
      <c r="X50" s="15">
        <f t="shared" si="43"/>
        <v>178.32652397674823</v>
      </c>
      <c r="Y50" s="15">
        <f t="shared" si="43"/>
        <v>184.56795231593438</v>
      </c>
      <c r="Z50" s="15">
        <f t="shared" si="43"/>
        <v>191.0278306469921</v>
      </c>
      <c r="AA50" s="15">
        <f t="shared" si="43"/>
        <v>197.71380471963681</v>
      </c>
      <c r="AB50" s="15">
        <f t="shared" si="43"/>
        <v>204.63378788482407</v>
      </c>
      <c r="AC50" s="15">
        <f t="shared" si="43"/>
        <v>211.79597046079289</v>
      </c>
      <c r="AD50" s="15">
        <f t="shared" si="43"/>
        <v>219.20882942692063</v>
      </c>
      <c r="AE50" s="15">
        <f t="shared" si="43"/>
        <v>226.88113845686286</v>
      </c>
      <c r="AF50" s="15">
        <f t="shared" si="43"/>
        <v>234.82197830285304</v>
      </c>
      <c r="AG50" s="15">
        <f t="shared" si="43"/>
        <v>243.04074754345285</v>
      </c>
      <c r="AH50" s="15">
        <f t="shared" si="43"/>
        <v>251.54717370747372</v>
      </c>
    </row>
    <row r="51" spans="1:34" x14ac:dyDescent="0.45">
      <c r="A51" s="34"/>
      <c r="B51" s="5" t="s">
        <v>385</v>
      </c>
      <c r="C51" s="3" t="s">
        <v>540</v>
      </c>
      <c r="D51" s="15">
        <v>23.1</v>
      </c>
      <c r="E51" s="15">
        <f>$D$23*(1.0025)^(E31-2020)</f>
        <v>23.15775</v>
      </c>
      <c r="F51" s="15">
        <f t="shared" ref="F51:AH51" si="44">$D$23*(1.0025)^(F31-2020)</f>
        <v>23.215644375</v>
      </c>
      <c r="G51" s="15">
        <f t="shared" si="44"/>
        <v>23.273683485937497</v>
      </c>
      <c r="H51" s="15">
        <f t="shared" si="44"/>
        <v>23.331867694652342</v>
      </c>
      <c r="I51" s="15">
        <f t="shared" si="44"/>
        <v>23.390197363888973</v>
      </c>
      <c r="J51" s="15">
        <f t="shared" si="44"/>
        <v>23.448672857298689</v>
      </c>
      <c r="K51" s="15">
        <f t="shared" si="44"/>
        <v>23.507294539441936</v>
      </c>
      <c r="L51" s="15">
        <f t="shared" si="44"/>
        <v>23.566062775790542</v>
      </c>
      <c r="M51" s="15">
        <f t="shared" si="44"/>
        <v>23.624977932730019</v>
      </c>
      <c r="N51" s="15">
        <f t="shared" si="44"/>
        <v>23.684040377561839</v>
      </c>
      <c r="O51" s="15">
        <f t="shared" si="44"/>
        <v>23.74325047850574</v>
      </c>
      <c r="P51" s="15">
        <f t="shared" si="44"/>
        <v>23.802608604702009</v>
      </c>
      <c r="Q51" s="15">
        <f t="shared" si="44"/>
        <v>23.862115126213762</v>
      </c>
      <c r="R51" s="15">
        <f t="shared" si="44"/>
        <v>23.921770414029293</v>
      </c>
      <c r="S51" s="15">
        <f t="shared" si="44"/>
        <v>23.981574840064361</v>
      </c>
      <c r="T51" s="15">
        <f t="shared" si="44"/>
        <v>24.041528777164526</v>
      </c>
      <c r="U51" s="15">
        <f t="shared" si="44"/>
        <v>24.101632599107436</v>
      </c>
      <c r="V51" s="15">
        <f t="shared" si="44"/>
        <v>24.161886680605207</v>
      </c>
      <c r="W51" s="15">
        <f t="shared" si="44"/>
        <v>24.222291397306716</v>
      </c>
      <c r="X51" s="15">
        <f t="shared" si="44"/>
        <v>24.282847125799982</v>
      </c>
      <c r="Y51" s="15">
        <f t="shared" si="44"/>
        <v>24.343554243614481</v>
      </c>
      <c r="Z51" s="15">
        <f t="shared" si="44"/>
        <v>24.40441312922351</v>
      </c>
      <c r="AA51" s="15">
        <f t="shared" si="44"/>
        <v>24.46542416204657</v>
      </c>
      <c r="AB51" s="15">
        <f t="shared" si="44"/>
        <v>24.526587722451687</v>
      </c>
      <c r="AC51" s="15">
        <f t="shared" si="44"/>
        <v>24.587904191757818</v>
      </c>
      <c r="AD51" s="15">
        <f t="shared" si="44"/>
        <v>24.649373952237212</v>
      </c>
      <c r="AE51" s="15">
        <f t="shared" si="44"/>
        <v>24.7109973871178</v>
      </c>
      <c r="AF51" s="15">
        <f t="shared" si="44"/>
        <v>24.772774880585594</v>
      </c>
      <c r="AG51" s="15">
        <f t="shared" si="44"/>
        <v>24.834706817787062</v>
      </c>
      <c r="AH51" s="15">
        <f t="shared" si="44"/>
        <v>24.896793584831524</v>
      </c>
    </row>
    <row r="52" spans="1:34" x14ac:dyDescent="0.45">
      <c r="A52" s="34"/>
      <c r="B52" s="5" t="s">
        <v>386</v>
      </c>
      <c r="C52" s="3" t="s">
        <v>541</v>
      </c>
      <c r="D52" s="15">
        <v>15.68</v>
      </c>
      <c r="E52" s="15">
        <f>$D$24*(1.035)^(E31-2020)</f>
        <v>16.2288</v>
      </c>
      <c r="F52" s="15">
        <f t="shared" ref="F52:AH52" si="45">$D$24*(1.035)^(F31-2020)</f>
        <v>16.796807999999999</v>
      </c>
      <c r="G52" s="15">
        <f t="shared" si="45"/>
        <v>17.384696279999996</v>
      </c>
      <c r="H52" s="15">
        <f t="shared" si="45"/>
        <v>17.993160649799993</v>
      </c>
      <c r="I52" s="15">
        <f t="shared" si="45"/>
        <v>18.622921272542992</v>
      </c>
      <c r="J52" s="15">
        <f t="shared" si="45"/>
        <v>19.274723517081998</v>
      </c>
      <c r="K52" s="15">
        <f t="shared" si="45"/>
        <v>19.949338840179866</v>
      </c>
      <c r="L52" s="15">
        <f t="shared" si="45"/>
        <v>20.647565699586156</v>
      </c>
      <c r="M52" s="15">
        <f t="shared" si="45"/>
        <v>21.37023049907167</v>
      </c>
      <c r="N52" s="15">
        <f t="shared" si="45"/>
        <v>22.118188566539178</v>
      </c>
      <c r="O52" s="15">
        <f t="shared" si="45"/>
        <v>22.89232516636805</v>
      </c>
      <c r="P52" s="15">
        <f t="shared" si="45"/>
        <v>23.69355654719093</v>
      </c>
      <c r="Q52" s="15">
        <f t="shared" si="45"/>
        <v>24.522831026342605</v>
      </c>
      <c r="R52" s="15">
        <f t="shared" si="45"/>
        <v>25.3811301122646</v>
      </c>
      <c r="S52" s="15">
        <f t="shared" si="45"/>
        <v>26.269469666193856</v>
      </c>
      <c r="T52" s="15">
        <f t="shared" si="45"/>
        <v>27.188901104510638</v>
      </c>
      <c r="U52" s="15">
        <f t="shared" si="45"/>
        <v>28.14051264316851</v>
      </c>
      <c r="V52" s="15">
        <f t="shared" si="45"/>
        <v>29.125430585679403</v>
      </c>
      <c r="W52" s="15">
        <f t="shared" si="45"/>
        <v>30.14482065617818</v>
      </c>
      <c r="X52" s="15">
        <f t="shared" si="45"/>
        <v>31.199889379144413</v>
      </c>
      <c r="Y52" s="15">
        <f t="shared" si="45"/>
        <v>32.291885507414463</v>
      </c>
      <c r="Z52" s="15">
        <f t="shared" si="45"/>
        <v>33.422101500173966</v>
      </c>
      <c r="AA52" s="15">
        <f t="shared" si="45"/>
        <v>34.591875052680059</v>
      </c>
      <c r="AB52" s="15">
        <f t="shared" si="45"/>
        <v>35.802590679523853</v>
      </c>
      <c r="AC52" s="15">
        <f t="shared" si="45"/>
        <v>37.055681353307186</v>
      </c>
      <c r="AD52" s="15">
        <f t="shared" si="45"/>
        <v>38.352630200672934</v>
      </c>
      <c r="AE52" s="15">
        <f t="shared" si="45"/>
        <v>39.694972257696485</v>
      </c>
      <c r="AF52" s="15">
        <f t="shared" si="45"/>
        <v>41.084296286715862</v>
      </c>
      <c r="AG52" s="15">
        <f t="shared" si="45"/>
        <v>42.522246656750909</v>
      </c>
      <c r="AH52" s="15">
        <f t="shared" si="45"/>
        <v>44.010525289737195</v>
      </c>
    </row>
    <row r="53" spans="1:34" x14ac:dyDescent="0.45">
      <c r="A53" s="34"/>
      <c r="B53" s="5" t="s">
        <v>387</v>
      </c>
      <c r="C53" s="3" t="s">
        <v>542</v>
      </c>
      <c r="D53" s="15">
        <v>37.44</v>
      </c>
      <c r="E53" s="15">
        <f>$D$25*(1.0025)^(E31-2020)</f>
        <v>37.533599999999993</v>
      </c>
      <c r="F53" s="15">
        <f t="shared" ref="F53:AH53" si="46">$D$25*(1.0025)^(F31-2020)</f>
        <v>37.627433999999994</v>
      </c>
      <c r="G53" s="15">
        <f t="shared" si="46"/>
        <v>37.721502584999989</v>
      </c>
      <c r="H53" s="15">
        <f t="shared" si="46"/>
        <v>37.815806341462491</v>
      </c>
      <c r="I53" s="15">
        <f t="shared" si="46"/>
        <v>37.910345857316145</v>
      </c>
      <c r="J53" s="15">
        <f t="shared" si="46"/>
        <v>38.005121721959426</v>
      </c>
      <c r="K53" s="15">
        <f t="shared" si="46"/>
        <v>38.100134526264327</v>
      </c>
      <c r="L53" s="15">
        <f t="shared" si="46"/>
        <v>38.195384862579992</v>
      </c>
      <c r="M53" s="15">
        <f t="shared" si="46"/>
        <v>38.290873324736438</v>
      </c>
      <c r="N53" s="15">
        <f t="shared" si="46"/>
        <v>38.386600508048275</v>
      </c>
      <c r="O53" s="15">
        <f t="shared" si="46"/>
        <v>38.482567009318387</v>
      </c>
      <c r="P53" s="15">
        <f t="shared" si="46"/>
        <v>38.578773426841693</v>
      </c>
      <c r="Q53" s="15">
        <f t="shared" si="46"/>
        <v>38.675220360408794</v>
      </c>
      <c r="R53" s="15">
        <f t="shared" si="46"/>
        <v>38.771908411309809</v>
      </c>
      <c r="S53" s="15">
        <f t="shared" si="46"/>
        <v>38.868838182338081</v>
      </c>
      <c r="T53" s="15">
        <f t="shared" si="46"/>
        <v>38.966010277793927</v>
      </c>
      <c r="U53" s="15">
        <f t="shared" si="46"/>
        <v>39.063425303488408</v>
      </c>
      <c r="V53" s="15">
        <f t="shared" si="46"/>
        <v>39.161083866747134</v>
      </c>
      <c r="W53" s="15">
        <f t="shared" si="46"/>
        <v>39.258986576413996</v>
      </c>
      <c r="X53" s="15">
        <f t="shared" si="46"/>
        <v>39.357134042855037</v>
      </c>
      <c r="Y53" s="15">
        <f t="shared" si="46"/>
        <v>39.455526877962164</v>
      </c>
      <c r="Z53" s="15">
        <f t="shared" si="46"/>
        <v>39.55416569515706</v>
      </c>
      <c r="AA53" s="15">
        <f t="shared" si="46"/>
        <v>39.653051109394958</v>
      </c>
      <c r="AB53" s="15">
        <f t="shared" si="46"/>
        <v>39.752183737168444</v>
      </c>
      <c r="AC53" s="15">
        <f t="shared" si="46"/>
        <v>39.851564196511369</v>
      </c>
      <c r="AD53" s="15">
        <f t="shared" si="46"/>
        <v>39.951193107002645</v>
      </c>
      <c r="AE53" s="15">
        <f t="shared" si="46"/>
        <v>40.051071089770147</v>
      </c>
      <c r="AF53" s="15">
        <f t="shared" si="46"/>
        <v>40.15119876749457</v>
      </c>
      <c r="AG53" s="15">
        <f t="shared" si="46"/>
        <v>40.251576764413315</v>
      </c>
      <c r="AH53" s="15">
        <f t="shared" si="46"/>
        <v>40.352205706324334</v>
      </c>
    </row>
    <row r="54" spans="1:34" x14ac:dyDescent="0.45">
      <c r="A54" s="34" t="s">
        <v>544</v>
      </c>
      <c r="B54" s="5" t="s">
        <v>518</v>
      </c>
      <c r="C54" s="3" t="s">
        <v>543</v>
      </c>
      <c r="D54" s="15">
        <v>169.756</v>
      </c>
      <c r="E54" s="15">
        <f>$D$26*(1.035)^(E31-2020)</f>
        <v>175.69745999999998</v>
      </c>
      <c r="F54" s="15">
        <f t="shared" ref="F54:AH54" si="47">$D$26*(1.035)^(F31-2020)</f>
        <v>181.84687109999999</v>
      </c>
      <c r="G54" s="15">
        <f t="shared" si="47"/>
        <v>188.21151158849995</v>
      </c>
      <c r="H54" s="15">
        <f t="shared" si="47"/>
        <v>194.79891449409746</v>
      </c>
      <c r="I54" s="15">
        <f t="shared" si="47"/>
        <v>201.61687650139083</v>
      </c>
      <c r="J54" s="15">
        <f t="shared" si="47"/>
        <v>208.67346717893952</v>
      </c>
      <c r="K54" s="15">
        <f t="shared" si="47"/>
        <v>215.97703853020238</v>
      </c>
      <c r="L54" s="15">
        <f t="shared" si="47"/>
        <v>223.53623487875942</v>
      </c>
      <c r="M54" s="15">
        <f t="shared" si="47"/>
        <v>231.36000309951598</v>
      </c>
      <c r="N54" s="15">
        <f t="shared" si="47"/>
        <v>239.45760320799903</v>
      </c>
      <c r="O54" s="15">
        <f t="shared" si="47"/>
        <v>247.83861932027898</v>
      </c>
      <c r="P54" s="15">
        <f t="shared" si="47"/>
        <v>256.51297099648872</v>
      </c>
      <c r="Q54" s="15">
        <f t="shared" si="47"/>
        <v>265.49092498136577</v>
      </c>
      <c r="R54" s="15">
        <f t="shared" si="47"/>
        <v>274.78310735571364</v>
      </c>
      <c r="S54" s="15">
        <f t="shared" si="47"/>
        <v>284.40051611316358</v>
      </c>
      <c r="T54" s="15">
        <f t="shared" si="47"/>
        <v>294.35453417712421</v>
      </c>
      <c r="U54" s="15">
        <f t="shared" si="47"/>
        <v>304.65694287332354</v>
      </c>
      <c r="V54" s="15">
        <f t="shared" si="47"/>
        <v>315.31993587388985</v>
      </c>
      <c r="W54" s="15">
        <f t="shared" si="47"/>
        <v>326.35613362947595</v>
      </c>
      <c r="X54" s="15">
        <f t="shared" si="47"/>
        <v>337.7785983065076</v>
      </c>
      <c r="Y54" s="15">
        <f t="shared" si="47"/>
        <v>349.60084924723532</v>
      </c>
      <c r="Z54" s="15">
        <f t="shared" si="47"/>
        <v>361.83687897088856</v>
      </c>
      <c r="AA54" s="15">
        <f t="shared" si="47"/>
        <v>374.50116973486962</v>
      </c>
      <c r="AB54" s="15">
        <f t="shared" si="47"/>
        <v>387.60871067558998</v>
      </c>
      <c r="AC54" s="15">
        <f t="shared" si="47"/>
        <v>401.17501554923558</v>
      </c>
      <c r="AD54" s="15">
        <f t="shared" si="47"/>
        <v>415.21614109345882</v>
      </c>
      <c r="AE54" s="15">
        <f t="shared" si="47"/>
        <v>429.74870603172991</v>
      </c>
      <c r="AF54" s="15">
        <f t="shared" si="47"/>
        <v>444.78991074284045</v>
      </c>
      <c r="AG54" s="15">
        <f t="shared" si="47"/>
        <v>460.35755761883973</v>
      </c>
      <c r="AH54" s="15">
        <f t="shared" si="47"/>
        <v>476.47007213549921</v>
      </c>
    </row>
    <row r="55" spans="1:34" x14ac:dyDescent="0.45">
      <c r="A55" s="34"/>
      <c r="B55" s="5" t="s">
        <v>519</v>
      </c>
      <c r="C55" s="3" t="s">
        <v>527</v>
      </c>
      <c r="D55" s="15">
        <v>1.6074287999999999</v>
      </c>
      <c r="E55" s="15">
        <f>D55+0.258</f>
        <v>1.8654287999999999</v>
      </c>
      <c r="F55" s="15">
        <f t="shared" ref="F55:K55" si="48">E55+0.258</f>
        <v>2.1234288000000001</v>
      </c>
      <c r="G55" s="15">
        <f t="shared" si="48"/>
        <v>2.3814288000000001</v>
      </c>
      <c r="H55" s="15">
        <f t="shared" si="48"/>
        <v>2.6394288000000001</v>
      </c>
      <c r="I55" s="15">
        <f t="shared" si="48"/>
        <v>2.8974288000000001</v>
      </c>
      <c r="J55" s="15">
        <f t="shared" si="48"/>
        <v>3.1554288000000001</v>
      </c>
      <c r="K55" s="15">
        <f t="shared" si="48"/>
        <v>3.4134288000000002</v>
      </c>
      <c r="L55" s="15">
        <f>K55+0.258</f>
        <v>3.6714288000000002</v>
      </c>
      <c r="M55" s="15">
        <f t="shared" ref="M55:N55" si="49">L55+0.258</f>
        <v>3.9294288000000002</v>
      </c>
      <c r="N55" s="15">
        <f t="shared" si="49"/>
        <v>4.1874288000000002</v>
      </c>
      <c r="O55" s="15">
        <f>$N$27</f>
        <v>4.1874288000000002</v>
      </c>
      <c r="P55" s="15">
        <f t="shared" ref="P55:AH55" si="50">$N$27</f>
        <v>4.1874288000000002</v>
      </c>
      <c r="Q55" s="15">
        <f t="shared" si="50"/>
        <v>4.1874288000000002</v>
      </c>
      <c r="R55" s="15">
        <f t="shared" si="50"/>
        <v>4.1874288000000002</v>
      </c>
      <c r="S55" s="15">
        <f t="shared" si="50"/>
        <v>4.1874288000000002</v>
      </c>
      <c r="T55" s="15">
        <f t="shared" si="50"/>
        <v>4.1874288000000002</v>
      </c>
      <c r="U55" s="15">
        <f t="shared" si="50"/>
        <v>4.1874288000000002</v>
      </c>
      <c r="V55" s="15">
        <f t="shared" si="50"/>
        <v>4.1874288000000002</v>
      </c>
      <c r="W55" s="15">
        <f t="shared" si="50"/>
        <v>4.1874288000000002</v>
      </c>
      <c r="X55" s="15">
        <f t="shared" si="50"/>
        <v>4.1874288000000002</v>
      </c>
      <c r="Y55" s="15">
        <f t="shared" si="50"/>
        <v>4.1874288000000002</v>
      </c>
      <c r="Z55" s="15">
        <f t="shared" si="50"/>
        <v>4.1874288000000002</v>
      </c>
      <c r="AA55" s="15">
        <f t="shared" si="50"/>
        <v>4.1874288000000002</v>
      </c>
      <c r="AB55" s="15">
        <f t="shared" si="50"/>
        <v>4.1874288000000002</v>
      </c>
      <c r="AC55" s="15">
        <f t="shared" si="50"/>
        <v>4.1874288000000002</v>
      </c>
      <c r="AD55" s="15">
        <f t="shared" si="50"/>
        <v>4.1874288000000002</v>
      </c>
      <c r="AE55" s="15">
        <f t="shared" si="50"/>
        <v>4.1874288000000002</v>
      </c>
      <c r="AF55" s="15">
        <f t="shared" si="50"/>
        <v>4.1874288000000002</v>
      </c>
      <c r="AG55" s="15">
        <f t="shared" si="50"/>
        <v>4.1874288000000002</v>
      </c>
      <c r="AH55" s="15">
        <f t="shared" si="50"/>
        <v>4.1874288000000002</v>
      </c>
    </row>
    <row r="57" spans="1:34" x14ac:dyDescent="0.45">
      <c r="B57" s="25" t="s">
        <v>570</v>
      </c>
    </row>
    <row r="59" spans="1:34" x14ac:dyDescent="0.45">
      <c r="A59" s="3" t="s">
        <v>260</v>
      </c>
      <c r="B59" s="5" t="s">
        <v>546</v>
      </c>
      <c r="C59" s="3" t="s">
        <v>205</v>
      </c>
      <c r="D59" s="3">
        <v>2020</v>
      </c>
      <c r="E59" s="3">
        <v>2021</v>
      </c>
      <c r="F59" s="3">
        <v>2022</v>
      </c>
      <c r="G59" s="3">
        <v>2023</v>
      </c>
      <c r="H59" s="3">
        <v>2024</v>
      </c>
      <c r="I59" s="3">
        <v>2025</v>
      </c>
      <c r="J59" s="3">
        <v>2026</v>
      </c>
      <c r="K59" s="3">
        <v>2027</v>
      </c>
      <c r="L59" s="3">
        <v>2028</v>
      </c>
      <c r="M59" s="3">
        <v>2029</v>
      </c>
      <c r="N59" s="3">
        <v>2030</v>
      </c>
      <c r="O59" s="3">
        <v>2031</v>
      </c>
      <c r="P59" s="3">
        <v>2032</v>
      </c>
      <c r="Q59" s="3">
        <v>2033</v>
      </c>
      <c r="R59" s="3">
        <v>2034</v>
      </c>
      <c r="S59" s="3">
        <v>2035</v>
      </c>
      <c r="T59" s="3">
        <v>2036</v>
      </c>
      <c r="U59" s="3">
        <v>2037</v>
      </c>
      <c r="V59" s="3">
        <v>2038</v>
      </c>
      <c r="W59" s="3">
        <v>2039</v>
      </c>
      <c r="X59" s="3">
        <v>2040</v>
      </c>
      <c r="Y59" s="3">
        <v>2041</v>
      </c>
      <c r="Z59" s="3">
        <v>2042</v>
      </c>
      <c r="AA59" s="3">
        <v>2043</v>
      </c>
      <c r="AB59" s="3">
        <v>2044</v>
      </c>
      <c r="AC59" s="3">
        <v>2045</v>
      </c>
      <c r="AD59" s="3">
        <v>2046</v>
      </c>
      <c r="AE59" s="3">
        <v>2047</v>
      </c>
      <c r="AF59" s="3">
        <v>2048</v>
      </c>
      <c r="AG59" s="3">
        <v>2049</v>
      </c>
      <c r="AH59" s="3">
        <v>2050</v>
      </c>
    </row>
    <row r="60" spans="1:34" x14ac:dyDescent="0.45">
      <c r="A60" s="34" t="s">
        <v>516</v>
      </c>
      <c r="B60" s="4" t="s">
        <v>370</v>
      </c>
      <c r="C60" s="3" t="s">
        <v>520</v>
      </c>
      <c r="D60" s="15">
        <v>64.597999999999999</v>
      </c>
      <c r="E60" s="15">
        <f>$D$4*(1.033)^(E59-2020)</f>
        <v>66.729733999999993</v>
      </c>
      <c r="F60" s="15">
        <f t="shared" ref="F60:AH60" si="51">$D$4*(1.033)^(F59-2020)</f>
        <v>68.931815221999983</v>
      </c>
      <c r="G60" s="15">
        <f t="shared" si="51"/>
        <v>71.206565124325977</v>
      </c>
      <c r="H60" s="15">
        <f t="shared" si="51"/>
        <v>73.556381773428726</v>
      </c>
      <c r="I60" s="15">
        <f t="shared" si="51"/>
        <v>75.983742371951877</v>
      </c>
      <c r="J60" s="15">
        <f t="shared" si="51"/>
        <v>78.491205870226267</v>
      </c>
      <c r="K60" s="15">
        <f t="shared" si="51"/>
        <v>81.08141566394373</v>
      </c>
      <c r="L60" s="15">
        <f t="shared" si="51"/>
        <v>83.757102380853851</v>
      </c>
      <c r="M60" s="15">
        <f t="shared" si="51"/>
        <v>86.521086759422033</v>
      </c>
      <c r="N60" s="15">
        <f t="shared" si="51"/>
        <v>89.376282622482933</v>
      </c>
      <c r="O60" s="15">
        <f t="shared" si="51"/>
        <v>92.32569994902488</v>
      </c>
      <c r="P60" s="15">
        <f t="shared" si="51"/>
        <v>95.372448047342687</v>
      </c>
      <c r="Q60" s="15">
        <f t="shared" si="51"/>
        <v>98.519738832904977</v>
      </c>
      <c r="R60" s="15">
        <f t="shared" si="51"/>
        <v>101.77089021439083</v>
      </c>
      <c r="S60" s="15">
        <f t="shared" si="51"/>
        <v>105.12932959146572</v>
      </c>
      <c r="T60" s="15">
        <f t="shared" si="51"/>
        <v>108.59859746798406</v>
      </c>
      <c r="U60" s="15">
        <f t="shared" si="51"/>
        <v>112.18235118442753</v>
      </c>
      <c r="V60" s="15">
        <f t="shared" si="51"/>
        <v>115.88436877351361</v>
      </c>
      <c r="W60" s="15">
        <f t="shared" si="51"/>
        <v>119.70855294303956</v>
      </c>
      <c r="X60" s="15">
        <f t="shared" si="51"/>
        <v>123.65893519015985</v>
      </c>
      <c r="Y60" s="15">
        <f t="shared" si="51"/>
        <v>127.73968005143513</v>
      </c>
      <c r="Z60" s="15">
        <f t="shared" si="51"/>
        <v>131.95508949313245</v>
      </c>
      <c r="AA60" s="15">
        <f t="shared" si="51"/>
        <v>136.30960744640581</v>
      </c>
      <c r="AB60" s="15">
        <f t="shared" si="51"/>
        <v>140.80782449213717</v>
      </c>
      <c r="AC60" s="15">
        <f t="shared" si="51"/>
        <v>145.4544827003777</v>
      </c>
      <c r="AD60" s="15">
        <f t="shared" si="51"/>
        <v>150.25448062949013</v>
      </c>
      <c r="AE60" s="15">
        <f t="shared" si="51"/>
        <v>155.21287849026331</v>
      </c>
      <c r="AF60" s="15">
        <f t="shared" si="51"/>
        <v>160.33490348044197</v>
      </c>
      <c r="AG60" s="15">
        <f t="shared" si="51"/>
        <v>165.62595529529654</v>
      </c>
      <c r="AH60" s="15">
        <f t="shared" si="51"/>
        <v>171.09161182004129</v>
      </c>
    </row>
    <row r="61" spans="1:34" x14ac:dyDescent="0.45">
      <c r="A61" s="34"/>
      <c r="B61" s="4" t="s">
        <v>371</v>
      </c>
      <c r="C61" s="3" t="s">
        <v>521</v>
      </c>
      <c r="D61" s="15">
        <v>28.931999999999999</v>
      </c>
      <c r="E61" s="15">
        <f>$D$5*(1.033)^(E59-2020)</f>
        <v>29.886755999999995</v>
      </c>
      <c r="F61" s="15">
        <f t="shared" ref="F61:AH61" si="52">$D$5*(1.033)^(F59-2020)</f>
        <v>30.873018947999991</v>
      </c>
      <c r="G61" s="15">
        <f t="shared" si="52"/>
        <v>31.891828573283991</v>
      </c>
      <c r="H61" s="15">
        <f t="shared" si="52"/>
        <v>32.944258916202358</v>
      </c>
      <c r="I61" s="15">
        <f t="shared" si="52"/>
        <v>34.031419460437036</v>
      </c>
      <c r="J61" s="15">
        <f t="shared" si="52"/>
        <v>35.154456302631445</v>
      </c>
      <c r="K61" s="15">
        <f t="shared" si="52"/>
        <v>36.314553360618284</v>
      </c>
      <c r="L61" s="15">
        <f t="shared" si="52"/>
        <v>37.512933621518677</v>
      </c>
      <c r="M61" s="15">
        <f t="shared" si="52"/>
        <v>38.750860431028791</v>
      </c>
      <c r="N61" s="15">
        <f t="shared" si="52"/>
        <v>40.029638825252732</v>
      </c>
      <c r="O61" s="15">
        <f t="shared" si="52"/>
        <v>41.350616906486081</v>
      </c>
      <c r="P61" s="15">
        <f t="shared" si="52"/>
        <v>42.715187264400107</v>
      </c>
      <c r="Q61" s="15">
        <f t="shared" si="52"/>
        <v>44.124788444125308</v>
      </c>
      <c r="R61" s="15">
        <f t="shared" si="52"/>
        <v>45.580906462781435</v>
      </c>
      <c r="S61" s="15">
        <f t="shared" si="52"/>
        <v>47.085076376053223</v>
      </c>
      <c r="T61" s="15">
        <f t="shared" si="52"/>
        <v>48.638883896462971</v>
      </c>
      <c r="U61" s="15">
        <f t="shared" si="52"/>
        <v>50.243967065046242</v>
      </c>
      <c r="V61" s="15">
        <f t="shared" si="52"/>
        <v>51.90201797819276</v>
      </c>
      <c r="W61" s="15">
        <f t="shared" si="52"/>
        <v>53.614784571473123</v>
      </c>
      <c r="X61" s="15">
        <f t="shared" si="52"/>
        <v>55.384072462331723</v>
      </c>
      <c r="Y61" s="15">
        <f t="shared" si="52"/>
        <v>57.211746853588672</v>
      </c>
      <c r="Z61" s="15">
        <f t="shared" si="52"/>
        <v>59.099734499757083</v>
      </c>
      <c r="AA61" s="15">
        <f t="shared" si="52"/>
        <v>61.050025738249062</v>
      </c>
      <c r="AB61" s="15">
        <f t="shared" si="52"/>
        <v>63.064676587611267</v>
      </c>
      <c r="AC61" s="15">
        <f t="shared" si="52"/>
        <v>65.145810915002443</v>
      </c>
      <c r="AD61" s="15">
        <f t="shared" si="52"/>
        <v>67.295622675197507</v>
      </c>
      <c r="AE61" s="15">
        <f t="shared" si="52"/>
        <v>69.516378223479023</v>
      </c>
      <c r="AF61" s="15">
        <f t="shared" si="52"/>
        <v>71.810418704853817</v>
      </c>
      <c r="AG61" s="15">
        <f t="shared" si="52"/>
        <v>74.180162522113989</v>
      </c>
      <c r="AH61" s="15">
        <f t="shared" si="52"/>
        <v>76.628107885343738</v>
      </c>
    </row>
    <row r="62" spans="1:34" x14ac:dyDescent="0.45">
      <c r="A62" s="34"/>
      <c r="B62" s="4" t="s">
        <v>372</v>
      </c>
      <c r="C62" s="3" t="s">
        <v>522</v>
      </c>
      <c r="D62" s="15">
        <v>23.777000000000001</v>
      </c>
      <c r="E62" s="15">
        <f>$D$6*(1.033)^(E59-2020)</f>
        <v>24.561640999999998</v>
      </c>
      <c r="F62" s="15">
        <f t="shared" ref="F62:AH62" si="53">$D$6*(1.033)^(F59-2020)</f>
        <v>25.372175152999993</v>
      </c>
      <c r="G62" s="15">
        <f t="shared" si="53"/>
        <v>26.209456933048994</v>
      </c>
      <c r="H62" s="15">
        <f t="shared" si="53"/>
        <v>27.074369011839607</v>
      </c>
      <c r="I62" s="15">
        <f t="shared" si="53"/>
        <v>27.967823189230312</v>
      </c>
      <c r="J62" s="15">
        <f t="shared" si="53"/>
        <v>28.890761354474908</v>
      </c>
      <c r="K62" s="15">
        <f t="shared" si="53"/>
        <v>29.844156479172579</v>
      </c>
      <c r="L62" s="15">
        <f t="shared" si="53"/>
        <v>30.829013642985267</v>
      </c>
      <c r="M62" s="15">
        <f t="shared" si="53"/>
        <v>31.846371093203778</v>
      </c>
      <c r="N62" s="15">
        <f t="shared" si="53"/>
        <v>32.897301339279494</v>
      </c>
      <c r="O62" s="15">
        <f t="shared" si="53"/>
        <v>33.98291228347572</v>
      </c>
      <c r="P62" s="15">
        <f t="shared" si="53"/>
        <v>35.104348388830417</v>
      </c>
      <c r="Q62" s="15">
        <f t="shared" si="53"/>
        <v>36.262791885661812</v>
      </c>
      <c r="R62" s="15">
        <f t="shared" si="53"/>
        <v>37.459464017888649</v>
      </c>
      <c r="S62" s="15">
        <f t="shared" si="53"/>
        <v>38.695626330478966</v>
      </c>
      <c r="T62" s="15">
        <f t="shared" si="53"/>
        <v>39.972581999384772</v>
      </c>
      <c r="U62" s="15">
        <f t="shared" si="53"/>
        <v>41.291677205364465</v>
      </c>
      <c r="V62" s="15">
        <f t="shared" si="53"/>
        <v>42.654302553141484</v>
      </c>
      <c r="W62" s="15">
        <f t="shared" si="53"/>
        <v>44.061894537395155</v>
      </c>
      <c r="X62" s="15">
        <f t="shared" si="53"/>
        <v>45.515937057129186</v>
      </c>
      <c r="Y62" s="15">
        <f t="shared" si="53"/>
        <v>47.017962980014445</v>
      </c>
      <c r="Z62" s="15">
        <f t="shared" si="53"/>
        <v>48.569555758354909</v>
      </c>
      <c r="AA62" s="15">
        <f t="shared" si="53"/>
        <v>50.172351098380624</v>
      </c>
      <c r="AB62" s="15">
        <f t="shared" si="53"/>
        <v>51.828038684627167</v>
      </c>
      <c r="AC62" s="15">
        <f t="shared" si="53"/>
        <v>53.538363961219865</v>
      </c>
      <c r="AD62" s="15">
        <f t="shared" si="53"/>
        <v>55.305129971940104</v>
      </c>
      <c r="AE62" s="15">
        <f t="shared" si="53"/>
        <v>57.130199261014134</v>
      </c>
      <c r="AF62" s="15">
        <f t="shared" si="53"/>
        <v>59.015495836627586</v>
      </c>
      <c r="AG62" s="15">
        <f t="shared" si="53"/>
        <v>60.963007199236294</v>
      </c>
      <c r="AH62" s="15">
        <f t="shared" si="53"/>
        <v>62.97478643681108</v>
      </c>
    </row>
    <row r="63" spans="1:34" x14ac:dyDescent="0.45">
      <c r="A63" s="34"/>
      <c r="B63" s="4" t="s">
        <v>373</v>
      </c>
      <c r="C63" s="3" t="s">
        <v>523</v>
      </c>
      <c r="D63" s="15">
        <v>17.762</v>
      </c>
      <c r="E63" s="15">
        <f>$D$7*(1.033)^(E59-2020)</f>
        <v>18.348146</v>
      </c>
      <c r="F63" s="15">
        <f t="shared" ref="F63:AH63" si="54">$D$7*(1.033)^(F59-2020)</f>
        <v>18.953634817999994</v>
      </c>
      <c r="G63" s="15">
        <f t="shared" si="54"/>
        <v>19.579104766993996</v>
      </c>
      <c r="H63" s="15">
        <f t="shared" si="54"/>
        <v>20.225215224304794</v>
      </c>
      <c r="I63" s="15">
        <f t="shared" si="54"/>
        <v>20.89264732670685</v>
      </c>
      <c r="J63" s="15">
        <f t="shared" si="54"/>
        <v>21.582104688488172</v>
      </c>
      <c r="K63" s="15">
        <f t="shared" si="54"/>
        <v>22.294314143208283</v>
      </c>
      <c r="L63" s="15">
        <f t="shared" si="54"/>
        <v>23.030026509934149</v>
      </c>
      <c r="M63" s="15">
        <f t="shared" si="54"/>
        <v>23.790017384761978</v>
      </c>
      <c r="N63" s="15">
        <f t="shared" si="54"/>
        <v>24.575087958459115</v>
      </c>
      <c r="O63" s="15">
        <f t="shared" si="54"/>
        <v>25.386065861088269</v>
      </c>
      <c r="P63" s="15">
        <f t="shared" si="54"/>
        <v>26.223806034504175</v>
      </c>
      <c r="Q63" s="15">
        <f t="shared" si="54"/>
        <v>27.089191633642812</v>
      </c>
      <c r="R63" s="15">
        <f t="shared" si="54"/>
        <v>27.98313495755302</v>
      </c>
      <c r="S63" s="15">
        <f t="shared" si="54"/>
        <v>28.906578411152267</v>
      </c>
      <c r="T63" s="15">
        <f t="shared" si="54"/>
        <v>29.860495498720287</v>
      </c>
      <c r="U63" s="15">
        <f t="shared" si="54"/>
        <v>30.845891850178052</v>
      </c>
      <c r="V63" s="15">
        <f t="shared" si="54"/>
        <v>31.863806281233924</v>
      </c>
      <c r="W63" s="15">
        <f t="shared" si="54"/>
        <v>32.915311888514644</v>
      </c>
      <c r="X63" s="15">
        <f t="shared" si="54"/>
        <v>34.00151718083562</v>
      </c>
      <c r="Y63" s="15">
        <f t="shared" si="54"/>
        <v>35.123567247803194</v>
      </c>
      <c r="Z63" s="15">
        <f t="shared" si="54"/>
        <v>36.282644966980691</v>
      </c>
      <c r="AA63" s="15">
        <f t="shared" si="54"/>
        <v>37.479972250891052</v>
      </c>
      <c r="AB63" s="15">
        <f t="shared" si="54"/>
        <v>38.716811335170448</v>
      </c>
      <c r="AC63" s="15">
        <f t="shared" si="54"/>
        <v>39.994466109231077</v>
      </c>
      <c r="AD63" s="15">
        <f t="shared" si="54"/>
        <v>41.314283490835692</v>
      </c>
      <c r="AE63" s="15">
        <f t="shared" si="54"/>
        <v>42.677654846033271</v>
      </c>
      <c r="AF63" s="15">
        <f t="shared" si="54"/>
        <v>44.086017455952359</v>
      </c>
      <c r="AG63" s="15">
        <f t="shared" si="54"/>
        <v>45.540856031998786</v>
      </c>
      <c r="AH63" s="15">
        <f t="shared" si="54"/>
        <v>47.043704281054737</v>
      </c>
    </row>
    <row r="64" spans="1:34" x14ac:dyDescent="0.45">
      <c r="A64" s="34"/>
      <c r="B64" s="4" t="s">
        <v>374</v>
      </c>
      <c r="C64" s="3" t="s">
        <v>524</v>
      </c>
      <c r="D64" s="15">
        <v>10.423999999999999</v>
      </c>
      <c r="E64" s="15">
        <f>$D$8*(1.033)^(E59-2020)</f>
        <v>10.767991999999998</v>
      </c>
      <c r="F64" s="15">
        <f t="shared" ref="F64:AH64" si="55">$D$8*(1.033)^(F59-2020)</f>
        <v>11.123335735999996</v>
      </c>
      <c r="G64" s="15">
        <f t="shared" si="55"/>
        <v>11.490405815287996</v>
      </c>
      <c r="H64" s="15">
        <f t="shared" si="55"/>
        <v>11.869589207192499</v>
      </c>
      <c r="I64" s="15">
        <f t="shared" si="55"/>
        <v>12.26128565102985</v>
      </c>
      <c r="J64" s="15">
        <f t="shared" si="55"/>
        <v>12.665908077513834</v>
      </c>
      <c r="K64" s="15">
        <f t="shared" si="55"/>
        <v>13.083883044071788</v>
      </c>
      <c r="L64" s="15">
        <f t="shared" si="55"/>
        <v>13.515651184526154</v>
      </c>
      <c r="M64" s="15">
        <f t="shared" si="55"/>
        <v>13.961667673615517</v>
      </c>
      <c r="N64" s="15">
        <f t="shared" si="55"/>
        <v>14.422402706844826</v>
      </c>
      <c r="O64" s="15">
        <f t="shared" si="55"/>
        <v>14.898341996170707</v>
      </c>
      <c r="P64" s="15">
        <f t="shared" si="55"/>
        <v>15.389987282044336</v>
      </c>
      <c r="Q64" s="15">
        <f t="shared" si="55"/>
        <v>15.8978568623518</v>
      </c>
      <c r="R64" s="15">
        <f t="shared" si="55"/>
        <v>16.422486138809404</v>
      </c>
      <c r="S64" s="15">
        <f t="shared" si="55"/>
        <v>16.964428181390115</v>
      </c>
      <c r="T64" s="15">
        <f t="shared" si="55"/>
        <v>17.524254311375984</v>
      </c>
      <c r="U64" s="15">
        <f t="shared" si="55"/>
        <v>18.102554703651389</v>
      </c>
      <c r="V64" s="15">
        <f t="shared" si="55"/>
        <v>18.699939008871883</v>
      </c>
      <c r="W64" s="15">
        <f t="shared" si="55"/>
        <v>19.317036996164656</v>
      </c>
      <c r="X64" s="15">
        <f t="shared" si="55"/>
        <v>19.954499217038087</v>
      </c>
      <c r="Y64" s="15">
        <f t="shared" si="55"/>
        <v>20.612997691200341</v>
      </c>
      <c r="Z64" s="15">
        <f t="shared" si="55"/>
        <v>21.293226615009949</v>
      </c>
      <c r="AA64" s="15">
        <f t="shared" si="55"/>
        <v>21.995903093305277</v>
      </c>
      <c r="AB64" s="15">
        <f t="shared" si="55"/>
        <v>22.721767895384342</v>
      </c>
      <c r="AC64" s="15">
        <f t="shared" si="55"/>
        <v>23.47158623593203</v>
      </c>
      <c r="AD64" s="15">
        <f t="shared" si="55"/>
        <v>24.24614858171778</v>
      </c>
      <c r="AE64" s="15">
        <f t="shared" si="55"/>
        <v>25.046271484914467</v>
      </c>
      <c r="AF64" s="15">
        <f t="shared" si="55"/>
        <v>25.87279844391664</v>
      </c>
      <c r="AG64" s="15">
        <f t="shared" si="55"/>
        <v>26.726600792565886</v>
      </c>
      <c r="AH64" s="15">
        <f t="shared" si="55"/>
        <v>27.608578618720557</v>
      </c>
    </row>
    <row r="65" spans="1:34" x14ac:dyDescent="0.45">
      <c r="A65" s="34"/>
      <c r="B65" s="4" t="s">
        <v>375</v>
      </c>
      <c r="C65" s="3" t="s">
        <v>525</v>
      </c>
      <c r="D65" s="15">
        <v>12.641</v>
      </c>
      <c r="E65" s="15">
        <f>$D$9*(1.033)^(E59-2020)</f>
        <v>13.058152999999999</v>
      </c>
      <c r="F65" s="15">
        <f t="shared" ref="F65:AH65" si="56">$D$9*(1.033)^(F59-2020)</f>
        <v>13.489072048999997</v>
      </c>
      <c r="G65" s="15">
        <f t="shared" si="56"/>
        <v>13.934211426616995</v>
      </c>
      <c r="H65" s="15">
        <f t="shared" si="56"/>
        <v>14.394040403695355</v>
      </c>
      <c r="I65" s="15">
        <f t="shared" si="56"/>
        <v>14.869043737017302</v>
      </c>
      <c r="J65" s="15">
        <f t="shared" si="56"/>
        <v>15.359722180338869</v>
      </c>
      <c r="K65" s="15">
        <f t="shared" si="56"/>
        <v>15.86659301229005</v>
      </c>
      <c r="L65" s="15">
        <f t="shared" si="56"/>
        <v>16.39019058169562</v>
      </c>
      <c r="M65" s="15">
        <f t="shared" si="56"/>
        <v>16.931066870891573</v>
      </c>
      <c r="N65" s="15">
        <f t="shared" si="56"/>
        <v>17.489792077630991</v>
      </c>
      <c r="O65" s="15">
        <f t="shared" si="56"/>
        <v>18.066955216192817</v>
      </c>
      <c r="P65" s="15">
        <f t="shared" si="56"/>
        <v>18.663164738327175</v>
      </c>
      <c r="Q65" s="15">
        <f t="shared" si="56"/>
        <v>19.27904917469197</v>
      </c>
      <c r="R65" s="15">
        <f t="shared" si="56"/>
        <v>19.915257797456803</v>
      </c>
      <c r="S65" s="15">
        <f t="shared" si="56"/>
        <v>20.572461304772876</v>
      </c>
      <c r="T65" s="15">
        <f t="shared" si="56"/>
        <v>21.251352527830374</v>
      </c>
      <c r="U65" s="15">
        <f t="shared" si="56"/>
        <v>21.952647161248777</v>
      </c>
      <c r="V65" s="15">
        <f t="shared" si="56"/>
        <v>22.67708451756998</v>
      </c>
      <c r="W65" s="15">
        <f t="shared" si="56"/>
        <v>23.425428306649792</v>
      </c>
      <c r="X65" s="15">
        <f t="shared" si="56"/>
        <v>24.198467440769232</v>
      </c>
      <c r="Y65" s="15">
        <f t="shared" si="56"/>
        <v>24.997016866314613</v>
      </c>
      <c r="Z65" s="15">
        <f t="shared" si="56"/>
        <v>25.821918422902989</v>
      </c>
      <c r="AA65" s="15">
        <f t="shared" si="56"/>
        <v>26.674041730858789</v>
      </c>
      <c r="AB65" s="15">
        <f t="shared" si="56"/>
        <v>27.554285107977119</v>
      </c>
      <c r="AC65" s="15">
        <f t="shared" si="56"/>
        <v>28.463576516540368</v>
      </c>
      <c r="AD65" s="15">
        <f t="shared" si="56"/>
        <v>29.40287454158619</v>
      </c>
      <c r="AE65" s="15">
        <f t="shared" si="56"/>
        <v>30.373169401458536</v>
      </c>
      <c r="AF65" s="15">
        <f t="shared" si="56"/>
        <v>31.375483991706663</v>
      </c>
      <c r="AG65" s="15">
        <f t="shared" si="56"/>
        <v>32.410874963432981</v>
      </c>
      <c r="AH65" s="15">
        <f t="shared" si="56"/>
        <v>33.480433837226265</v>
      </c>
    </row>
    <row r="66" spans="1:34" x14ac:dyDescent="0.45">
      <c r="A66" s="34"/>
      <c r="B66" s="4" t="s">
        <v>376</v>
      </c>
      <c r="C66" s="3" t="s">
        <v>526</v>
      </c>
      <c r="D66" s="15">
        <v>18.204000000000001</v>
      </c>
      <c r="E66" s="15">
        <f>$D$10*(1.033)^(E59-2020)</f>
        <v>18.804731999999998</v>
      </c>
      <c r="F66" s="15">
        <f t="shared" ref="F66:AH66" si="57">$D$10*(1.033)^(F59-2020)</f>
        <v>19.425288155999997</v>
      </c>
      <c r="G66" s="15">
        <f t="shared" si="57"/>
        <v>20.066322665147997</v>
      </c>
      <c r="H66" s="15">
        <f t="shared" si="57"/>
        <v>20.728511313097876</v>
      </c>
      <c r="I66" s="15">
        <f t="shared" si="57"/>
        <v>21.412552186430105</v>
      </c>
      <c r="J66" s="15">
        <f t="shared" si="57"/>
        <v>22.119166408582295</v>
      </c>
      <c r="K66" s="15">
        <f t="shared" si="57"/>
        <v>22.84909890006551</v>
      </c>
      <c r="L66" s="15">
        <f t="shared" si="57"/>
        <v>23.603119163767666</v>
      </c>
      <c r="M66" s="15">
        <f t="shared" si="57"/>
        <v>24.382022096171998</v>
      </c>
      <c r="N66" s="15">
        <f t="shared" si="57"/>
        <v>25.186628825345668</v>
      </c>
      <c r="O66" s="15">
        <f t="shared" si="57"/>
        <v>26.017787576582077</v>
      </c>
      <c r="P66" s="15">
        <f t="shared" si="57"/>
        <v>26.876374566609279</v>
      </c>
      <c r="Q66" s="15">
        <f t="shared" si="57"/>
        <v>27.763294927307385</v>
      </c>
      <c r="R66" s="15">
        <f t="shared" si="57"/>
        <v>28.679483659908524</v>
      </c>
      <c r="S66" s="15">
        <f t="shared" si="57"/>
        <v>29.625906620685502</v>
      </c>
      <c r="T66" s="15">
        <f t="shared" si="57"/>
        <v>30.603561539168116</v>
      </c>
      <c r="U66" s="15">
        <f t="shared" si="57"/>
        <v>31.613479069960661</v>
      </c>
      <c r="V66" s="15">
        <f t="shared" si="57"/>
        <v>32.656723879269357</v>
      </c>
      <c r="W66" s="15">
        <f t="shared" si="57"/>
        <v>33.73439576728525</v>
      </c>
      <c r="X66" s="15">
        <f t="shared" si="57"/>
        <v>34.847630827605656</v>
      </c>
      <c r="Y66" s="15">
        <f t="shared" si="57"/>
        <v>35.99760264491664</v>
      </c>
      <c r="Z66" s="15">
        <f t="shared" si="57"/>
        <v>37.185523532198879</v>
      </c>
      <c r="AA66" s="15">
        <f t="shared" si="57"/>
        <v>38.41264580876144</v>
      </c>
      <c r="AB66" s="15">
        <f t="shared" si="57"/>
        <v>39.680263120450562</v>
      </c>
      <c r="AC66" s="15">
        <f t="shared" si="57"/>
        <v>40.989711803425429</v>
      </c>
      <c r="AD66" s="15">
        <f t="shared" si="57"/>
        <v>42.342372292938457</v>
      </c>
      <c r="AE66" s="15">
        <f t="shared" si="57"/>
        <v>43.739670578605427</v>
      </c>
      <c r="AF66" s="15">
        <f t="shared" si="57"/>
        <v>45.183079707699399</v>
      </c>
      <c r="AG66" s="15">
        <f t="shared" si="57"/>
        <v>46.674121338053475</v>
      </c>
      <c r="AH66" s="15">
        <f t="shared" si="57"/>
        <v>48.214367342209229</v>
      </c>
    </row>
    <row r="67" spans="1:34" x14ac:dyDescent="0.45">
      <c r="A67" s="34" t="s">
        <v>517</v>
      </c>
      <c r="B67" s="4" t="s">
        <v>225</v>
      </c>
      <c r="C67" s="3" t="s">
        <v>528</v>
      </c>
      <c r="D67" s="15">
        <v>56.353116116334469</v>
      </c>
      <c r="E67" s="15">
        <f>$D$11*(1.003)^(E59-2020)</f>
        <v>56.522175464683464</v>
      </c>
      <c r="F67" s="15">
        <f t="shared" ref="F67:AH67" si="58">$D$11*(1.003)^(F59-2020)</f>
        <v>56.691741991077507</v>
      </c>
      <c r="G67" s="15">
        <f t="shared" si="58"/>
        <v>56.861817217050735</v>
      </c>
      <c r="H67" s="15">
        <f t="shared" si="58"/>
        <v>57.032402668701877</v>
      </c>
      <c r="I67" s="15">
        <f t="shared" si="58"/>
        <v>57.203499876707987</v>
      </c>
      <c r="J67" s="15">
        <f t="shared" si="58"/>
        <v>57.375110376338093</v>
      </c>
      <c r="K67" s="15">
        <f t="shared" si="58"/>
        <v>57.547235707467102</v>
      </c>
      <c r="L67" s="15">
        <f t="shared" si="58"/>
        <v>57.719877414589497</v>
      </c>
      <c r="M67" s="15">
        <f t="shared" si="58"/>
        <v>57.893037046833257</v>
      </c>
      <c r="N67" s="15">
        <f t="shared" si="58"/>
        <v>58.066716157973744</v>
      </c>
      <c r="O67" s="15">
        <f t="shared" si="58"/>
        <v>58.240916306447673</v>
      </c>
      <c r="P67" s="15">
        <f t="shared" si="58"/>
        <v>58.415639055367002</v>
      </c>
      <c r="Q67" s="15">
        <f t="shared" si="58"/>
        <v>58.590885972533094</v>
      </c>
      <c r="R67" s="15">
        <f t="shared" si="58"/>
        <v>58.766658630450678</v>
      </c>
      <c r="S67" s="15">
        <f t="shared" si="58"/>
        <v>58.942958606342025</v>
      </c>
      <c r="T67" s="15">
        <f t="shared" si="58"/>
        <v>59.119787482161044</v>
      </c>
      <c r="U67" s="15">
        <f t="shared" si="58"/>
        <v>59.297146844607518</v>
      </c>
      <c r="V67" s="15">
        <f t="shared" si="58"/>
        <v>59.475038285141338</v>
      </c>
      <c r="W67" s="15">
        <f t="shared" si="58"/>
        <v>59.653463399996753</v>
      </c>
      <c r="X67" s="15">
        <f t="shared" si="58"/>
        <v>59.832423790196735</v>
      </c>
      <c r="Y67" s="15">
        <f t="shared" si="58"/>
        <v>60.011921061567321</v>
      </c>
      <c r="Z67" s="15">
        <f t="shared" si="58"/>
        <v>60.191956824752005</v>
      </c>
      <c r="AA67" s="15">
        <f t="shared" si="58"/>
        <v>60.372532695226255</v>
      </c>
      <c r="AB67" s="15">
        <f t="shared" si="58"/>
        <v>60.553650293311925</v>
      </c>
      <c r="AC67" s="15">
        <f t="shared" si="58"/>
        <v>60.735311244191855</v>
      </c>
      <c r="AD67" s="15">
        <f t="shared" si="58"/>
        <v>60.917517177924417</v>
      </c>
      <c r="AE67" s="15">
        <f t="shared" si="58"/>
        <v>61.100269729458191</v>
      </c>
      <c r="AF67" s="15">
        <f t="shared" si="58"/>
        <v>61.283570538646558</v>
      </c>
      <c r="AG67" s="15">
        <f t="shared" si="58"/>
        <v>61.46742125026249</v>
      </c>
      <c r="AH67" s="15">
        <f t="shared" si="58"/>
        <v>61.651823514013266</v>
      </c>
    </row>
    <row r="68" spans="1:34" x14ac:dyDescent="0.45">
      <c r="A68" s="34"/>
      <c r="B68" s="4" t="s">
        <v>378</v>
      </c>
      <c r="C68" s="3" t="s">
        <v>529</v>
      </c>
      <c r="D68" s="15">
        <v>0.66273088810329706</v>
      </c>
      <c r="E68" s="15">
        <f>$D$12*(1.003)^(E59-2020)</f>
        <v>0.66471908076760688</v>
      </c>
      <c r="F68" s="15">
        <f t="shared" ref="F68:AH68" si="59">$D$12*(1.003)^(F59-2020)</f>
        <v>0.66671323800990956</v>
      </c>
      <c r="G68" s="15">
        <f t="shared" si="59"/>
        <v>0.66871337772393924</v>
      </c>
      <c r="H68" s="15">
        <f t="shared" si="59"/>
        <v>0.67071951785711093</v>
      </c>
      <c r="I68" s="15">
        <f t="shared" si="59"/>
        <v>0.67273167641068232</v>
      </c>
      <c r="J68" s="15">
        <f t="shared" si="59"/>
        <v>0.67474987143991416</v>
      </c>
      <c r="K68" s="15">
        <f t="shared" si="59"/>
        <v>0.67677412105423385</v>
      </c>
      <c r="L68" s="15">
        <f t="shared" si="59"/>
        <v>0.67880444341739643</v>
      </c>
      <c r="M68" s="15">
        <f t="shared" si="59"/>
        <v>0.68084085674764849</v>
      </c>
      <c r="N68" s="15">
        <f t="shared" si="59"/>
        <v>0.68288337931789134</v>
      </c>
      <c r="O68" s="15">
        <f t="shared" si="59"/>
        <v>0.68493202945584508</v>
      </c>
      <c r="P68" s="15">
        <f t="shared" si="59"/>
        <v>0.68698682554421253</v>
      </c>
      <c r="Q68" s="15">
        <f t="shared" si="59"/>
        <v>0.68904778602084504</v>
      </c>
      <c r="R68" s="15">
        <f t="shared" si="59"/>
        <v>0.69111492937890739</v>
      </c>
      <c r="S68" s="15">
        <f t="shared" si="59"/>
        <v>0.69318827416704398</v>
      </c>
      <c r="T68" s="15">
        <f t="shared" si="59"/>
        <v>0.69526783898954503</v>
      </c>
      <c r="U68" s="15">
        <f t="shared" si="59"/>
        <v>0.69735364250651366</v>
      </c>
      <c r="V68" s="15">
        <f t="shared" si="59"/>
        <v>0.69944570343403312</v>
      </c>
      <c r="W68" s="15">
        <f t="shared" si="59"/>
        <v>0.70154404054433517</v>
      </c>
      <c r="X68" s="15">
        <f t="shared" si="59"/>
        <v>0.70364867266596809</v>
      </c>
      <c r="Y68" s="15">
        <f t="shared" si="59"/>
        <v>0.70575961868396597</v>
      </c>
      <c r="Z68" s="15">
        <f t="shared" si="59"/>
        <v>0.70787689754001759</v>
      </c>
      <c r="AA68" s="15">
        <f t="shared" si="59"/>
        <v>0.71000052823263748</v>
      </c>
      <c r="AB68" s="15">
        <f t="shared" si="59"/>
        <v>0.71213052981733538</v>
      </c>
      <c r="AC68" s="15">
        <f t="shared" si="59"/>
        <v>0.71426692140678727</v>
      </c>
      <c r="AD68" s="15">
        <f t="shared" si="59"/>
        <v>0.71640972217100751</v>
      </c>
      <c r="AE68" s="15">
        <f t="shared" si="59"/>
        <v>0.71855895133752057</v>
      </c>
      <c r="AF68" s="15">
        <f t="shared" si="59"/>
        <v>0.72071462819153309</v>
      </c>
      <c r="AG68" s="15">
        <f t="shared" si="59"/>
        <v>0.72287677207610745</v>
      </c>
      <c r="AH68" s="15">
        <f t="shared" si="59"/>
        <v>0.72504540239233572</v>
      </c>
    </row>
    <row r="69" spans="1:34" x14ac:dyDescent="0.45">
      <c r="A69" s="34"/>
      <c r="B69" s="4" t="s">
        <v>227</v>
      </c>
      <c r="C69" s="3" t="s">
        <v>530</v>
      </c>
      <c r="D69" s="15">
        <v>4.0827849386987587E-2</v>
      </c>
      <c r="E69" s="15">
        <f>$D$13*(1.003)^(E59-2020)</f>
        <v>4.0950332935148548E-2</v>
      </c>
      <c r="F69" s="15">
        <f t="shared" ref="F69:AH69" si="60">$D$13*(1.003)^(F59-2020)</f>
        <v>4.1073183933953983E-2</v>
      </c>
      <c r="G69" s="15">
        <f t="shared" si="60"/>
        <v>4.1196403485755845E-2</v>
      </c>
      <c r="H69" s="15">
        <f t="shared" si="60"/>
        <v>4.1319992696213108E-2</v>
      </c>
      <c r="I69" s="15">
        <f t="shared" si="60"/>
        <v>4.1443952674301746E-2</v>
      </c>
      <c r="J69" s="15">
        <f t="shared" si="60"/>
        <v>4.1568284532324633E-2</v>
      </c>
      <c r="K69" s="15">
        <f t="shared" si="60"/>
        <v>4.1692989385921607E-2</v>
      </c>
      <c r="L69" s="15">
        <f t="shared" si="60"/>
        <v>4.1818068354079363E-2</v>
      </c>
      <c r="M69" s="15">
        <f t="shared" si="60"/>
        <v>4.1943522559141598E-2</v>
      </c>
      <c r="N69" s="15">
        <f t="shared" si="60"/>
        <v>4.2069353126819017E-2</v>
      </c>
      <c r="O69" s="15">
        <f t="shared" si="60"/>
        <v>4.2195561186199479E-2</v>
      </c>
      <c r="P69" s="15">
        <f t="shared" si="60"/>
        <v>4.2322147869758069E-2</v>
      </c>
      <c r="Q69" s="15">
        <f t="shared" si="60"/>
        <v>4.2449114313367335E-2</v>
      </c>
      <c r="R69" s="15">
        <f t="shared" si="60"/>
        <v>4.2576461656307428E-2</v>
      </c>
      <c r="S69" s="15">
        <f t="shared" si="60"/>
        <v>4.2704191041276339E-2</v>
      </c>
      <c r="T69" s="15">
        <f t="shared" si="60"/>
        <v>4.2832303614400165E-2</v>
      </c>
      <c r="U69" s="15">
        <f t="shared" si="60"/>
        <v>4.2960800525243363E-2</v>
      </c>
      <c r="V69" s="15">
        <f t="shared" si="60"/>
        <v>4.3089682926819091E-2</v>
      </c>
      <c r="W69" s="15">
        <f t="shared" si="60"/>
        <v>4.3218951975599544E-2</v>
      </c>
      <c r="X69" s="15">
        <f t="shared" si="60"/>
        <v>4.3348608831526331E-2</v>
      </c>
      <c r="Y69" s="15">
        <f t="shared" si="60"/>
        <v>4.3478654658020907E-2</v>
      </c>
      <c r="Z69" s="15">
        <f t="shared" si="60"/>
        <v>4.3609090621994959E-2</v>
      </c>
      <c r="AA69" s="15">
        <f t="shared" si="60"/>
        <v>4.373991789386094E-2</v>
      </c>
      <c r="AB69" s="15">
        <f t="shared" si="60"/>
        <v>4.3871137647542517E-2</v>
      </c>
      <c r="AC69" s="15">
        <f t="shared" si="60"/>
        <v>4.4002751060485137E-2</v>
      </c>
      <c r="AD69" s="15">
        <f t="shared" si="60"/>
        <v>4.4134759313666581E-2</v>
      </c>
      <c r="AE69" s="15">
        <f t="shared" si="60"/>
        <v>4.4267163591607588E-2</v>
      </c>
      <c r="AF69" s="15">
        <f t="shared" si="60"/>
        <v>4.4399965082382406E-2</v>
      </c>
      <c r="AG69" s="15">
        <f t="shared" si="60"/>
        <v>4.453316497762954E-2</v>
      </c>
      <c r="AH69" s="15">
        <f t="shared" si="60"/>
        <v>4.4666764472562424E-2</v>
      </c>
    </row>
    <row r="70" spans="1:34" x14ac:dyDescent="0.45">
      <c r="A70" s="34"/>
      <c r="B70" s="4" t="s">
        <v>228</v>
      </c>
      <c r="C70" s="3" t="s">
        <v>531</v>
      </c>
      <c r="D70" s="15">
        <v>12.129825967055282</v>
      </c>
      <c r="E70" s="15">
        <f>$D$14*(1.003)^(E59-2020)</f>
        <v>12.166215444956446</v>
      </c>
      <c r="F70" s="15">
        <f t="shared" ref="F70:AH70" si="61">$D$14*(1.003)^(F59-2020)</f>
        <v>12.202714091291314</v>
      </c>
      <c r="G70" s="15">
        <f t="shared" si="61"/>
        <v>12.239322233565188</v>
      </c>
      <c r="H70" s="15">
        <f t="shared" si="61"/>
        <v>12.27604020026588</v>
      </c>
      <c r="I70" s="15">
        <f t="shared" si="61"/>
        <v>12.312868320866679</v>
      </c>
      <c r="J70" s="15">
        <f t="shared" si="61"/>
        <v>12.349806925829274</v>
      </c>
      <c r="K70" s="15">
        <f t="shared" si="61"/>
        <v>12.386856346606761</v>
      </c>
      <c r="L70" s="15">
        <f t="shared" si="61"/>
        <v>12.424016915646581</v>
      </c>
      <c r="M70" s="15">
        <f t="shared" si="61"/>
        <v>12.461288966393518</v>
      </c>
      <c r="N70" s="15">
        <f t="shared" si="61"/>
        <v>12.498672833292696</v>
      </c>
      <c r="O70" s="15">
        <f t="shared" si="61"/>
        <v>12.536168851792576</v>
      </c>
      <c r="P70" s="15">
        <f t="shared" si="61"/>
        <v>12.57377735834795</v>
      </c>
      <c r="Q70" s="15">
        <f t="shared" si="61"/>
        <v>12.611498690422993</v>
      </c>
      <c r="R70" s="15">
        <f t="shared" si="61"/>
        <v>12.649333186494259</v>
      </c>
      <c r="S70" s="15">
        <f t="shared" si="61"/>
        <v>12.68728118605374</v>
      </c>
      <c r="T70" s="15">
        <f t="shared" si="61"/>
        <v>12.725343029611899</v>
      </c>
      <c r="U70" s="15">
        <f t="shared" si="61"/>
        <v>12.763519058700734</v>
      </c>
      <c r="V70" s="15">
        <f t="shared" si="61"/>
        <v>12.801809615876834</v>
      </c>
      <c r="W70" s="15">
        <f t="shared" si="61"/>
        <v>12.840215044724465</v>
      </c>
      <c r="X70" s="15">
        <f t="shared" si="61"/>
        <v>12.878735689858635</v>
      </c>
      <c r="Y70" s="15">
        <f t="shared" si="61"/>
        <v>12.917371896928211</v>
      </c>
      <c r="Z70" s="15">
        <f t="shared" si="61"/>
        <v>12.956124012618991</v>
      </c>
      <c r="AA70" s="15">
        <f t="shared" si="61"/>
        <v>12.994992384656847</v>
      </c>
      <c r="AB70" s="15">
        <f t="shared" si="61"/>
        <v>13.033977361810816</v>
      </c>
      <c r="AC70" s="15">
        <f t="shared" si="61"/>
        <v>13.073079293896248</v>
      </c>
      <c r="AD70" s="15">
        <f t="shared" si="61"/>
        <v>13.112298531777933</v>
      </c>
      <c r="AE70" s="15">
        <f t="shared" si="61"/>
        <v>13.151635427373266</v>
      </c>
      <c r="AF70" s="15">
        <f t="shared" si="61"/>
        <v>13.191090333655385</v>
      </c>
      <c r="AG70" s="15">
        <f t="shared" si="61"/>
        <v>13.23066360465635</v>
      </c>
      <c r="AH70" s="15">
        <f t="shared" si="61"/>
        <v>13.270355595470315</v>
      </c>
    </row>
    <row r="71" spans="1:34" x14ac:dyDescent="0.45">
      <c r="A71" s="34"/>
      <c r="B71" s="4" t="s">
        <v>229</v>
      </c>
      <c r="C71" s="3" t="s">
        <v>532</v>
      </c>
      <c r="D71" s="15">
        <v>22.098979206468599</v>
      </c>
      <c r="E71" s="15">
        <f>$D$15*(1.003)^(E59-2020)</f>
        <v>22.165276144088001</v>
      </c>
      <c r="F71" s="15">
        <f t="shared" ref="F71:AH71" si="62">$D$15*(1.003)^(F59-2020)</f>
        <v>22.231771972520264</v>
      </c>
      <c r="G71" s="15">
        <f t="shared" si="62"/>
        <v>22.298467288437823</v>
      </c>
      <c r="H71" s="15">
        <f t="shared" si="62"/>
        <v>22.365362690303133</v>
      </c>
      <c r="I71" s="15">
        <f t="shared" si="62"/>
        <v>22.432458778374041</v>
      </c>
      <c r="J71" s="15">
        <f t="shared" si="62"/>
        <v>22.499756154709157</v>
      </c>
      <c r="K71" s="15">
        <f t="shared" si="62"/>
        <v>22.567255423173282</v>
      </c>
      <c r="L71" s="15">
        <f t="shared" si="62"/>
        <v>22.634957189442797</v>
      </c>
      <c r="M71" s="15">
        <f t="shared" si="62"/>
        <v>22.702862061011125</v>
      </c>
      <c r="N71" s="15">
        <f t="shared" si="62"/>
        <v>22.770970647194151</v>
      </c>
      <c r="O71" s="15">
        <f t="shared" si="62"/>
        <v>22.839283559135737</v>
      </c>
      <c r="P71" s="15">
        <f t="shared" si="62"/>
        <v>22.907801409813139</v>
      </c>
      <c r="Q71" s="15">
        <f t="shared" si="62"/>
        <v>22.976524814042577</v>
      </c>
      <c r="R71" s="15">
        <f t="shared" si="62"/>
        <v>23.045454388484696</v>
      </c>
      <c r="S71" s="15">
        <f t="shared" si="62"/>
        <v>23.114590751650148</v>
      </c>
      <c r="T71" s="15">
        <f t="shared" si="62"/>
        <v>23.183934523905098</v>
      </c>
      <c r="U71" s="15">
        <f t="shared" si="62"/>
        <v>23.253486327476811</v>
      </c>
      <c r="V71" s="15">
        <f t="shared" si="62"/>
        <v>23.323246786459237</v>
      </c>
      <c r="W71" s="15">
        <f t="shared" si="62"/>
        <v>23.393216526818613</v>
      </c>
      <c r="X71" s="15">
        <f t="shared" si="62"/>
        <v>23.463396176399065</v>
      </c>
      <c r="Y71" s="15">
        <f t="shared" si="62"/>
        <v>23.533786364928261</v>
      </c>
      <c r="Z71" s="15">
        <f t="shared" si="62"/>
        <v>23.604387724023042</v>
      </c>
      <c r="AA71" s="15">
        <f t="shared" si="62"/>
        <v>23.675200887195103</v>
      </c>
      <c r="AB71" s="15">
        <f t="shared" si="62"/>
        <v>23.746226489856689</v>
      </c>
      <c r="AC71" s="15">
        <f t="shared" si="62"/>
        <v>23.817465169326255</v>
      </c>
      <c r="AD71" s="15">
        <f t="shared" si="62"/>
        <v>23.88891756483423</v>
      </c>
      <c r="AE71" s="15">
        <f t="shared" si="62"/>
        <v>23.960584317528731</v>
      </c>
      <c r="AF71" s="15">
        <f t="shared" si="62"/>
        <v>24.032466070481316</v>
      </c>
      <c r="AG71" s="15">
        <f t="shared" si="62"/>
        <v>24.104563468692756</v>
      </c>
      <c r="AH71" s="15">
        <f t="shared" si="62"/>
        <v>24.176877159098829</v>
      </c>
    </row>
    <row r="72" spans="1:34" x14ac:dyDescent="0.45">
      <c r="A72" s="34"/>
      <c r="B72" s="4" t="s">
        <v>230</v>
      </c>
      <c r="C72" s="3" t="s">
        <v>533</v>
      </c>
      <c r="D72" s="15">
        <v>0.12580815123480002</v>
      </c>
      <c r="E72" s="15">
        <f>$D$16*(1.003)^(E59-2020)</f>
        <v>0.12618557568850441</v>
      </c>
      <c r="F72" s="15">
        <f t="shared" ref="F72:AH72" si="63">$D$16*(1.003)^(F59-2020)</f>
        <v>0.12656413241556991</v>
      </c>
      <c r="G72" s="15">
        <f t="shared" si="63"/>
        <v>0.1269438248128166</v>
      </c>
      <c r="H72" s="15">
        <f t="shared" si="63"/>
        <v>0.12732465628725503</v>
      </c>
      <c r="I72" s="15">
        <f t="shared" si="63"/>
        <v>0.12770663025611678</v>
      </c>
      <c r="J72" s="15">
        <f t="shared" si="63"/>
        <v>0.12808975014688509</v>
      </c>
      <c r="K72" s="15">
        <f t="shared" si="63"/>
        <v>0.12847401939732575</v>
      </c>
      <c r="L72" s="15">
        <f t="shared" si="63"/>
        <v>0.1288594414555177</v>
      </c>
      <c r="M72" s="15">
        <f t="shared" si="63"/>
        <v>0.12924601977988423</v>
      </c>
      <c r="N72" s="15">
        <f t="shared" si="63"/>
        <v>0.12963375783922387</v>
      </c>
      <c r="O72" s="15">
        <f t="shared" si="63"/>
        <v>0.13002265911274155</v>
      </c>
      <c r="P72" s="15">
        <f t="shared" si="63"/>
        <v>0.13041272709007976</v>
      </c>
      <c r="Q72" s="15">
        <f t="shared" si="63"/>
        <v>0.13080396527134996</v>
      </c>
      <c r="R72" s="15">
        <f t="shared" si="63"/>
        <v>0.13119637716716398</v>
      </c>
      <c r="S72" s="15">
        <f t="shared" si="63"/>
        <v>0.13158996629866546</v>
      </c>
      <c r="T72" s="15">
        <f t="shared" si="63"/>
        <v>0.13198473619756146</v>
      </c>
      <c r="U72" s="15">
        <f t="shared" si="63"/>
        <v>0.13238069040615413</v>
      </c>
      <c r="V72" s="15">
        <f t="shared" si="63"/>
        <v>0.13277783247737257</v>
      </c>
      <c r="W72" s="15">
        <f t="shared" si="63"/>
        <v>0.13317616597480467</v>
      </c>
      <c r="X72" s="15">
        <f t="shared" si="63"/>
        <v>0.13357569447272907</v>
      </c>
      <c r="Y72" s="15">
        <f t="shared" si="63"/>
        <v>0.13397642155614725</v>
      </c>
      <c r="Z72" s="15">
        <f t="shared" si="63"/>
        <v>0.13437835082081565</v>
      </c>
      <c r="AA72" s="15">
        <f t="shared" si="63"/>
        <v>0.13478148587327807</v>
      </c>
      <c r="AB72" s="15">
        <f t="shared" si="63"/>
        <v>0.1351858303308979</v>
      </c>
      <c r="AC72" s="15">
        <f t="shared" si="63"/>
        <v>0.13559138782189059</v>
      </c>
      <c r="AD72" s="15">
        <f t="shared" si="63"/>
        <v>0.13599816198535622</v>
      </c>
      <c r="AE72" s="15">
        <f t="shared" si="63"/>
        <v>0.1364061564713123</v>
      </c>
      <c r="AF72" s="15">
        <f t="shared" si="63"/>
        <v>0.13681537494072621</v>
      </c>
      <c r="AG72" s="15">
        <f t="shared" si="63"/>
        <v>0.13722582106554837</v>
      </c>
      <c r="AH72" s="15">
        <f t="shared" si="63"/>
        <v>0.13763749852874499</v>
      </c>
    </row>
    <row r="73" spans="1:34" x14ac:dyDescent="0.45">
      <c r="A73" s="34"/>
      <c r="B73" s="4" t="s">
        <v>379</v>
      </c>
      <c r="C73" s="3" t="s">
        <v>534</v>
      </c>
      <c r="D73" s="15">
        <v>0.29641995677573019</v>
      </c>
      <c r="E73" s="15">
        <f>$D$17*(1.003)^(E59-2020)</f>
        <v>0.29730921664605736</v>
      </c>
      <c r="F73" s="15">
        <f t="shared" ref="F73:AH73" si="64">$D$17*(1.003)^(F59-2020)</f>
        <v>0.29820114429599548</v>
      </c>
      <c r="G73" s="15">
        <f t="shared" si="64"/>
        <v>0.29909574772888342</v>
      </c>
      <c r="H73" s="15">
        <f t="shared" si="64"/>
        <v>0.29999303497207003</v>
      </c>
      <c r="I73" s="15">
        <f t="shared" si="64"/>
        <v>0.30089301407698626</v>
      </c>
      <c r="J73" s="15">
        <f t="shared" si="64"/>
        <v>0.30179569311921711</v>
      </c>
      <c r="K73" s="15">
        <f t="shared" si="64"/>
        <v>0.30270108019857472</v>
      </c>
      <c r="L73" s="15">
        <f t="shared" si="64"/>
        <v>0.30360918343917043</v>
      </c>
      <c r="M73" s="15">
        <f t="shared" si="64"/>
        <v>0.30452001098948789</v>
      </c>
      <c r="N73" s="15">
        <f t="shared" si="64"/>
        <v>0.30543357102245627</v>
      </c>
      <c r="O73" s="15">
        <f t="shared" si="64"/>
        <v>0.30634987173552369</v>
      </c>
      <c r="P73" s="15">
        <f t="shared" si="64"/>
        <v>0.3072689213507302</v>
      </c>
      <c r="Q73" s="15">
        <f t="shared" si="64"/>
        <v>0.30819072811478238</v>
      </c>
      <c r="R73" s="15">
        <f t="shared" si="64"/>
        <v>0.30911530029912659</v>
      </c>
      <c r="S73" s="15">
        <f t="shared" si="64"/>
        <v>0.31004264620002397</v>
      </c>
      <c r="T73" s="15">
        <f t="shared" si="64"/>
        <v>0.31097277413862401</v>
      </c>
      <c r="U73" s="15">
        <f t="shared" si="64"/>
        <v>0.31190569246103983</v>
      </c>
      <c r="V73" s="15">
        <f t="shared" si="64"/>
        <v>0.31284140953842293</v>
      </c>
      <c r="W73" s="15">
        <f t="shared" si="64"/>
        <v>0.31377993376703817</v>
      </c>
      <c r="X73" s="15">
        <f t="shared" si="64"/>
        <v>0.31472127356833923</v>
      </c>
      <c r="Y73" s="15">
        <f t="shared" si="64"/>
        <v>0.31566543738904423</v>
      </c>
      <c r="Z73" s="15">
        <f t="shared" si="64"/>
        <v>0.31661243370121128</v>
      </c>
      <c r="AA73" s="15">
        <f t="shared" si="64"/>
        <v>0.31756227100231482</v>
      </c>
      <c r="AB73" s="15">
        <f t="shared" si="64"/>
        <v>0.31851495781532174</v>
      </c>
      <c r="AC73" s="15">
        <f t="shared" si="64"/>
        <v>0.3194705026887677</v>
      </c>
      <c r="AD73" s="15">
        <f t="shared" si="64"/>
        <v>0.32042891419683395</v>
      </c>
      <c r="AE73" s="15">
        <f t="shared" si="64"/>
        <v>0.32139020093942444</v>
      </c>
      <c r="AF73" s="15">
        <f t="shared" si="64"/>
        <v>0.32235437154224267</v>
      </c>
      <c r="AG73" s="15">
        <f t="shared" si="64"/>
        <v>0.32332143465686936</v>
      </c>
      <c r="AH73" s="15">
        <f t="shared" si="64"/>
        <v>0.32429139896083992</v>
      </c>
    </row>
    <row r="74" spans="1:34" x14ac:dyDescent="0.45">
      <c r="A74" s="34"/>
      <c r="B74" s="4" t="s">
        <v>380</v>
      </c>
      <c r="C74" s="3" t="s">
        <v>535</v>
      </c>
      <c r="D74" s="15">
        <v>0.17559585207471479</v>
      </c>
      <c r="E74" s="15">
        <f>$D$18*(1.003)^(E59-2020)</f>
        <v>0.17612263963093891</v>
      </c>
      <c r="F74" s="15">
        <f t="shared" ref="F74:AH74" si="65">$D$18*(1.003)^(F59-2020)</f>
        <v>0.17665100754983171</v>
      </c>
      <c r="G74" s="15">
        <f t="shared" si="65"/>
        <v>0.1771809605724812</v>
      </c>
      <c r="H74" s="15">
        <f t="shared" si="65"/>
        <v>0.17771250345419859</v>
      </c>
      <c r="I74" s="15">
        <f t="shared" si="65"/>
        <v>0.17824564096456119</v>
      </c>
      <c r="J74" s="15">
        <f t="shared" si="65"/>
        <v>0.17878037788745482</v>
      </c>
      <c r="K74" s="15">
        <f t="shared" si="65"/>
        <v>0.17931671902111718</v>
      </c>
      <c r="L74" s="15">
        <f t="shared" si="65"/>
        <v>0.17985466917818049</v>
      </c>
      <c r="M74" s="15">
        <f t="shared" si="65"/>
        <v>0.18039423318571501</v>
      </c>
      <c r="N74" s="15">
        <f t="shared" si="65"/>
        <v>0.18093541588527212</v>
      </c>
      <c r="O74" s="15">
        <f t="shared" si="65"/>
        <v>0.18147822213292797</v>
      </c>
      <c r="P74" s="15">
        <f t="shared" si="65"/>
        <v>0.18202265679932672</v>
      </c>
      <c r="Q74" s="15">
        <f t="shared" si="65"/>
        <v>0.18256872476972466</v>
      </c>
      <c r="R74" s="15">
        <f t="shared" si="65"/>
        <v>0.18311643094403379</v>
      </c>
      <c r="S74" s="15">
        <f t="shared" si="65"/>
        <v>0.18366578023686586</v>
      </c>
      <c r="T74" s="15">
        <f t="shared" si="65"/>
        <v>0.18421677757757646</v>
      </c>
      <c r="U74" s="15">
        <f t="shared" si="65"/>
        <v>0.18476942791030915</v>
      </c>
      <c r="V74" s="15">
        <f t="shared" si="65"/>
        <v>0.18532373619404005</v>
      </c>
      <c r="W74" s="15">
        <f t="shared" si="65"/>
        <v>0.18587970740262216</v>
      </c>
      <c r="X74" s="15">
        <f t="shared" si="65"/>
        <v>0.18643734652483002</v>
      </c>
      <c r="Y74" s="15">
        <f t="shared" si="65"/>
        <v>0.18699665856440448</v>
      </c>
      <c r="Z74" s="15">
        <f t="shared" si="65"/>
        <v>0.18755764854009765</v>
      </c>
      <c r="AA74" s="15">
        <f t="shared" si="65"/>
        <v>0.18812032148571789</v>
      </c>
      <c r="AB74" s="15">
        <f t="shared" si="65"/>
        <v>0.18868468245017503</v>
      </c>
      <c r="AC74" s="15">
        <f t="shared" si="65"/>
        <v>0.18925073649752555</v>
      </c>
      <c r="AD74" s="15">
        <f t="shared" si="65"/>
        <v>0.18981848870701809</v>
      </c>
      <c r="AE74" s="15">
        <f t="shared" si="65"/>
        <v>0.19038794417313915</v>
      </c>
      <c r="AF74" s="15">
        <f t="shared" si="65"/>
        <v>0.19095910800565855</v>
      </c>
      <c r="AG74" s="15">
        <f t="shared" si="65"/>
        <v>0.19153198532967547</v>
      </c>
      <c r="AH74" s="15">
        <f t="shared" si="65"/>
        <v>0.19210658128566446</v>
      </c>
    </row>
    <row r="75" spans="1:34" x14ac:dyDescent="0.45">
      <c r="A75" s="34"/>
      <c r="B75" s="4" t="s">
        <v>233</v>
      </c>
      <c r="C75" s="3" t="s">
        <v>536</v>
      </c>
      <c r="D75" s="15">
        <v>1.0665024144415194</v>
      </c>
      <c r="E75" s="15">
        <f>$D$19*(1.003)^(E59-2020)</f>
        <v>1.0697019216848438</v>
      </c>
      <c r="F75" s="15">
        <f t="shared" ref="F75:AH75" si="66">$D$19*(1.003)^(F59-2020)</f>
        <v>1.0729110274498981</v>
      </c>
      <c r="G75" s="15">
        <f t="shared" si="66"/>
        <v>1.0761297605322477</v>
      </c>
      <c r="H75" s="15">
        <f t="shared" si="66"/>
        <v>1.0793581498138445</v>
      </c>
      <c r="I75" s="15">
        <f t="shared" si="66"/>
        <v>1.0825962242632858</v>
      </c>
      <c r="J75" s="15">
        <f t="shared" si="66"/>
        <v>1.0858440129360754</v>
      </c>
      <c r="K75" s="15">
        <f t="shared" si="66"/>
        <v>1.0891015449748835</v>
      </c>
      <c r="L75" s="15">
        <f t="shared" si="66"/>
        <v>1.0923688496098081</v>
      </c>
      <c r="M75" s="15">
        <f t="shared" si="66"/>
        <v>1.0956459561586374</v>
      </c>
      <c r="N75" s="15">
        <f t="shared" si="66"/>
        <v>1.098932894027113</v>
      </c>
      <c r="O75" s="15">
        <f t="shared" si="66"/>
        <v>1.1022296927091946</v>
      </c>
      <c r="P75" s="15">
        <f t="shared" si="66"/>
        <v>1.1055363817873218</v>
      </c>
      <c r="Q75" s="15">
        <f t="shared" si="66"/>
        <v>1.1088529909326836</v>
      </c>
      <c r="R75" s="15">
        <f t="shared" si="66"/>
        <v>1.1121795499054814</v>
      </c>
      <c r="S75" s="15">
        <f t="shared" si="66"/>
        <v>1.1155160885551978</v>
      </c>
      <c r="T75" s="15">
        <f t="shared" si="66"/>
        <v>1.1188626368208632</v>
      </c>
      <c r="U75" s="15">
        <f t="shared" si="66"/>
        <v>1.1222192247313256</v>
      </c>
      <c r="V75" s="15">
        <f t="shared" si="66"/>
        <v>1.1255858824055196</v>
      </c>
      <c r="W75" s="15">
        <f t="shared" si="66"/>
        <v>1.1289626400527359</v>
      </c>
      <c r="X75" s="15">
        <f t="shared" si="66"/>
        <v>1.1323495279728941</v>
      </c>
      <c r="Y75" s="15">
        <f t="shared" si="66"/>
        <v>1.1357465765568127</v>
      </c>
      <c r="Z75" s="15">
        <f t="shared" si="66"/>
        <v>1.1391538162864827</v>
      </c>
      <c r="AA75" s="15">
        <f t="shared" si="66"/>
        <v>1.1425712777353421</v>
      </c>
      <c r="AB75" s="15">
        <f t="shared" si="66"/>
        <v>1.145998991568548</v>
      </c>
      <c r="AC75" s="15">
        <f t="shared" si="66"/>
        <v>1.1494369885432534</v>
      </c>
      <c r="AD75" s="15">
        <f t="shared" si="66"/>
        <v>1.152885299508883</v>
      </c>
      <c r="AE75" s="15">
        <f t="shared" si="66"/>
        <v>1.1563439554074095</v>
      </c>
      <c r="AF75" s="15">
        <f t="shared" si="66"/>
        <v>1.1598129872736318</v>
      </c>
      <c r="AG75" s="15">
        <f t="shared" si="66"/>
        <v>1.1632924262354525</v>
      </c>
      <c r="AH75" s="15">
        <f t="shared" si="66"/>
        <v>1.1667823035141587</v>
      </c>
    </row>
    <row r="76" spans="1:34" x14ac:dyDescent="0.45">
      <c r="A76" s="34" t="s">
        <v>545</v>
      </c>
      <c r="B76" s="5" t="s">
        <v>234</v>
      </c>
      <c r="C76" s="3" t="s">
        <v>537</v>
      </c>
      <c r="D76" s="15">
        <v>141.31966566</v>
      </c>
      <c r="E76" s="15">
        <f>$D$20*(1.003)^(E59-2020)</f>
        <v>141.74362465697999</v>
      </c>
      <c r="F76" s="15">
        <f t="shared" ref="F76:AH76" si="67">$D$20*(1.003)^(F59-2020)</f>
        <v>142.16885553095091</v>
      </c>
      <c r="G76" s="15">
        <f t="shared" si="67"/>
        <v>142.59536209754376</v>
      </c>
      <c r="H76" s="15">
        <f t="shared" si="67"/>
        <v>143.02314818383635</v>
      </c>
      <c r="I76" s="15">
        <f t="shared" si="67"/>
        <v>143.45221762838784</v>
      </c>
      <c r="J76" s="15">
        <f t="shared" si="67"/>
        <v>143.88257428127298</v>
      </c>
      <c r="K76" s="15">
        <f t="shared" si="67"/>
        <v>144.31422200411677</v>
      </c>
      <c r="L76" s="15">
        <f t="shared" si="67"/>
        <v>144.74716467012911</v>
      </c>
      <c r="M76" s="15">
        <f t="shared" si="67"/>
        <v>145.18140616413947</v>
      </c>
      <c r="N76" s="15">
        <f t="shared" si="67"/>
        <v>145.61695038263187</v>
      </c>
      <c r="O76" s="15">
        <f t="shared" si="67"/>
        <v>146.05380123377978</v>
      </c>
      <c r="P76" s="15">
        <f t="shared" si="67"/>
        <v>146.49196263748109</v>
      </c>
      <c r="Q76" s="15">
        <f t="shared" si="67"/>
        <v>146.93143852539353</v>
      </c>
      <c r="R76" s="15">
        <f t="shared" si="67"/>
        <v>147.37223284096967</v>
      </c>
      <c r="S76" s="15">
        <f t="shared" si="67"/>
        <v>147.81434953949255</v>
      </c>
      <c r="T76" s="15">
        <f t="shared" si="67"/>
        <v>148.25779258811102</v>
      </c>
      <c r="U76" s="15">
        <f t="shared" si="67"/>
        <v>148.70256596587532</v>
      </c>
      <c r="V76" s="15">
        <f t="shared" si="67"/>
        <v>149.14867366377294</v>
      </c>
      <c r="W76" s="15">
        <f t="shared" si="67"/>
        <v>149.59611968476423</v>
      </c>
      <c r="X76" s="15">
        <f t="shared" si="67"/>
        <v>150.04490804381851</v>
      </c>
      <c r="Y76" s="15">
        <f t="shared" si="67"/>
        <v>150.49504276794997</v>
      </c>
      <c r="Z76" s="15">
        <f t="shared" si="67"/>
        <v>150.94652789625377</v>
      </c>
      <c r="AA76" s="15">
        <f t="shared" si="67"/>
        <v>151.3993674799425</v>
      </c>
      <c r="AB76" s="15">
        <f t="shared" si="67"/>
        <v>151.85356558238232</v>
      </c>
      <c r="AC76" s="15">
        <f t="shared" si="67"/>
        <v>152.30912627912946</v>
      </c>
      <c r="AD76" s="15">
        <f t="shared" si="67"/>
        <v>152.76605365796681</v>
      </c>
      <c r="AE76" s="15">
        <f t="shared" si="67"/>
        <v>153.2243518189407</v>
      </c>
      <c r="AF76" s="15">
        <f t="shared" si="67"/>
        <v>153.68402487439752</v>
      </c>
      <c r="AG76" s="15">
        <f t="shared" si="67"/>
        <v>154.14507694902068</v>
      </c>
      <c r="AH76" s="15">
        <f t="shared" si="67"/>
        <v>154.60751217986771</v>
      </c>
    </row>
    <row r="77" spans="1:34" x14ac:dyDescent="0.45">
      <c r="A77" s="34"/>
      <c r="B77" s="5" t="s">
        <v>235</v>
      </c>
      <c r="C77" s="3" t="s">
        <v>538</v>
      </c>
      <c r="D77" s="15">
        <v>333.13311499999992</v>
      </c>
      <c r="E77" s="15">
        <f>$D$21*(1.003)^(E59-2020)</f>
        <v>334.13251434499989</v>
      </c>
      <c r="F77" s="15">
        <f t="shared" ref="F77:AH77" si="68">$D$21*(1.003)^(F59-2020)</f>
        <v>335.13491188803482</v>
      </c>
      <c r="G77" s="15">
        <f t="shared" si="68"/>
        <v>336.14031662369894</v>
      </c>
      <c r="H77" s="15">
        <f t="shared" si="68"/>
        <v>337.14873757356997</v>
      </c>
      <c r="I77" s="15">
        <f t="shared" si="68"/>
        <v>338.16018378629065</v>
      </c>
      <c r="J77" s="15">
        <f t="shared" si="68"/>
        <v>339.1746643376494</v>
      </c>
      <c r="K77" s="15">
        <f t="shared" si="68"/>
        <v>340.19218833066236</v>
      </c>
      <c r="L77" s="15">
        <f t="shared" si="68"/>
        <v>341.21276489565429</v>
      </c>
      <c r="M77" s="15">
        <f t="shared" si="68"/>
        <v>342.23640319034121</v>
      </c>
      <c r="N77" s="15">
        <f t="shared" si="68"/>
        <v>343.26311239991213</v>
      </c>
      <c r="O77" s="15">
        <f t="shared" si="68"/>
        <v>344.29290173711195</v>
      </c>
      <c r="P77" s="15">
        <f t="shared" si="68"/>
        <v>345.32578044232321</v>
      </c>
      <c r="Q77" s="15">
        <f t="shared" si="68"/>
        <v>346.36175778365015</v>
      </c>
      <c r="R77" s="15">
        <f t="shared" si="68"/>
        <v>347.400843057001</v>
      </c>
      <c r="S77" s="15">
        <f t="shared" si="68"/>
        <v>348.44304558617193</v>
      </c>
      <c r="T77" s="15">
        <f t="shared" si="68"/>
        <v>349.48837472293042</v>
      </c>
      <c r="U77" s="15">
        <f t="shared" si="68"/>
        <v>350.5368398470992</v>
      </c>
      <c r="V77" s="15">
        <f t="shared" si="68"/>
        <v>351.58845036664042</v>
      </c>
      <c r="W77" s="15">
        <f t="shared" si="68"/>
        <v>352.6432157177403</v>
      </c>
      <c r="X77" s="15">
        <f t="shared" si="68"/>
        <v>353.70114536489348</v>
      </c>
      <c r="Y77" s="15">
        <f t="shared" si="68"/>
        <v>354.76224880098817</v>
      </c>
      <c r="Z77" s="15">
        <f t="shared" si="68"/>
        <v>355.82653554739102</v>
      </c>
      <c r="AA77" s="15">
        <f t="shared" si="68"/>
        <v>356.89401515403313</v>
      </c>
      <c r="AB77" s="15">
        <f t="shared" si="68"/>
        <v>357.96469719949522</v>
      </c>
      <c r="AC77" s="15">
        <f t="shared" si="68"/>
        <v>359.03859129109367</v>
      </c>
      <c r="AD77" s="15">
        <f t="shared" si="68"/>
        <v>360.11570706496684</v>
      </c>
      <c r="AE77" s="15">
        <f t="shared" si="68"/>
        <v>361.19605418616175</v>
      </c>
      <c r="AF77" s="15">
        <f t="shared" si="68"/>
        <v>362.27964234872019</v>
      </c>
      <c r="AG77" s="15">
        <f t="shared" si="68"/>
        <v>363.36648127576626</v>
      </c>
      <c r="AH77" s="15">
        <f t="shared" si="68"/>
        <v>364.45658071959355</v>
      </c>
    </row>
    <row r="78" spans="1:34" x14ac:dyDescent="0.45">
      <c r="A78" s="34"/>
      <c r="B78" s="5" t="s">
        <v>384</v>
      </c>
      <c r="C78" s="3" t="s">
        <v>539</v>
      </c>
      <c r="D78" s="15">
        <v>89.620827239999997</v>
      </c>
      <c r="E78" s="15">
        <f>$D$22*(1.033)^(E59-2020)</f>
        <v>92.578314538919983</v>
      </c>
      <c r="F78" s="15">
        <f t="shared" ref="F78:AH78" si="69">$D$22*(1.033)^(F59-2020)</f>
        <v>95.63339891870433</v>
      </c>
      <c r="G78" s="15">
        <f t="shared" si="69"/>
        <v>98.78930108302157</v>
      </c>
      <c r="H78" s="15">
        <f t="shared" si="69"/>
        <v>102.04934801876126</v>
      </c>
      <c r="I78" s="15">
        <f t="shared" si="69"/>
        <v>105.41697650338038</v>
      </c>
      <c r="J78" s="15">
        <f t="shared" si="69"/>
        <v>108.89573672799192</v>
      </c>
      <c r="K78" s="15">
        <f t="shared" si="69"/>
        <v>112.48929604001565</v>
      </c>
      <c r="L78" s="15">
        <f t="shared" si="69"/>
        <v>116.20144280933614</v>
      </c>
      <c r="M78" s="15">
        <f t="shared" si="69"/>
        <v>120.03609042204423</v>
      </c>
      <c r="N78" s="15">
        <f t="shared" si="69"/>
        <v>123.99728140597165</v>
      </c>
      <c r="O78" s="15">
        <f t="shared" si="69"/>
        <v>128.08919169236873</v>
      </c>
      <c r="P78" s="15">
        <f t="shared" si="69"/>
        <v>132.31613501821687</v>
      </c>
      <c r="Q78" s="15">
        <f t="shared" si="69"/>
        <v>136.68256747381801</v>
      </c>
      <c r="R78" s="15">
        <f t="shared" si="69"/>
        <v>141.19309220045398</v>
      </c>
      <c r="S78" s="15">
        <f t="shared" si="69"/>
        <v>145.85246424306897</v>
      </c>
      <c r="T78" s="15">
        <f t="shared" si="69"/>
        <v>150.66559556309022</v>
      </c>
      <c r="U78" s="15">
        <f t="shared" si="69"/>
        <v>155.63756021667217</v>
      </c>
      <c r="V78" s="15">
        <f t="shared" si="69"/>
        <v>160.77359970382233</v>
      </c>
      <c r="W78" s="15">
        <f t="shared" si="69"/>
        <v>166.07912849404846</v>
      </c>
      <c r="X78" s="15">
        <f t="shared" si="69"/>
        <v>171.55973973435204</v>
      </c>
      <c r="Y78" s="15">
        <f t="shared" si="69"/>
        <v>177.22121114558564</v>
      </c>
      <c r="Z78" s="15">
        <f t="shared" si="69"/>
        <v>183.06951111338992</v>
      </c>
      <c r="AA78" s="15">
        <f t="shared" si="69"/>
        <v>189.1108049801318</v>
      </c>
      <c r="AB78" s="15">
        <f t="shared" si="69"/>
        <v>195.35146154447608</v>
      </c>
      <c r="AC78" s="15">
        <f t="shared" si="69"/>
        <v>201.79805977544382</v>
      </c>
      <c r="AD78" s="15">
        <f t="shared" si="69"/>
        <v>208.45739574803341</v>
      </c>
      <c r="AE78" s="15">
        <f t="shared" si="69"/>
        <v>215.33648980771852</v>
      </c>
      <c r="AF78" s="15">
        <f t="shared" si="69"/>
        <v>222.44259397137319</v>
      </c>
      <c r="AG78" s="15">
        <f t="shared" si="69"/>
        <v>229.78319957242849</v>
      </c>
      <c r="AH78" s="15">
        <f t="shared" si="69"/>
        <v>237.36604515831857</v>
      </c>
    </row>
    <row r="79" spans="1:34" x14ac:dyDescent="0.45">
      <c r="A79" s="34"/>
      <c r="B79" s="5" t="s">
        <v>385</v>
      </c>
      <c r="C79" s="3" t="s">
        <v>540</v>
      </c>
      <c r="D79" s="15">
        <v>23.1</v>
      </c>
      <c r="E79" s="15">
        <f>$D$23*(1.003)^(E59-2020)</f>
        <v>23.1693</v>
      </c>
      <c r="F79" s="15">
        <f t="shared" ref="F79:AH79" si="70">$D$23*(1.003)^(F59-2020)</f>
        <v>23.238807899999994</v>
      </c>
      <c r="G79" s="15">
        <f t="shared" si="70"/>
        <v>23.308524323699995</v>
      </c>
      <c r="H79" s="15">
        <f t="shared" si="70"/>
        <v>23.378449896671089</v>
      </c>
      <c r="I79" s="15">
        <f t="shared" si="70"/>
        <v>23.448585246361102</v>
      </c>
      <c r="J79" s="15">
        <f t="shared" si="70"/>
        <v>23.518931002100178</v>
      </c>
      <c r="K79" s="15">
        <f t="shared" si="70"/>
        <v>23.589487795106479</v>
      </c>
      <c r="L79" s="15">
        <f t="shared" si="70"/>
        <v>23.660256258491795</v>
      </c>
      <c r="M79" s="15">
        <f t="shared" si="70"/>
        <v>23.731237027267266</v>
      </c>
      <c r="N79" s="15">
        <f t="shared" si="70"/>
        <v>23.802430738349063</v>
      </c>
      <c r="O79" s="15">
        <f t="shared" si="70"/>
        <v>23.873838030564112</v>
      </c>
      <c r="P79" s="15">
        <f t="shared" si="70"/>
        <v>23.945459544655801</v>
      </c>
      <c r="Q79" s="15">
        <f t="shared" si="70"/>
        <v>24.017295923289765</v>
      </c>
      <c r="R79" s="15">
        <f t="shared" si="70"/>
        <v>24.089347811059628</v>
      </c>
      <c r="S79" s="15">
        <f t="shared" si="70"/>
        <v>24.161615854492805</v>
      </c>
      <c r="T79" s="15">
        <f t="shared" si="70"/>
        <v>24.234100702056278</v>
      </c>
      <c r="U79" s="15">
        <f t="shared" si="70"/>
        <v>24.306803004162447</v>
      </c>
      <c r="V79" s="15">
        <f t="shared" si="70"/>
        <v>24.379723413174929</v>
      </c>
      <c r="W79" s="15">
        <f t="shared" si="70"/>
        <v>24.452862583414454</v>
      </c>
      <c r="X79" s="15">
        <f t="shared" si="70"/>
        <v>24.526221171164693</v>
      </c>
      <c r="Y79" s="15">
        <f t="shared" si="70"/>
        <v>24.599799834678183</v>
      </c>
      <c r="Z79" s="15">
        <f t="shared" si="70"/>
        <v>24.673599234182213</v>
      </c>
      <c r="AA79" s="15">
        <f t="shared" si="70"/>
        <v>24.747620031884754</v>
      </c>
      <c r="AB79" s="15">
        <f t="shared" si="70"/>
        <v>24.821862891980405</v>
      </c>
      <c r="AC79" s="15">
        <f t="shared" si="70"/>
        <v>24.896328480656347</v>
      </c>
      <c r="AD79" s="15">
        <f t="shared" si="70"/>
        <v>24.97101746609831</v>
      </c>
      <c r="AE79" s="15">
        <f t="shared" si="70"/>
        <v>25.045930518496604</v>
      </c>
      <c r="AF79" s="15">
        <f t="shared" si="70"/>
        <v>25.121068310052092</v>
      </c>
      <c r="AG79" s="15">
        <f t="shared" si="70"/>
        <v>25.196431514982244</v>
      </c>
      <c r="AH79" s="15">
        <f t="shared" si="70"/>
        <v>25.272020809527184</v>
      </c>
    </row>
    <row r="80" spans="1:34" x14ac:dyDescent="0.45">
      <c r="A80" s="34"/>
      <c r="B80" s="5" t="s">
        <v>386</v>
      </c>
      <c r="C80" s="3" t="s">
        <v>541</v>
      </c>
      <c r="D80" s="15">
        <v>15.68</v>
      </c>
      <c r="E80" s="15">
        <f>$D$24*(1.033)^(E59-2020)</f>
        <v>16.197439999999997</v>
      </c>
      <c r="F80" s="15">
        <f t="shared" ref="F80:AH80" si="71">$D$24*(1.033)^(F59-2020)</f>
        <v>16.731955519999996</v>
      </c>
      <c r="G80" s="15">
        <f t="shared" si="71"/>
        <v>17.284110052159996</v>
      </c>
      <c r="H80" s="15">
        <f t="shared" si="71"/>
        <v>17.854485683881272</v>
      </c>
      <c r="I80" s="15">
        <f t="shared" si="71"/>
        <v>18.443683711449353</v>
      </c>
      <c r="J80" s="15">
        <f t="shared" si="71"/>
        <v>19.052325273927178</v>
      </c>
      <c r="K80" s="15">
        <f t="shared" si="71"/>
        <v>19.681052007966773</v>
      </c>
      <c r="L80" s="15">
        <f t="shared" si="71"/>
        <v>20.330526724229674</v>
      </c>
      <c r="M80" s="15">
        <f t="shared" si="71"/>
        <v>21.001434106129253</v>
      </c>
      <c r="N80" s="15">
        <f t="shared" si="71"/>
        <v>21.694481431631512</v>
      </c>
      <c r="O80" s="15">
        <f t="shared" si="71"/>
        <v>22.410399318875353</v>
      </c>
      <c r="P80" s="15">
        <f t="shared" si="71"/>
        <v>23.149942496398236</v>
      </c>
      <c r="Q80" s="15">
        <f t="shared" si="71"/>
        <v>23.913890598779375</v>
      </c>
      <c r="R80" s="15">
        <f t="shared" si="71"/>
        <v>24.703048988539091</v>
      </c>
      <c r="S80" s="15">
        <f t="shared" si="71"/>
        <v>25.518249605160879</v>
      </c>
      <c r="T80" s="15">
        <f t="shared" si="71"/>
        <v>26.360351842131184</v>
      </c>
      <c r="U80" s="15">
        <f t="shared" si="71"/>
        <v>27.23024345292151</v>
      </c>
      <c r="V80" s="15">
        <f t="shared" si="71"/>
        <v>28.128841486867916</v>
      </c>
      <c r="W80" s="15">
        <f t="shared" si="71"/>
        <v>29.057093255934557</v>
      </c>
      <c r="X80" s="15">
        <f t="shared" si="71"/>
        <v>30.015977333380391</v>
      </c>
      <c r="Y80" s="15">
        <f t="shared" si="71"/>
        <v>31.006504585381943</v>
      </c>
      <c r="Z80" s="15">
        <f t="shared" si="71"/>
        <v>32.029719236699542</v>
      </c>
      <c r="AA80" s="15">
        <f t="shared" si="71"/>
        <v>33.086699971510626</v>
      </c>
      <c r="AB80" s="15">
        <f t="shared" si="71"/>
        <v>34.178561070570467</v>
      </c>
      <c r="AC80" s="15">
        <f t="shared" si="71"/>
        <v>35.306453585899291</v>
      </c>
      <c r="AD80" s="15">
        <f t="shared" si="71"/>
        <v>36.471566554233959</v>
      </c>
      <c r="AE80" s="15">
        <f t="shared" si="71"/>
        <v>37.675128250523684</v>
      </c>
      <c r="AF80" s="15">
        <f t="shared" si="71"/>
        <v>38.918407482790954</v>
      </c>
      <c r="AG80" s="15">
        <f t="shared" si="71"/>
        <v>40.202714929723051</v>
      </c>
      <c r="AH80" s="15">
        <f t="shared" si="71"/>
        <v>41.529404522403908</v>
      </c>
    </row>
    <row r="81" spans="1:34" x14ac:dyDescent="0.45">
      <c r="A81" s="34"/>
      <c r="B81" s="5" t="s">
        <v>387</v>
      </c>
      <c r="C81" s="3" t="s">
        <v>542</v>
      </c>
      <c r="D81" s="15">
        <v>37.44</v>
      </c>
      <c r="E81" s="15">
        <f>$D$25*(1.003)^(E59-2020)</f>
        <v>37.552319999999995</v>
      </c>
      <c r="F81" s="15">
        <f t="shared" ref="F81:AH81" si="72">$D$25*(1.003)^(F59-2020)</f>
        <v>37.66497695999999</v>
      </c>
      <c r="G81" s="15">
        <f t="shared" si="72"/>
        <v>37.777971890879989</v>
      </c>
      <c r="H81" s="15">
        <f t="shared" si="72"/>
        <v>37.891305806552616</v>
      </c>
      <c r="I81" s="15">
        <f t="shared" si="72"/>
        <v>38.004979723972276</v>
      </c>
      <c r="J81" s="15">
        <f t="shared" si="72"/>
        <v>38.118994663144179</v>
      </c>
      <c r="K81" s="15">
        <f t="shared" si="72"/>
        <v>38.23335164713361</v>
      </c>
      <c r="L81" s="15">
        <f t="shared" si="72"/>
        <v>38.348051702075004</v>
      </c>
      <c r="M81" s="15">
        <f t="shared" si="72"/>
        <v>38.463095857181223</v>
      </c>
      <c r="N81" s="15">
        <f t="shared" si="72"/>
        <v>38.578485144752761</v>
      </c>
      <c r="O81" s="15">
        <f t="shared" si="72"/>
        <v>38.694220600187023</v>
      </c>
      <c r="P81" s="15">
        <f t="shared" si="72"/>
        <v>38.810303261987578</v>
      </c>
      <c r="Q81" s="15">
        <f t="shared" si="72"/>
        <v>38.926734171773539</v>
      </c>
      <c r="R81" s="15">
        <f t="shared" si="72"/>
        <v>39.043514374288847</v>
      </c>
      <c r="S81" s="15">
        <f t="shared" si="72"/>
        <v>39.160644917411709</v>
      </c>
      <c r="T81" s="15">
        <f t="shared" si="72"/>
        <v>39.278126852163936</v>
      </c>
      <c r="U81" s="15">
        <f t="shared" si="72"/>
        <v>39.395961232720424</v>
      </c>
      <c r="V81" s="15">
        <f t="shared" si="72"/>
        <v>39.514149116418579</v>
      </c>
      <c r="W81" s="15">
        <f t="shared" si="72"/>
        <v>39.632691563767835</v>
      </c>
      <c r="X81" s="15">
        <f t="shared" si="72"/>
        <v>39.75158963845913</v>
      </c>
      <c r="Y81" s="15">
        <f t="shared" si="72"/>
        <v>39.870844407374506</v>
      </c>
      <c r="Z81" s="15">
        <f t="shared" si="72"/>
        <v>39.990456940596623</v>
      </c>
      <c r="AA81" s="15">
        <f t="shared" si="72"/>
        <v>40.110428311418403</v>
      </c>
      <c r="AB81" s="15">
        <f t="shared" si="72"/>
        <v>40.230759596352655</v>
      </c>
      <c r="AC81" s="15">
        <f t="shared" si="72"/>
        <v>40.351451875141706</v>
      </c>
      <c r="AD81" s="15">
        <f t="shared" si="72"/>
        <v>40.472506230767124</v>
      </c>
      <c r="AE81" s="15">
        <f t="shared" si="72"/>
        <v>40.593923749459428</v>
      </c>
      <c r="AF81" s="15">
        <f t="shared" si="72"/>
        <v>40.7157055207078</v>
      </c>
      <c r="AG81" s="15">
        <f t="shared" si="72"/>
        <v>40.837852637269918</v>
      </c>
      <c r="AH81" s="15">
        <f t="shared" si="72"/>
        <v>40.96036619518172</v>
      </c>
    </row>
    <row r="82" spans="1:34" x14ac:dyDescent="0.45">
      <c r="A82" s="34" t="s">
        <v>544</v>
      </c>
      <c r="B82" s="5" t="s">
        <v>518</v>
      </c>
      <c r="C82" s="3" t="s">
        <v>543</v>
      </c>
      <c r="D82" s="15">
        <v>169.756</v>
      </c>
      <c r="E82" s="15">
        <f>$D$26*(1.033)^(E59-2020)</f>
        <v>175.35794799999999</v>
      </c>
      <c r="F82" s="15">
        <f t="shared" ref="F82:AH82" si="73">$D$26*(1.033)^(F59-2020)</f>
        <v>181.14476028399994</v>
      </c>
      <c r="G82" s="15">
        <f t="shared" si="73"/>
        <v>187.12253737337196</v>
      </c>
      <c r="H82" s="15">
        <f t="shared" si="73"/>
        <v>193.2975811066932</v>
      </c>
      <c r="I82" s="15">
        <f t="shared" si="73"/>
        <v>199.67640128321406</v>
      </c>
      <c r="J82" s="15">
        <f t="shared" si="73"/>
        <v>206.26572252556008</v>
      </c>
      <c r="K82" s="15">
        <f t="shared" si="73"/>
        <v>213.07249136890354</v>
      </c>
      <c r="L82" s="15">
        <f t="shared" si="73"/>
        <v>220.10388358407732</v>
      </c>
      <c r="M82" s="15">
        <f t="shared" si="73"/>
        <v>227.36731174235186</v>
      </c>
      <c r="N82" s="15">
        <f t="shared" si="73"/>
        <v>234.87043302984941</v>
      </c>
      <c r="O82" s="15">
        <f t="shared" si="73"/>
        <v>242.62115731983448</v>
      </c>
      <c r="P82" s="15">
        <f t="shared" si="73"/>
        <v>250.62765551138895</v>
      </c>
      <c r="Q82" s="15">
        <f t="shared" si="73"/>
        <v>258.8983681432648</v>
      </c>
      <c r="R82" s="15">
        <f t="shared" si="73"/>
        <v>267.44201429199245</v>
      </c>
      <c r="S82" s="15">
        <f t="shared" si="73"/>
        <v>276.2676007636282</v>
      </c>
      <c r="T82" s="15">
        <f t="shared" si="73"/>
        <v>285.38443158882791</v>
      </c>
      <c r="U82" s="15">
        <f t="shared" si="73"/>
        <v>294.80211783125918</v>
      </c>
      <c r="V82" s="15">
        <f t="shared" si="73"/>
        <v>304.53058771969069</v>
      </c>
      <c r="W82" s="15">
        <f t="shared" si="73"/>
        <v>314.58009711444049</v>
      </c>
      <c r="X82" s="15">
        <f t="shared" si="73"/>
        <v>324.96124031921693</v>
      </c>
      <c r="Y82" s="15">
        <f t="shared" si="73"/>
        <v>335.6849612497511</v>
      </c>
      <c r="Z82" s="15">
        <f t="shared" si="73"/>
        <v>346.7625649709928</v>
      </c>
      <c r="AA82" s="15">
        <f t="shared" si="73"/>
        <v>358.20572961503558</v>
      </c>
      <c r="AB82" s="15">
        <f t="shared" si="73"/>
        <v>370.02651869233165</v>
      </c>
      <c r="AC82" s="15">
        <f t="shared" si="73"/>
        <v>382.23739380917857</v>
      </c>
      <c r="AD82" s="15">
        <f t="shared" si="73"/>
        <v>394.85122780488138</v>
      </c>
      <c r="AE82" s="15">
        <f t="shared" si="73"/>
        <v>407.8813183224425</v>
      </c>
      <c r="AF82" s="15">
        <f t="shared" si="73"/>
        <v>421.34140182708302</v>
      </c>
      <c r="AG82" s="15">
        <f t="shared" si="73"/>
        <v>435.24566808737671</v>
      </c>
      <c r="AH82" s="15">
        <f t="shared" si="73"/>
        <v>449.60877513426004</v>
      </c>
    </row>
    <row r="83" spans="1:34" x14ac:dyDescent="0.45">
      <c r="A83" s="34"/>
      <c r="B83" s="5" t="s">
        <v>519</v>
      </c>
      <c r="C83" s="3" t="s">
        <v>527</v>
      </c>
      <c r="D83" s="15">
        <v>1.6074287999999999</v>
      </c>
      <c r="E83" s="15">
        <f>D83+0.172</f>
        <v>1.7794287999999998</v>
      </c>
      <c r="F83" s="15">
        <f t="shared" ref="F83:S83" si="74">E83+0.172</f>
        <v>1.9514287999999997</v>
      </c>
      <c r="G83" s="15">
        <f t="shared" si="74"/>
        <v>2.1234287999999997</v>
      </c>
      <c r="H83" s="15">
        <f t="shared" si="74"/>
        <v>2.2954287999999998</v>
      </c>
      <c r="I83" s="15">
        <f t="shared" si="74"/>
        <v>2.4674288</v>
      </c>
      <c r="J83" s="15">
        <f t="shared" si="74"/>
        <v>2.6394288000000001</v>
      </c>
      <c r="K83" s="15">
        <f t="shared" si="74"/>
        <v>2.8114288000000003</v>
      </c>
      <c r="L83" s="15">
        <f t="shared" si="74"/>
        <v>2.9834288000000004</v>
      </c>
      <c r="M83" s="15">
        <f t="shared" si="74"/>
        <v>3.1554288000000006</v>
      </c>
      <c r="N83" s="15">
        <f t="shared" si="74"/>
        <v>3.3274288000000007</v>
      </c>
      <c r="O83" s="15">
        <f t="shared" si="74"/>
        <v>3.4994288000000009</v>
      </c>
      <c r="P83" s="15">
        <f t="shared" si="74"/>
        <v>3.671428800000001</v>
      </c>
      <c r="Q83" s="15">
        <f t="shared" si="74"/>
        <v>3.8434288000000012</v>
      </c>
      <c r="R83" s="15">
        <f t="shared" si="74"/>
        <v>4.0154288000000014</v>
      </c>
      <c r="S83" s="15">
        <f t="shared" si="74"/>
        <v>4.1874288000000011</v>
      </c>
      <c r="T83" s="15">
        <f t="shared" ref="T83:AH83" si="75">$N$27</f>
        <v>4.1874288000000002</v>
      </c>
      <c r="U83" s="15">
        <f t="shared" si="75"/>
        <v>4.1874288000000002</v>
      </c>
      <c r="V83" s="15">
        <f t="shared" si="75"/>
        <v>4.1874288000000002</v>
      </c>
      <c r="W83" s="15">
        <f t="shared" si="75"/>
        <v>4.1874288000000002</v>
      </c>
      <c r="X83" s="15">
        <f t="shared" si="75"/>
        <v>4.1874288000000002</v>
      </c>
      <c r="Y83" s="15">
        <f t="shared" si="75"/>
        <v>4.1874288000000002</v>
      </c>
      <c r="Z83" s="15">
        <f t="shared" si="75"/>
        <v>4.1874288000000002</v>
      </c>
      <c r="AA83" s="15">
        <f t="shared" si="75"/>
        <v>4.1874288000000002</v>
      </c>
      <c r="AB83" s="15">
        <f t="shared" si="75"/>
        <v>4.1874288000000002</v>
      </c>
      <c r="AC83" s="15">
        <f t="shared" si="75"/>
        <v>4.1874288000000002</v>
      </c>
      <c r="AD83" s="15">
        <f t="shared" si="75"/>
        <v>4.1874288000000002</v>
      </c>
      <c r="AE83" s="15">
        <f t="shared" si="75"/>
        <v>4.1874288000000002</v>
      </c>
      <c r="AF83" s="15">
        <f t="shared" si="75"/>
        <v>4.1874288000000002</v>
      </c>
      <c r="AG83" s="15">
        <f t="shared" si="75"/>
        <v>4.1874288000000002</v>
      </c>
      <c r="AH83" s="15">
        <f t="shared" si="75"/>
        <v>4.1874288000000002</v>
      </c>
    </row>
    <row r="85" spans="1:34" x14ac:dyDescent="0.45">
      <c r="B85" s="25" t="s">
        <v>571</v>
      </c>
    </row>
    <row r="87" spans="1:34" x14ac:dyDescent="0.45">
      <c r="A87" s="3" t="s">
        <v>260</v>
      </c>
      <c r="B87" s="5" t="s">
        <v>546</v>
      </c>
      <c r="C87" s="3" t="s">
        <v>205</v>
      </c>
      <c r="D87" s="3">
        <v>2020</v>
      </c>
      <c r="E87" s="3">
        <v>2021</v>
      </c>
      <c r="F87" s="3">
        <v>2022</v>
      </c>
      <c r="G87" s="3">
        <v>2023</v>
      </c>
      <c r="H87" s="3">
        <v>2024</v>
      </c>
      <c r="I87" s="3">
        <v>2025</v>
      </c>
      <c r="J87" s="3">
        <v>2026</v>
      </c>
      <c r="K87" s="3">
        <v>2027</v>
      </c>
      <c r="L87" s="3">
        <v>2028</v>
      </c>
      <c r="M87" s="3">
        <v>2029</v>
      </c>
      <c r="N87" s="3">
        <v>2030</v>
      </c>
      <c r="O87" s="3">
        <v>2031</v>
      </c>
      <c r="P87" s="3">
        <v>2032</v>
      </c>
      <c r="Q87" s="3">
        <v>2033</v>
      </c>
      <c r="R87" s="3">
        <v>2034</v>
      </c>
      <c r="S87" s="3">
        <v>2035</v>
      </c>
      <c r="T87" s="3">
        <v>2036</v>
      </c>
      <c r="U87" s="3">
        <v>2037</v>
      </c>
      <c r="V87" s="3">
        <v>2038</v>
      </c>
      <c r="W87" s="3">
        <v>2039</v>
      </c>
      <c r="X87" s="3">
        <v>2040</v>
      </c>
      <c r="Y87" s="3">
        <v>2041</v>
      </c>
      <c r="Z87" s="3">
        <v>2042</v>
      </c>
      <c r="AA87" s="3">
        <v>2043</v>
      </c>
      <c r="AB87" s="3">
        <v>2044</v>
      </c>
      <c r="AC87" s="3">
        <v>2045</v>
      </c>
      <c r="AD87" s="3">
        <v>2046</v>
      </c>
      <c r="AE87" s="3">
        <v>2047</v>
      </c>
      <c r="AF87" s="3">
        <v>2048</v>
      </c>
      <c r="AG87" s="3">
        <v>2049</v>
      </c>
      <c r="AH87" s="3">
        <v>2050</v>
      </c>
    </row>
    <row r="88" spans="1:34" x14ac:dyDescent="0.45">
      <c r="A88" s="34" t="s">
        <v>516</v>
      </c>
      <c r="B88" s="4" t="s">
        <v>370</v>
      </c>
      <c r="C88" s="3" t="s">
        <v>520</v>
      </c>
      <c r="D88" s="15">
        <v>64.597999999999999</v>
      </c>
      <c r="E88" s="15">
        <f>$D$4*(1.031)^(E87-2020)</f>
        <v>66.600538</v>
      </c>
      <c r="F88" s="15">
        <f t="shared" ref="F88:AH88" si="76">$D$4*(1.031)^(F87-2020)</f>
        <v>68.665154677999993</v>
      </c>
      <c r="G88" s="15">
        <f t="shared" si="76"/>
        <v>70.793774473017976</v>
      </c>
      <c r="H88" s="15">
        <f t="shared" si="76"/>
        <v>72.988381481681543</v>
      </c>
      <c r="I88" s="15">
        <f t="shared" si="76"/>
        <v>75.251021307613669</v>
      </c>
      <c r="J88" s="15">
        <f t="shared" si="76"/>
        <v>77.583802968149683</v>
      </c>
      <c r="K88" s="15">
        <f t="shared" si="76"/>
        <v>79.988900860162317</v>
      </c>
      <c r="L88" s="15">
        <f t="shared" si="76"/>
        <v>82.468556786827349</v>
      </c>
      <c r="M88" s="15">
        <f t="shared" si="76"/>
        <v>85.025082047218973</v>
      </c>
      <c r="N88" s="15">
        <f t="shared" si="76"/>
        <v>87.660859590682762</v>
      </c>
      <c r="O88" s="15">
        <f t="shared" si="76"/>
        <v>90.378346237993924</v>
      </c>
      <c r="P88" s="15">
        <f t="shared" si="76"/>
        <v>93.180074971371738</v>
      </c>
      <c r="Q88" s="15">
        <f t="shared" si="76"/>
        <v>96.068657295484257</v>
      </c>
      <c r="R88" s="15">
        <f t="shared" si="76"/>
        <v>99.046785671644258</v>
      </c>
      <c r="S88" s="15">
        <f t="shared" si="76"/>
        <v>102.11723602746522</v>
      </c>
      <c r="T88" s="15">
        <f t="shared" si="76"/>
        <v>105.28287034431665</v>
      </c>
      <c r="U88" s="15">
        <f t="shared" si="76"/>
        <v>108.54663932499047</v>
      </c>
      <c r="V88" s="15">
        <f t="shared" si="76"/>
        <v>111.91158514406516</v>
      </c>
      <c r="W88" s="15">
        <f t="shared" si="76"/>
        <v>115.38084428353116</v>
      </c>
      <c r="X88" s="15">
        <f t="shared" si="76"/>
        <v>118.95765045632064</v>
      </c>
      <c r="Y88" s="15">
        <f t="shared" si="76"/>
        <v>122.64533762046656</v>
      </c>
      <c r="Z88" s="15">
        <f t="shared" si="76"/>
        <v>126.44734308670103</v>
      </c>
      <c r="AA88" s="15">
        <f t="shared" si="76"/>
        <v>130.36721072238873</v>
      </c>
      <c r="AB88" s="15">
        <f t="shared" si="76"/>
        <v>134.40859425478277</v>
      </c>
      <c r="AC88" s="15">
        <f t="shared" si="76"/>
        <v>138.57526067668104</v>
      </c>
      <c r="AD88" s="15">
        <f t="shared" si="76"/>
        <v>142.87109375765814</v>
      </c>
      <c r="AE88" s="15">
        <f t="shared" si="76"/>
        <v>147.30009766414554</v>
      </c>
      <c r="AF88" s="15">
        <f t="shared" si="76"/>
        <v>151.86640069173407</v>
      </c>
      <c r="AG88" s="15">
        <f t="shared" si="76"/>
        <v>156.57425911317779</v>
      </c>
      <c r="AH88" s="15">
        <f t="shared" si="76"/>
        <v>161.42806114568629</v>
      </c>
    </row>
    <row r="89" spans="1:34" x14ac:dyDescent="0.45">
      <c r="A89" s="34"/>
      <c r="B89" s="4" t="s">
        <v>371</v>
      </c>
      <c r="C89" s="3" t="s">
        <v>521</v>
      </c>
      <c r="D89" s="15">
        <v>28.931999999999999</v>
      </c>
      <c r="E89" s="15">
        <f>$D$5*(1.031)^(E87-2020)</f>
        <v>29.828891999999996</v>
      </c>
      <c r="F89" s="15">
        <f t="shared" ref="F89:AH89" si="77">$D$5*(1.031)^(F87-2020)</f>
        <v>30.753587651999993</v>
      </c>
      <c r="G89" s="15">
        <f t="shared" si="77"/>
        <v>31.706948869211992</v>
      </c>
      <c r="H89" s="15">
        <f t="shared" si="77"/>
        <v>32.689864284157565</v>
      </c>
      <c r="I89" s="15">
        <f t="shared" si="77"/>
        <v>33.703250076966448</v>
      </c>
      <c r="J89" s="15">
        <f t="shared" si="77"/>
        <v>34.748050829352401</v>
      </c>
      <c r="K89" s="15">
        <f t="shared" si="77"/>
        <v>35.825240405062324</v>
      </c>
      <c r="L89" s="15">
        <f t="shared" si="77"/>
        <v>36.935822857619257</v>
      </c>
      <c r="M89" s="15">
        <f t="shared" si="77"/>
        <v>38.080833366205447</v>
      </c>
      <c r="N89" s="15">
        <f t="shared" si="77"/>
        <v>39.261339200557813</v>
      </c>
      <c r="O89" s="15">
        <f t="shared" si="77"/>
        <v>40.478440715775108</v>
      </c>
      <c r="P89" s="15">
        <f t="shared" si="77"/>
        <v>41.733272377964134</v>
      </c>
      <c r="Q89" s="15">
        <f t="shared" si="77"/>
        <v>43.027003821681021</v>
      </c>
      <c r="R89" s="15">
        <f t="shared" si="77"/>
        <v>44.360840940153125</v>
      </c>
      <c r="S89" s="15">
        <f t="shared" si="77"/>
        <v>45.736027009297871</v>
      </c>
      <c r="T89" s="15">
        <f t="shared" si="77"/>
        <v>47.153843846586106</v>
      </c>
      <c r="U89" s="15">
        <f t="shared" si="77"/>
        <v>48.615613005830276</v>
      </c>
      <c r="V89" s="15">
        <f t="shared" si="77"/>
        <v>50.122697009011006</v>
      </c>
      <c r="W89" s="15">
        <f t="shared" si="77"/>
        <v>51.67650061629034</v>
      </c>
      <c r="X89" s="15">
        <f t="shared" si="77"/>
        <v>53.27847213539534</v>
      </c>
      <c r="Y89" s="15">
        <f t="shared" si="77"/>
        <v>54.930104771592596</v>
      </c>
      <c r="Z89" s="15">
        <f t="shared" si="77"/>
        <v>56.632938019511961</v>
      </c>
      <c r="AA89" s="15">
        <f t="shared" si="77"/>
        <v>58.388559098116829</v>
      </c>
      <c r="AB89" s="15">
        <f t="shared" si="77"/>
        <v>60.198604430158447</v>
      </c>
      <c r="AC89" s="15">
        <f t="shared" si="77"/>
        <v>62.064761167493359</v>
      </c>
      <c r="AD89" s="15">
        <f t="shared" si="77"/>
        <v>63.988768763685641</v>
      </c>
      <c r="AE89" s="15">
        <f t="shared" si="77"/>
        <v>65.972420595359907</v>
      </c>
      <c r="AF89" s="15">
        <f t="shared" si="77"/>
        <v>68.017565633816062</v>
      </c>
      <c r="AG89" s="15">
        <f t="shared" si="77"/>
        <v>70.126110168464351</v>
      </c>
      <c r="AH89" s="15">
        <f t="shared" si="77"/>
        <v>72.300019583686733</v>
      </c>
    </row>
    <row r="90" spans="1:34" x14ac:dyDescent="0.45">
      <c r="A90" s="34"/>
      <c r="B90" s="4" t="s">
        <v>372</v>
      </c>
      <c r="C90" s="3" t="s">
        <v>522</v>
      </c>
      <c r="D90" s="15">
        <v>23.777000000000001</v>
      </c>
      <c r="E90" s="15">
        <f>$D$6*(1.031)^(E87-2020)</f>
        <v>24.514087</v>
      </c>
      <c r="F90" s="15">
        <f t="shared" ref="F90:AH90" si="78">$D$6*(1.031)^(F87-2020)</f>
        <v>25.274023696999997</v>
      </c>
      <c r="G90" s="15">
        <f t="shared" si="78"/>
        <v>26.057518431606994</v>
      </c>
      <c r="H90" s="15">
        <f t="shared" si="78"/>
        <v>26.86530150298681</v>
      </c>
      <c r="I90" s="15">
        <f t="shared" si="78"/>
        <v>27.698125849579402</v>
      </c>
      <c r="J90" s="15">
        <f t="shared" si="78"/>
        <v>28.556767750916361</v>
      </c>
      <c r="K90" s="15">
        <f t="shared" si="78"/>
        <v>29.442027551194766</v>
      </c>
      <c r="L90" s="15">
        <f t="shared" si="78"/>
        <v>30.354730405281803</v>
      </c>
      <c r="M90" s="15">
        <f t="shared" si="78"/>
        <v>31.295727047845535</v>
      </c>
      <c r="N90" s="15">
        <f t="shared" si="78"/>
        <v>32.265894586328749</v>
      </c>
      <c r="O90" s="15">
        <f t="shared" si="78"/>
        <v>33.266137318504931</v>
      </c>
      <c r="P90" s="15">
        <f t="shared" si="78"/>
        <v>34.297387575378586</v>
      </c>
      <c r="Q90" s="15">
        <f t="shared" si="78"/>
        <v>35.360606590215326</v>
      </c>
      <c r="R90" s="15">
        <f t="shared" si="78"/>
        <v>36.456785394511989</v>
      </c>
      <c r="S90" s="15">
        <f t="shared" si="78"/>
        <v>37.586945741741864</v>
      </c>
      <c r="T90" s="15">
        <f t="shared" si="78"/>
        <v>38.752141059735862</v>
      </c>
      <c r="U90" s="15">
        <f t="shared" si="78"/>
        <v>39.953457432587669</v>
      </c>
      <c r="V90" s="15">
        <f t="shared" si="78"/>
        <v>41.192014612997887</v>
      </c>
      <c r="W90" s="15">
        <f t="shared" si="78"/>
        <v>42.468967066000815</v>
      </c>
      <c r="X90" s="15">
        <f t="shared" si="78"/>
        <v>43.78550504504684</v>
      </c>
      <c r="Y90" s="15">
        <f t="shared" si="78"/>
        <v>45.142855701443288</v>
      </c>
      <c r="Z90" s="15">
        <f t="shared" si="78"/>
        <v>46.542284228188031</v>
      </c>
      <c r="AA90" s="15">
        <f t="shared" si="78"/>
        <v>47.985095039261857</v>
      </c>
      <c r="AB90" s="15">
        <f t="shared" si="78"/>
        <v>49.472632985478967</v>
      </c>
      <c r="AC90" s="15">
        <f t="shared" si="78"/>
        <v>51.006284608028814</v>
      </c>
      <c r="AD90" s="15">
        <f t="shared" si="78"/>
        <v>52.5874794308777</v>
      </c>
      <c r="AE90" s="15">
        <f t="shared" si="78"/>
        <v>54.217691293234914</v>
      </c>
      <c r="AF90" s="15">
        <f t="shared" si="78"/>
        <v>55.898439723325197</v>
      </c>
      <c r="AG90" s="15">
        <f t="shared" si="78"/>
        <v>57.631291354748271</v>
      </c>
      <c r="AH90" s="15">
        <f t="shared" si="78"/>
        <v>59.417861386745457</v>
      </c>
    </row>
    <row r="91" spans="1:34" x14ac:dyDescent="0.45">
      <c r="A91" s="34"/>
      <c r="B91" s="4" t="s">
        <v>373</v>
      </c>
      <c r="C91" s="3" t="s">
        <v>523</v>
      </c>
      <c r="D91" s="15">
        <v>17.762</v>
      </c>
      <c r="E91" s="15">
        <f>$D$7*(1.031)^(E87-2020)</f>
        <v>18.312621999999998</v>
      </c>
      <c r="F91" s="15">
        <f t="shared" ref="F91:AH91" si="79">$D$7*(1.031)^(F87-2020)</f>
        <v>18.880313281999996</v>
      </c>
      <c r="G91" s="15">
        <f t="shared" si="79"/>
        <v>19.465602993741996</v>
      </c>
      <c r="H91" s="15">
        <f t="shared" si="79"/>
        <v>20.069036686547996</v>
      </c>
      <c r="I91" s="15">
        <f t="shared" si="79"/>
        <v>20.691176823830986</v>
      </c>
      <c r="J91" s="15">
        <f t="shared" si="79"/>
        <v>21.332603305369744</v>
      </c>
      <c r="K91" s="15">
        <f t="shared" si="79"/>
        <v>21.993914007836203</v>
      </c>
      <c r="L91" s="15">
        <f t="shared" si="79"/>
        <v>22.675725342079126</v>
      </c>
      <c r="M91" s="15">
        <f t="shared" si="79"/>
        <v>23.378672827683577</v>
      </c>
      <c r="N91" s="15">
        <f t="shared" si="79"/>
        <v>24.103411685341765</v>
      </c>
      <c r="O91" s="15">
        <f t="shared" si="79"/>
        <v>24.850617447587357</v>
      </c>
      <c r="P91" s="15">
        <f t="shared" si="79"/>
        <v>25.620986588462568</v>
      </c>
      <c r="Q91" s="15">
        <f t="shared" si="79"/>
        <v>26.415237172704906</v>
      </c>
      <c r="R91" s="15">
        <f t="shared" si="79"/>
        <v>27.234109525058756</v>
      </c>
      <c r="S91" s="15">
        <f t="shared" si="79"/>
        <v>28.078366920335576</v>
      </c>
      <c r="T91" s="15">
        <f t="shared" si="79"/>
        <v>28.948796294865978</v>
      </c>
      <c r="U91" s="15">
        <f t="shared" si="79"/>
        <v>29.846208980006821</v>
      </c>
      <c r="V91" s="15">
        <f t="shared" si="79"/>
        <v>30.771441458387031</v>
      </c>
      <c r="W91" s="15">
        <f t="shared" si="79"/>
        <v>31.725356143597022</v>
      </c>
      <c r="X91" s="15">
        <f t="shared" si="79"/>
        <v>32.708842184048535</v>
      </c>
      <c r="Y91" s="15">
        <f t="shared" si="79"/>
        <v>33.722816291754036</v>
      </c>
      <c r="Z91" s="15">
        <f t="shared" si="79"/>
        <v>34.768223596798407</v>
      </c>
      <c r="AA91" s="15">
        <f t="shared" si="79"/>
        <v>35.846038528299161</v>
      </c>
      <c r="AB91" s="15">
        <f t="shared" si="79"/>
        <v>36.957265722676425</v>
      </c>
      <c r="AC91" s="15">
        <f t="shared" si="79"/>
        <v>38.102940960079394</v>
      </c>
      <c r="AD91" s="15">
        <f t="shared" si="79"/>
        <v>39.284132129841851</v>
      </c>
      <c r="AE91" s="15">
        <f t="shared" si="79"/>
        <v>40.501940225866953</v>
      </c>
      <c r="AF91" s="15">
        <f t="shared" si="79"/>
        <v>41.757500372868826</v>
      </c>
      <c r="AG91" s="15">
        <f t="shared" si="79"/>
        <v>43.051982884427758</v>
      </c>
      <c r="AH91" s="15">
        <f t="shared" si="79"/>
        <v>44.386594353845013</v>
      </c>
    </row>
    <row r="92" spans="1:34" x14ac:dyDescent="0.45">
      <c r="A92" s="34"/>
      <c r="B92" s="4" t="s">
        <v>374</v>
      </c>
      <c r="C92" s="3" t="s">
        <v>524</v>
      </c>
      <c r="D92" s="15">
        <v>10.423999999999999</v>
      </c>
      <c r="E92" s="15">
        <f>$D$8*(1.031)^(E87-2020)</f>
        <v>10.747143999999999</v>
      </c>
      <c r="F92" s="15">
        <f t="shared" ref="F92:AH92" si="80">$D$8*(1.031)^(F87-2020)</f>
        <v>11.080305463999998</v>
      </c>
      <c r="G92" s="15">
        <f t="shared" si="80"/>
        <v>11.423794933383997</v>
      </c>
      <c r="H92" s="15">
        <f t="shared" si="80"/>
        <v>11.7779325763189</v>
      </c>
      <c r="I92" s="15">
        <f t="shared" si="80"/>
        <v>12.143048486184787</v>
      </c>
      <c r="J92" s="15">
        <f t="shared" si="80"/>
        <v>12.519482989256513</v>
      </c>
      <c r="K92" s="15">
        <f t="shared" si="80"/>
        <v>12.907586961923464</v>
      </c>
      <c r="L92" s="15">
        <f t="shared" si="80"/>
        <v>13.307722157743092</v>
      </c>
      <c r="M92" s="15">
        <f t="shared" si="80"/>
        <v>13.720261544633125</v>
      </c>
      <c r="N92" s="15">
        <f t="shared" si="80"/>
        <v>14.145589652516751</v>
      </c>
      <c r="O92" s="15">
        <f t="shared" si="80"/>
        <v>14.58410293174477</v>
      </c>
      <c r="P92" s="15">
        <f t="shared" si="80"/>
        <v>15.036210122628859</v>
      </c>
      <c r="Q92" s="15">
        <f t="shared" si="80"/>
        <v>15.502332636430353</v>
      </c>
      <c r="R92" s="15">
        <f t="shared" si="80"/>
        <v>15.982904948159691</v>
      </c>
      <c r="S92" s="15">
        <f t="shared" si="80"/>
        <v>16.478375001552642</v>
      </c>
      <c r="T92" s="15">
        <f t="shared" si="80"/>
        <v>16.989204626600774</v>
      </c>
      <c r="U92" s="15">
        <f t="shared" si="80"/>
        <v>17.515869970025395</v>
      </c>
      <c r="V92" s="15">
        <f t="shared" si="80"/>
        <v>18.058861939096182</v>
      </c>
      <c r="W92" s="15">
        <f t="shared" si="80"/>
        <v>18.618686659208162</v>
      </c>
      <c r="X92" s="15">
        <f t="shared" si="80"/>
        <v>19.195865945643614</v>
      </c>
      <c r="Y92" s="15">
        <f t="shared" si="80"/>
        <v>19.790937789958566</v>
      </c>
      <c r="Z92" s="15">
        <f t="shared" si="80"/>
        <v>20.404456861447279</v>
      </c>
      <c r="AA92" s="15">
        <f t="shared" si="80"/>
        <v>21.036995024152144</v>
      </c>
      <c r="AB92" s="15">
        <f t="shared" si="80"/>
        <v>21.689141869900858</v>
      </c>
      <c r="AC92" s="15">
        <f t="shared" si="80"/>
        <v>22.361505267867784</v>
      </c>
      <c r="AD92" s="15">
        <f t="shared" si="80"/>
        <v>23.054711931171681</v>
      </c>
      <c r="AE92" s="15">
        <f t="shared" si="80"/>
        <v>23.769408001038006</v>
      </c>
      <c r="AF92" s="15">
        <f t="shared" si="80"/>
        <v>24.506259649070184</v>
      </c>
      <c r="AG92" s="15">
        <f t="shared" si="80"/>
        <v>25.265953698191357</v>
      </c>
      <c r="AH92" s="15">
        <f t="shared" si="80"/>
        <v>26.049198262835286</v>
      </c>
    </row>
    <row r="93" spans="1:34" x14ac:dyDescent="0.45">
      <c r="A93" s="34"/>
      <c r="B93" s="4" t="s">
        <v>375</v>
      </c>
      <c r="C93" s="3" t="s">
        <v>525</v>
      </c>
      <c r="D93" s="15">
        <v>12.641</v>
      </c>
      <c r="E93" s="15">
        <f>$D$9*(1.031)^(E87-2020)</f>
        <v>13.032870999999998</v>
      </c>
      <c r="F93" s="15">
        <f t="shared" ref="F93:AH93" si="81">$D$9*(1.031)^(F87-2020)</f>
        <v>13.436890000999998</v>
      </c>
      <c r="G93" s="15">
        <f t="shared" si="81"/>
        <v>13.853433591030996</v>
      </c>
      <c r="H93" s="15">
        <f t="shared" si="81"/>
        <v>14.282890032352958</v>
      </c>
      <c r="I93" s="15">
        <f t="shared" si="81"/>
        <v>14.725659623355899</v>
      </c>
      <c r="J93" s="15">
        <f t="shared" si="81"/>
        <v>15.182155071679931</v>
      </c>
      <c r="K93" s="15">
        <f t="shared" si="81"/>
        <v>15.652801878902006</v>
      </c>
      <c r="L93" s="15">
        <f t="shared" si="81"/>
        <v>16.138038737147969</v>
      </c>
      <c r="M93" s="15">
        <f t="shared" si="81"/>
        <v>16.638317937999552</v>
      </c>
      <c r="N93" s="15">
        <f t="shared" si="81"/>
        <v>17.154105794077541</v>
      </c>
      <c r="O93" s="15">
        <f t="shared" si="81"/>
        <v>17.68588307369394</v>
      </c>
      <c r="P93" s="15">
        <f t="shared" si="81"/>
        <v>18.234145448978456</v>
      </c>
      <c r="Q93" s="15">
        <f t="shared" si="81"/>
        <v>18.799403957896786</v>
      </c>
      <c r="R93" s="15">
        <f t="shared" si="81"/>
        <v>19.382185480591584</v>
      </c>
      <c r="S93" s="15">
        <f t="shared" si="81"/>
        <v>19.983033230489923</v>
      </c>
      <c r="T93" s="15">
        <f t="shared" si="81"/>
        <v>20.602507260635111</v>
      </c>
      <c r="U93" s="15">
        <f t="shared" si="81"/>
        <v>21.241184985714796</v>
      </c>
      <c r="V93" s="15">
        <f t="shared" si="81"/>
        <v>21.899661720271954</v>
      </c>
      <c r="W93" s="15">
        <f t="shared" si="81"/>
        <v>22.578551233600383</v>
      </c>
      <c r="X93" s="15">
        <f t="shared" si="81"/>
        <v>23.278486321841996</v>
      </c>
      <c r="Y93" s="15">
        <f t="shared" si="81"/>
        <v>24.000119397819095</v>
      </c>
      <c r="Z93" s="15">
        <f t="shared" si="81"/>
        <v>24.744123099151484</v>
      </c>
      <c r="AA93" s="15">
        <f t="shared" si="81"/>
        <v>25.511190915225182</v>
      </c>
      <c r="AB93" s="15">
        <f t="shared" si="81"/>
        <v>26.302037833597158</v>
      </c>
      <c r="AC93" s="15">
        <f t="shared" si="81"/>
        <v>27.117401006438669</v>
      </c>
      <c r="AD93" s="15">
        <f t="shared" si="81"/>
        <v>27.958040437638264</v>
      </c>
      <c r="AE93" s="15">
        <f t="shared" si="81"/>
        <v>28.82473969120505</v>
      </c>
      <c r="AF93" s="15">
        <f t="shared" si="81"/>
        <v>29.718306621632408</v>
      </c>
      <c r="AG93" s="15">
        <f t="shared" si="81"/>
        <v>30.63957412690301</v>
      </c>
      <c r="AH93" s="15">
        <f t="shared" si="81"/>
        <v>31.589400924836998</v>
      </c>
    </row>
    <row r="94" spans="1:34" x14ac:dyDescent="0.45">
      <c r="A94" s="34"/>
      <c r="B94" s="4" t="s">
        <v>376</v>
      </c>
      <c r="C94" s="3" t="s">
        <v>526</v>
      </c>
      <c r="D94" s="15">
        <v>18.204000000000001</v>
      </c>
      <c r="E94" s="15">
        <f>$D$10*(1.031)^(E87-2020)</f>
        <v>18.768324</v>
      </c>
      <c r="F94" s="15">
        <f t="shared" ref="F94:AH94" si="82">$D$10*(1.031)^(F87-2020)</f>
        <v>19.350142043999998</v>
      </c>
      <c r="G94" s="15">
        <f t="shared" si="82"/>
        <v>19.949996447363997</v>
      </c>
      <c r="H94" s="15">
        <f t="shared" si="82"/>
        <v>20.568446337232281</v>
      </c>
      <c r="I94" s="15">
        <f t="shared" si="82"/>
        <v>21.206068173686479</v>
      </c>
      <c r="J94" s="15">
        <f t="shared" si="82"/>
        <v>21.863456287070761</v>
      </c>
      <c r="K94" s="15">
        <f t="shared" si="82"/>
        <v>22.54122343196995</v>
      </c>
      <c r="L94" s="15">
        <f t="shared" si="82"/>
        <v>23.240001358361017</v>
      </c>
      <c r="M94" s="15">
        <f t="shared" si="82"/>
        <v>23.960441400470206</v>
      </c>
      <c r="N94" s="15">
        <f t="shared" si="82"/>
        <v>24.703215083884782</v>
      </c>
      <c r="O94" s="15">
        <f t="shared" si="82"/>
        <v>25.469014751485208</v>
      </c>
      <c r="P94" s="15">
        <f t="shared" si="82"/>
        <v>26.258554208781252</v>
      </c>
      <c r="Q94" s="15">
        <f t="shared" si="82"/>
        <v>27.07256938925347</v>
      </c>
      <c r="R94" s="15">
        <f t="shared" si="82"/>
        <v>27.911819040320324</v>
      </c>
      <c r="S94" s="15">
        <f t="shared" si="82"/>
        <v>28.777085430570249</v>
      </c>
      <c r="T94" s="15">
        <f t="shared" si="82"/>
        <v>29.669175078917931</v>
      </c>
      <c r="U94" s="15">
        <f t="shared" si="82"/>
        <v>30.588919506364384</v>
      </c>
      <c r="V94" s="15">
        <f t="shared" si="82"/>
        <v>31.537176011061675</v>
      </c>
      <c r="W94" s="15">
        <f t="shared" si="82"/>
        <v>32.514828467404584</v>
      </c>
      <c r="X94" s="15">
        <f t="shared" si="82"/>
        <v>33.522788149894126</v>
      </c>
      <c r="Y94" s="15">
        <f t="shared" si="82"/>
        <v>34.561994582540841</v>
      </c>
      <c r="Z94" s="15">
        <f t="shared" si="82"/>
        <v>35.633416414599608</v>
      </c>
      <c r="AA94" s="15">
        <f t="shared" si="82"/>
        <v>36.738052323452195</v>
      </c>
      <c r="AB94" s="15">
        <f t="shared" si="82"/>
        <v>37.876931945479207</v>
      </c>
      <c r="AC94" s="15">
        <f t="shared" si="82"/>
        <v>39.05111683578906</v>
      </c>
      <c r="AD94" s="15">
        <f t="shared" si="82"/>
        <v>40.261701457698514</v>
      </c>
      <c r="AE94" s="15">
        <f t="shared" si="82"/>
        <v>41.509814202887171</v>
      </c>
      <c r="AF94" s="15">
        <f t="shared" si="82"/>
        <v>42.796618443176676</v>
      </c>
      <c r="AG94" s="15">
        <f t="shared" si="82"/>
        <v>44.123313614915148</v>
      </c>
      <c r="AH94" s="15">
        <f t="shared" si="82"/>
        <v>45.491136336977512</v>
      </c>
    </row>
    <row r="95" spans="1:34" x14ac:dyDescent="0.45">
      <c r="A95" s="34" t="s">
        <v>517</v>
      </c>
      <c r="B95" s="4" t="s">
        <v>225</v>
      </c>
      <c r="C95" s="3" t="s">
        <v>528</v>
      </c>
      <c r="D95" s="15">
        <v>56.353116116334469</v>
      </c>
      <c r="E95" s="15">
        <f>$D$11*(1.0035)^(E87-2020)</f>
        <v>56.550352022741642</v>
      </c>
      <c r="F95" s="15">
        <f t="shared" ref="F95:AH95" si="83">$D$11*(1.0035)^(F87-2020)</f>
        <v>56.748278254821237</v>
      </c>
      <c r="G95" s="15">
        <f t="shared" si="83"/>
        <v>56.946897228713119</v>
      </c>
      <c r="H95" s="15">
        <f t="shared" si="83"/>
        <v>57.146211369013614</v>
      </c>
      <c r="I95" s="15">
        <f t="shared" si="83"/>
        <v>57.346223108805162</v>
      </c>
      <c r="J95" s="15">
        <f t="shared" si="83"/>
        <v>57.546934889685986</v>
      </c>
      <c r="K95" s="15">
        <f t="shared" si="83"/>
        <v>57.748349161799894</v>
      </c>
      <c r="L95" s="15">
        <f t="shared" si="83"/>
        <v>57.950468383866188</v>
      </c>
      <c r="M95" s="15">
        <f t="shared" si="83"/>
        <v>58.153295023209722</v>
      </c>
      <c r="N95" s="15">
        <f t="shared" si="83"/>
        <v>58.356831555790954</v>
      </c>
      <c r="O95" s="15">
        <f t="shared" si="83"/>
        <v>58.561080466236234</v>
      </c>
      <c r="P95" s="15">
        <f t="shared" si="83"/>
        <v>58.766044247868059</v>
      </c>
      <c r="Q95" s="15">
        <f t="shared" si="83"/>
        <v>58.971725402735593</v>
      </c>
      <c r="R95" s="15">
        <f t="shared" si="83"/>
        <v>59.178126441645176</v>
      </c>
      <c r="S95" s="15">
        <f t="shared" si="83"/>
        <v>59.385249884190948</v>
      </c>
      <c r="T95" s="15">
        <f t="shared" si="83"/>
        <v>59.593098258785602</v>
      </c>
      <c r="U95" s="15">
        <f t="shared" si="83"/>
        <v>59.801674102691358</v>
      </c>
      <c r="V95" s="15">
        <f t="shared" si="83"/>
        <v>60.010979962050776</v>
      </c>
      <c r="W95" s="15">
        <f t="shared" si="83"/>
        <v>60.221018391917951</v>
      </c>
      <c r="X95" s="15">
        <f t="shared" si="83"/>
        <v>60.431791956289665</v>
      </c>
      <c r="Y95" s="15">
        <f t="shared" si="83"/>
        <v>60.643303228136681</v>
      </c>
      <c r="Z95" s="15">
        <f t="shared" si="83"/>
        <v>60.855554789435168</v>
      </c>
      <c r="AA95" s="15">
        <f t="shared" si="83"/>
        <v>61.068549231198197</v>
      </c>
      <c r="AB95" s="15">
        <f t="shared" si="83"/>
        <v>61.282289153507385</v>
      </c>
      <c r="AC95" s="15">
        <f t="shared" si="83"/>
        <v>61.496777165544664</v>
      </c>
      <c r="AD95" s="15">
        <f t="shared" si="83"/>
        <v>61.712015885624062</v>
      </c>
      <c r="AE95" s="15">
        <f t="shared" si="83"/>
        <v>61.928007941223761</v>
      </c>
      <c r="AF95" s="15">
        <f t="shared" si="83"/>
        <v>62.14475596901805</v>
      </c>
      <c r="AG95" s="15">
        <f t="shared" si="83"/>
        <v>62.362262614909611</v>
      </c>
      <c r="AH95" s="15">
        <f t="shared" si="83"/>
        <v>62.580530534061801</v>
      </c>
    </row>
    <row r="96" spans="1:34" x14ac:dyDescent="0.45">
      <c r="A96" s="34"/>
      <c r="B96" s="4" t="s">
        <v>378</v>
      </c>
      <c r="C96" s="3" t="s">
        <v>529</v>
      </c>
      <c r="D96" s="15">
        <v>0.66273088810329706</v>
      </c>
      <c r="E96" s="15">
        <f>$D$12*(1.0035)^(E87-2020)</f>
        <v>0.66505044621165865</v>
      </c>
      <c r="F96" s="15">
        <f t="shared" ref="F96:AH96" si="84">$D$12*(1.0035)^(F87-2020)</f>
        <v>0.66737812277339947</v>
      </c>
      <c r="G96" s="15">
        <f t="shared" si="84"/>
        <v>0.66971394620310642</v>
      </c>
      <c r="H96" s="15">
        <f t="shared" si="84"/>
        <v>0.6720579450148173</v>
      </c>
      <c r="I96" s="15">
        <f t="shared" si="84"/>
        <v>0.67441014782236919</v>
      </c>
      <c r="J96" s="15">
        <f t="shared" si="84"/>
        <v>0.67677058333974749</v>
      </c>
      <c r="K96" s="15">
        <f t="shared" si="84"/>
        <v>0.67913928038143667</v>
      </c>
      <c r="L96" s="15">
        <f t="shared" si="84"/>
        <v>0.68151626786277164</v>
      </c>
      <c r="M96" s="15">
        <f t="shared" si="84"/>
        <v>0.68390157480029135</v>
      </c>
      <c r="N96" s="15">
        <f t="shared" si="84"/>
        <v>0.68629523031209239</v>
      </c>
      <c r="O96" s="15">
        <f t="shared" si="84"/>
        <v>0.68869726361818484</v>
      </c>
      <c r="P96" s="15">
        <f t="shared" si="84"/>
        <v>0.69110770404084843</v>
      </c>
      <c r="Q96" s="15">
        <f t="shared" si="84"/>
        <v>0.69352658100499132</v>
      </c>
      <c r="R96" s="15">
        <f t="shared" si="84"/>
        <v>0.69595392403850898</v>
      </c>
      <c r="S96" s="15">
        <f t="shared" si="84"/>
        <v>0.69838976277264386</v>
      </c>
      <c r="T96" s="15">
        <f t="shared" si="84"/>
        <v>0.70083412694234792</v>
      </c>
      <c r="U96" s="15">
        <f t="shared" si="84"/>
        <v>0.7032870463866463</v>
      </c>
      <c r="V96" s="15">
        <f t="shared" si="84"/>
        <v>0.70574855104899947</v>
      </c>
      <c r="W96" s="15">
        <f t="shared" si="84"/>
        <v>0.70821867097767099</v>
      </c>
      <c r="X96" s="15">
        <f t="shared" si="84"/>
        <v>0.71069743632609284</v>
      </c>
      <c r="Y96" s="15">
        <f t="shared" si="84"/>
        <v>0.71318487735323421</v>
      </c>
      <c r="Z96" s="15">
        <f t="shared" si="84"/>
        <v>0.71568102442397064</v>
      </c>
      <c r="AA96" s="15">
        <f t="shared" si="84"/>
        <v>0.71818590800945459</v>
      </c>
      <c r="AB96" s="15">
        <f t="shared" si="84"/>
        <v>0.72069955868748758</v>
      </c>
      <c r="AC96" s="15">
        <f t="shared" si="84"/>
        <v>0.72322200714289386</v>
      </c>
      <c r="AD96" s="15">
        <f t="shared" si="84"/>
        <v>0.72575328416789386</v>
      </c>
      <c r="AE96" s="15">
        <f t="shared" si="84"/>
        <v>0.72829342066248171</v>
      </c>
      <c r="AF96" s="15">
        <f t="shared" si="84"/>
        <v>0.73084244763480044</v>
      </c>
      <c r="AG96" s="15">
        <f t="shared" si="84"/>
        <v>0.7334003962015222</v>
      </c>
      <c r="AH96" s="15">
        <f t="shared" si="84"/>
        <v>0.73596729758822765</v>
      </c>
    </row>
    <row r="97" spans="1:34" x14ac:dyDescent="0.45">
      <c r="A97" s="34"/>
      <c r="B97" s="4" t="s">
        <v>227</v>
      </c>
      <c r="C97" s="3" t="s">
        <v>530</v>
      </c>
      <c r="D97" s="15">
        <v>4.0827849386987587E-2</v>
      </c>
      <c r="E97" s="15">
        <f>$D$13*(1.0035)^(E87-2020)</f>
        <v>4.0970746859842047E-2</v>
      </c>
      <c r="F97" s="15">
        <f t="shared" ref="F97:AH97" si="85">$D$13*(1.0035)^(F87-2020)</f>
        <v>4.1114144473851491E-2</v>
      </c>
      <c r="G97" s="15">
        <f t="shared" si="85"/>
        <v>4.1258043979509981E-2</v>
      </c>
      <c r="H97" s="15">
        <f t="shared" si="85"/>
        <v>4.1402447133438262E-2</v>
      </c>
      <c r="I97" s="15">
        <f t="shared" si="85"/>
        <v>4.15473556984053E-2</v>
      </c>
      <c r="J97" s="15">
        <f t="shared" si="85"/>
        <v>4.1692771443349715E-2</v>
      </c>
      <c r="K97" s="15">
        <f t="shared" si="85"/>
        <v>4.1838696143401445E-2</v>
      </c>
      <c r="L97" s="15">
        <f t="shared" si="85"/>
        <v>4.1985131579903349E-2</v>
      </c>
      <c r="M97" s="15">
        <f t="shared" si="85"/>
        <v>4.2132079540433014E-2</v>
      </c>
      <c r="N97" s="15">
        <f t="shared" si="85"/>
        <v>4.2279541818824526E-2</v>
      </c>
      <c r="O97" s="15">
        <f t="shared" si="85"/>
        <v>4.2427520215190417E-2</v>
      </c>
      <c r="P97" s="15">
        <f t="shared" si="85"/>
        <v>4.2576016535943582E-2</v>
      </c>
      <c r="Q97" s="15">
        <f t="shared" si="85"/>
        <v>4.2725032593819386E-2</v>
      </c>
      <c r="R97" s="15">
        <f t="shared" si="85"/>
        <v>4.2874570207897762E-2</v>
      </c>
      <c r="S97" s="15">
        <f t="shared" si="85"/>
        <v>4.3024631203625409E-2</v>
      </c>
      <c r="T97" s="15">
        <f t="shared" si="85"/>
        <v>4.3175217412838092E-2</v>
      </c>
      <c r="U97" s="15">
        <f t="shared" si="85"/>
        <v>4.3326330673783026E-2</v>
      </c>
      <c r="V97" s="15">
        <f t="shared" si="85"/>
        <v>4.3477972831141271E-2</v>
      </c>
      <c r="W97" s="15">
        <f t="shared" si="85"/>
        <v>4.3630145736050265E-2</v>
      </c>
      <c r="X97" s="15">
        <f t="shared" si="85"/>
        <v>4.3782851246126436E-2</v>
      </c>
      <c r="Y97" s="15">
        <f t="shared" si="85"/>
        <v>4.3936091225487882E-2</v>
      </c>
      <c r="Z97" s="15">
        <f t="shared" si="85"/>
        <v>4.4089867544777096E-2</v>
      </c>
      <c r="AA97" s="15">
        <f t="shared" si="85"/>
        <v>4.4244182081183824E-2</v>
      </c>
      <c r="AB97" s="15">
        <f t="shared" si="85"/>
        <v>4.4399036718467955E-2</v>
      </c>
      <c r="AC97" s="15">
        <f t="shared" si="85"/>
        <v>4.45544333469826E-2</v>
      </c>
      <c r="AD97" s="15">
        <f t="shared" si="85"/>
        <v>4.4710373863697035E-2</v>
      </c>
      <c r="AE97" s="15">
        <f t="shared" si="85"/>
        <v>4.4866860172219983E-2</v>
      </c>
      <c r="AF97" s="15">
        <f t="shared" si="85"/>
        <v>4.5023894182822752E-2</v>
      </c>
      <c r="AG97" s="15">
        <f t="shared" si="85"/>
        <v>4.518147781246263E-2</v>
      </c>
      <c r="AH97" s="15">
        <f t="shared" si="85"/>
        <v>4.5339612984806259E-2</v>
      </c>
    </row>
    <row r="98" spans="1:34" x14ac:dyDescent="0.45">
      <c r="A98" s="34"/>
      <c r="B98" s="4" t="s">
        <v>228</v>
      </c>
      <c r="C98" s="3" t="s">
        <v>531</v>
      </c>
      <c r="D98" s="15">
        <v>12.129825967055282</v>
      </c>
      <c r="E98" s="15">
        <f>$D$14*(1.0035)^(E87-2020)</f>
        <v>12.172280357939977</v>
      </c>
      <c r="F98" s="15">
        <f t="shared" ref="F98:AH98" si="86">$D$14*(1.0035)^(F87-2020)</f>
        <v>12.214883339192767</v>
      </c>
      <c r="G98" s="15">
        <f t="shared" si="86"/>
        <v>12.257635430879942</v>
      </c>
      <c r="H98" s="15">
        <f t="shared" si="86"/>
        <v>12.300537154888023</v>
      </c>
      <c r="I98" s="15">
        <f t="shared" si="86"/>
        <v>12.34358903493013</v>
      </c>
      <c r="J98" s="15">
        <f t="shared" si="86"/>
        <v>12.386791596552387</v>
      </c>
      <c r="K98" s="15">
        <f t="shared" si="86"/>
        <v>12.430145367140321</v>
      </c>
      <c r="L98" s="15">
        <f t="shared" si="86"/>
        <v>12.473650875925312</v>
      </c>
      <c r="M98" s="15">
        <f t="shared" si="86"/>
        <v>12.517308653991051</v>
      </c>
      <c r="N98" s="15">
        <f t="shared" si="86"/>
        <v>12.561119234280019</v>
      </c>
      <c r="O98" s="15">
        <f t="shared" si="86"/>
        <v>12.605083151600002</v>
      </c>
      <c r="P98" s="15">
        <f t="shared" si="86"/>
        <v>12.6492009426306</v>
      </c>
      <c r="Q98" s="15">
        <f t="shared" si="86"/>
        <v>12.693473145929808</v>
      </c>
      <c r="R98" s="15">
        <f t="shared" si="86"/>
        <v>12.737900301940565</v>
      </c>
      <c r="S98" s="15">
        <f t="shared" si="86"/>
        <v>12.782482952997357</v>
      </c>
      <c r="T98" s="15">
        <f t="shared" si="86"/>
        <v>12.827221643332846</v>
      </c>
      <c r="U98" s="15">
        <f t="shared" si="86"/>
        <v>12.872116919084512</v>
      </c>
      <c r="V98" s="15">
        <f t="shared" si="86"/>
        <v>12.917169328301307</v>
      </c>
      <c r="W98" s="15">
        <f t="shared" si="86"/>
        <v>12.962379420950363</v>
      </c>
      <c r="X98" s="15">
        <f t="shared" si="86"/>
        <v>13.007747748923689</v>
      </c>
      <c r="Y98" s="15">
        <f t="shared" si="86"/>
        <v>13.053274866044921</v>
      </c>
      <c r="Z98" s="15">
        <f t="shared" si="86"/>
        <v>13.098961328076081</v>
      </c>
      <c r="AA98" s="15">
        <f t="shared" si="86"/>
        <v>13.144807692724349</v>
      </c>
      <c r="AB98" s="15">
        <f t="shared" si="86"/>
        <v>13.190814519648882</v>
      </c>
      <c r="AC98" s="15">
        <f t="shared" si="86"/>
        <v>13.236982370467654</v>
      </c>
      <c r="AD98" s="15">
        <f t="shared" si="86"/>
        <v>13.283311808764291</v>
      </c>
      <c r="AE98" s="15">
        <f t="shared" si="86"/>
        <v>13.329803400094967</v>
      </c>
      <c r="AF98" s="15">
        <f t="shared" si="86"/>
        <v>13.3764577119953</v>
      </c>
      <c r="AG98" s="15">
        <f t="shared" si="86"/>
        <v>13.423275313987283</v>
      </c>
      <c r="AH98" s="15">
        <f t="shared" si="86"/>
        <v>13.470256777586242</v>
      </c>
    </row>
    <row r="99" spans="1:34" x14ac:dyDescent="0.45">
      <c r="A99" s="34"/>
      <c r="B99" s="4" t="s">
        <v>229</v>
      </c>
      <c r="C99" s="3" t="s">
        <v>532</v>
      </c>
      <c r="D99" s="15">
        <v>22.098979206468599</v>
      </c>
      <c r="E99" s="15">
        <f>$D$15*(1.0035)^(E87-2020)</f>
        <v>22.176325633691238</v>
      </c>
      <c r="F99" s="15">
        <f t="shared" ref="F99:AH99" si="87">$D$15*(1.0035)^(F87-2020)</f>
        <v>22.253942773409157</v>
      </c>
      <c r="G99" s="15">
        <f t="shared" si="87"/>
        <v>22.331831573116094</v>
      </c>
      <c r="H99" s="15">
        <f t="shared" si="87"/>
        <v>22.409992983622001</v>
      </c>
      <c r="I99" s="15">
        <f t="shared" si="87"/>
        <v>22.488427959064676</v>
      </c>
      <c r="J99" s="15">
        <f t="shared" si="87"/>
        <v>22.567137456921404</v>
      </c>
      <c r="K99" s="15">
        <f t="shared" si="87"/>
        <v>22.646122438020633</v>
      </c>
      <c r="L99" s="15">
        <f t="shared" si="87"/>
        <v>22.725383866553702</v>
      </c>
      <c r="M99" s="15">
        <f t="shared" si="87"/>
        <v>22.804922710086643</v>
      </c>
      <c r="N99" s="15">
        <f t="shared" si="87"/>
        <v>22.884739939571944</v>
      </c>
      <c r="O99" s="15">
        <f t="shared" si="87"/>
        <v>22.964836529360451</v>
      </c>
      <c r="P99" s="15">
        <f t="shared" si="87"/>
        <v>23.045213457213212</v>
      </c>
      <c r="Q99" s="15">
        <f t="shared" si="87"/>
        <v>23.125871704313457</v>
      </c>
      <c r="R99" s="15">
        <f t="shared" si="87"/>
        <v>23.206812255278557</v>
      </c>
      <c r="S99" s="15">
        <f t="shared" si="87"/>
        <v>23.288036098172036</v>
      </c>
      <c r="T99" s="15">
        <f t="shared" si="87"/>
        <v>23.369544224515632</v>
      </c>
      <c r="U99" s="15">
        <f t="shared" si="87"/>
        <v>23.451337629301442</v>
      </c>
      <c r="V99" s="15">
        <f t="shared" si="87"/>
        <v>23.533417311003994</v>
      </c>
      <c r="W99" s="15">
        <f t="shared" si="87"/>
        <v>23.61578427159251</v>
      </c>
      <c r="X99" s="15">
        <f t="shared" si="87"/>
        <v>23.698439516543083</v>
      </c>
      <c r="Y99" s="15">
        <f t="shared" si="87"/>
        <v>23.781384054850982</v>
      </c>
      <c r="Z99" s="15">
        <f t="shared" si="87"/>
        <v>23.864618899042966</v>
      </c>
      <c r="AA99" s="15">
        <f t="shared" si="87"/>
        <v>23.948145065189621</v>
      </c>
      <c r="AB99" s="15">
        <f t="shared" si="87"/>
        <v>24.031963572917778</v>
      </c>
      <c r="AC99" s="15">
        <f t="shared" si="87"/>
        <v>24.116075445422993</v>
      </c>
      <c r="AD99" s="15">
        <f t="shared" si="87"/>
        <v>24.200481709481974</v>
      </c>
      <c r="AE99" s="15">
        <f t="shared" si="87"/>
        <v>24.285183395465165</v>
      </c>
      <c r="AF99" s="15">
        <f t="shared" si="87"/>
        <v>24.370181537349293</v>
      </c>
      <c r="AG99" s="15">
        <f t="shared" si="87"/>
        <v>24.455477172730014</v>
      </c>
      <c r="AH99" s="15">
        <f t="shared" si="87"/>
        <v>24.541071342834574</v>
      </c>
    </row>
    <row r="100" spans="1:34" x14ac:dyDescent="0.45">
      <c r="A100" s="34"/>
      <c r="B100" s="4" t="s">
        <v>230</v>
      </c>
      <c r="C100" s="3" t="s">
        <v>533</v>
      </c>
      <c r="D100" s="15">
        <v>0.12580815123480002</v>
      </c>
      <c r="E100" s="15">
        <f>$D$16*(1.0035)^(E87-2020)</f>
        <v>0.12624847976412182</v>
      </c>
      <c r="F100" s="15">
        <f t="shared" ref="F100:AH100" si="88">$D$16*(1.0035)^(F87-2020)</f>
        <v>0.12669034944329624</v>
      </c>
      <c r="G100" s="15">
        <f t="shared" si="88"/>
        <v>0.12713376566634782</v>
      </c>
      <c r="H100" s="15">
        <f t="shared" si="88"/>
        <v>0.12757873384618001</v>
      </c>
      <c r="I100" s="15">
        <f t="shared" si="88"/>
        <v>0.12802525941464166</v>
      </c>
      <c r="J100" s="15">
        <f t="shared" si="88"/>
        <v>0.1284733478225929</v>
      </c>
      <c r="K100" s="15">
        <f t="shared" si="88"/>
        <v>0.12892300453997199</v>
      </c>
      <c r="L100" s="15">
        <f t="shared" si="88"/>
        <v>0.1293742350558619</v>
      </c>
      <c r="M100" s="15">
        <f t="shared" si="88"/>
        <v>0.12982704487855742</v>
      </c>
      <c r="N100" s="15">
        <f t="shared" si="88"/>
        <v>0.13028143953563234</v>
      </c>
      <c r="O100" s="15">
        <f t="shared" si="88"/>
        <v>0.13073742457400708</v>
      </c>
      <c r="P100" s="15">
        <f t="shared" si="88"/>
        <v>0.13119500556001612</v>
      </c>
      <c r="Q100" s="15">
        <f t="shared" si="88"/>
        <v>0.13165418807947615</v>
      </c>
      <c r="R100" s="15">
        <f t="shared" si="88"/>
        <v>0.13211497773775435</v>
      </c>
      <c r="S100" s="15">
        <f t="shared" si="88"/>
        <v>0.1325773801598365</v>
      </c>
      <c r="T100" s="15">
        <f t="shared" si="88"/>
        <v>0.13304140099039591</v>
      </c>
      <c r="U100" s="15">
        <f t="shared" si="88"/>
        <v>0.13350704589386231</v>
      </c>
      <c r="V100" s="15">
        <f t="shared" si="88"/>
        <v>0.13397432055449082</v>
      </c>
      <c r="W100" s="15">
        <f t="shared" si="88"/>
        <v>0.13444323067643155</v>
      </c>
      <c r="X100" s="15">
        <f t="shared" si="88"/>
        <v>0.13491378198379905</v>
      </c>
      <c r="Y100" s="15">
        <f t="shared" si="88"/>
        <v>0.13538598022074236</v>
      </c>
      <c r="Z100" s="15">
        <f t="shared" si="88"/>
        <v>0.13585983115151498</v>
      </c>
      <c r="AA100" s="15">
        <f t="shared" si="88"/>
        <v>0.1363353405605453</v>
      </c>
      <c r="AB100" s="15">
        <f t="shared" si="88"/>
        <v>0.13681251425250718</v>
      </c>
      <c r="AC100" s="15">
        <f t="shared" si="88"/>
        <v>0.13729135805239095</v>
      </c>
      <c r="AD100" s="15">
        <f t="shared" si="88"/>
        <v>0.13777187780557432</v>
      </c>
      <c r="AE100" s="15">
        <f t="shared" si="88"/>
        <v>0.13825407937789386</v>
      </c>
      <c r="AF100" s="15">
        <f t="shared" si="88"/>
        <v>0.1387379686557165</v>
      </c>
      <c r="AG100" s="15">
        <f t="shared" si="88"/>
        <v>0.13922355154601149</v>
      </c>
      <c r="AH100" s="15">
        <f t="shared" si="88"/>
        <v>0.13971083397642256</v>
      </c>
    </row>
    <row r="101" spans="1:34" x14ac:dyDescent="0.45">
      <c r="A101" s="34"/>
      <c r="B101" s="4" t="s">
        <v>379</v>
      </c>
      <c r="C101" s="3" t="s">
        <v>534</v>
      </c>
      <c r="D101" s="15">
        <v>0.29641995677573019</v>
      </c>
      <c r="E101" s="15">
        <f>$D$17*(1.0035)^(E87-2020)</f>
        <v>0.29745742662444524</v>
      </c>
      <c r="F101" s="15">
        <f t="shared" ref="F101:AH101" si="89">$D$17*(1.0035)^(F87-2020)</f>
        <v>0.29849852761763079</v>
      </c>
      <c r="G101" s="15">
        <f t="shared" si="89"/>
        <v>0.29954327246429258</v>
      </c>
      <c r="H101" s="15">
        <f t="shared" si="89"/>
        <v>0.30059167391791758</v>
      </c>
      <c r="I101" s="15">
        <f t="shared" si="89"/>
        <v>0.30164374477663031</v>
      </c>
      <c r="J101" s="15">
        <f t="shared" si="89"/>
        <v>0.30269949788334849</v>
      </c>
      <c r="K101" s="15">
        <f t="shared" si="89"/>
        <v>0.30375894612594029</v>
      </c>
      <c r="L101" s="15">
        <f t="shared" si="89"/>
        <v>0.30482210243738106</v>
      </c>
      <c r="M101" s="15">
        <f t="shared" si="89"/>
        <v>0.3058889797959119</v>
      </c>
      <c r="N101" s="15">
        <f t="shared" si="89"/>
        <v>0.30695959122519756</v>
      </c>
      <c r="O101" s="15">
        <f t="shared" si="89"/>
        <v>0.30803394979448584</v>
      </c>
      <c r="P101" s="15">
        <f t="shared" si="89"/>
        <v>0.3091120686187665</v>
      </c>
      <c r="Q101" s="15">
        <f t="shared" si="89"/>
        <v>0.31019396085893219</v>
      </c>
      <c r="R101" s="15">
        <f t="shared" si="89"/>
        <v>0.31127963972193851</v>
      </c>
      <c r="S101" s="15">
        <f t="shared" si="89"/>
        <v>0.31236911846096532</v>
      </c>
      <c r="T101" s="15">
        <f t="shared" si="89"/>
        <v>0.31346241037557865</v>
      </c>
      <c r="U101" s="15">
        <f t="shared" si="89"/>
        <v>0.3145595288118932</v>
      </c>
      <c r="V101" s="15">
        <f t="shared" si="89"/>
        <v>0.31566048716273482</v>
      </c>
      <c r="W101" s="15">
        <f t="shared" si="89"/>
        <v>0.31676529886780441</v>
      </c>
      <c r="X101" s="15">
        <f t="shared" si="89"/>
        <v>0.31787397741384171</v>
      </c>
      <c r="Y101" s="15">
        <f t="shared" si="89"/>
        <v>0.31898653633479013</v>
      </c>
      <c r="Z101" s="15">
        <f t="shared" si="89"/>
        <v>0.32010298921196195</v>
      </c>
      <c r="AA101" s="15">
        <f t="shared" si="89"/>
        <v>0.32122334967420385</v>
      </c>
      <c r="AB101" s="15">
        <f t="shared" si="89"/>
        <v>0.32234763139806355</v>
      </c>
      <c r="AC101" s="15">
        <f t="shared" si="89"/>
        <v>0.32347584810795676</v>
      </c>
      <c r="AD101" s="15">
        <f t="shared" si="89"/>
        <v>0.32460801357633462</v>
      </c>
      <c r="AE101" s="15">
        <f t="shared" si="89"/>
        <v>0.32574414162385185</v>
      </c>
      <c r="AF101" s="15">
        <f t="shared" si="89"/>
        <v>0.32688424611953537</v>
      </c>
      <c r="AG101" s="15">
        <f t="shared" si="89"/>
        <v>0.32802834098095368</v>
      </c>
      <c r="AH101" s="15">
        <f t="shared" si="89"/>
        <v>0.32917644017438707</v>
      </c>
    </row>
    <row r="102" spans="1:34" x14ac:dyDescent="0.45">
      <c r="A102" s="34"/>
      <c r="B102" s="4" t="s">
        <v>380</v>
      </c>
      <c r="C102" s="3" t="s">
        <v>535</v>
      </c>
      <c r="D102" s="15">
        <v>0.17559585207471479</v>
      </c>
      <c r="E102" s="15">
        <f>$D$18*(1.0035)^(E87-2020)</f>
        <v>0.1762104375569763</v>
      </c>
      <c r="F102" s="15">
        <f t="shared" ref="F102:AH102" si="90">$D$18*(1.0035)^(F87-2020)</f>
        <v>0.17682717408842571</v>
      </c>
      <c r="G102" s="15">
        <f t="shared" si="90"/>
        <v>0.17744606919773523</v>
      </c>
      <c r="H102" s="15">
        <f t="shared" si="90"/>
        <v>0.17806713043992731</v>
      </c>
      <c r="I102" s="15">
        <f t="shared" si="90"/>
        <v>0.17869036539646704</v>
      </c>
      <c r="J102" s="15">
        <f t="shared" si="90"/>
        <v>0.1793157816753547</v>
      </c>
      <c r="K102" s="15">
        <f t="shared" si="90"/>
        <v>0.17994338691121844</v>
      </c>
      <c r="L102" s="15">
        <f t="shared" si="90"/>
        <v>0.18057318876540771</v>
      </c>
      <c r="M102" s="15">
        <f t="shared" si="90"/>
        <v>0.18120519492608664</v>
      </c>
      <c r="N102" s="15">
        <f t="shared" si="90"/>
        <v>0.18183941310832794</v>
      </c>
      <c r="O102" s="15">
        <f t="shared" si="90"/>
        <v>0.18247585105420711</v>
      </c>
      <c r="P102" s="15">
        <f t="shared" si="90"/>
        <v>0.18311451653289684</v>
      </c>
      <c r="Q102" s="15">
        <f t="shared" si="90"/>
        <v>0.18375541734076195</v>
      </c>
      <c r="R102" s="15">
        <f t="shared" si="90"/>
        <v>0.18439856130145466</v>
      </c>
      <c r="S102" s="15">
        <f t="shared" si="90"/>
        <v>0.18504395626600978</v>
      </c>
      <c r="T102" s="15">
        <f t="shared" si="90"/>
        <v>0.18569161011294077</v>
      </c>
      <c r="U102" s="15">
        <f t="shared" si="90"/>
        <v>0.18634153074833609</v>
      </c>
      <c r="V102" s="15">
        <f t="shared" si="90"/>
        <v>0.18699372610595527</v>
      </c>
      <c r="W102" s="15">
        <f t="shared" si="90"/>
        <v>0.18764820414732611</v>
      </c>
      <c r="X102" s="15">
        <f t="shared" si="90"/>
        <v>0.18830497286184175</v>
      </c>
      <c r="Y102" s="15">
        <f t="shared" si="90"/>
        <v>0.1889640402668582</v>
      </c>
      <c r="Z102" s="15">
        <f t="shared" si="90"/>
        <v>0.18962541440779224</v>
      </c>
      <c r="AA102" s="15">
        <f t="shared" si="90"/>
        <v>0.19028910335821952</v>
      </c>
      <c r="AB102" s="15">
        <f t="shared" si="90"/>
        <v>0.19095511521997327</v>
      </c>
      <c r="AC102" s="15">
        <f t="shared" si="90"/>
        <v>0.19162345812324319</v>
      </c>
      <c r="AD102" s="15">
        <f t="shared" si="90"/>
        <v>0.19229414022667451</v>
      </c>
      <c r="AE102" s="15">
        <f t="shared" si="90"/>
        <v>0.19296716971746791</v>
      </c>
      <c r="AF102" s="15">
        <f t="shared" si="90"/>
        <v>0.19364255481147907</v>
      </c>
      <c r="AG102" s="15">
        <f t="shared" si="90"/>
        <v>0.19432030375331924</v>
      </c>
      <c r="AH102" s="15">
        <f t="shared" si="90"/>
        <v>0.19500042481645588</v>
      </c>
    </row>
    <row r="103" spans="1:34" x14ac:dyDescent="0.45">
      <c r="A103" s="34"/>
      <c r="B103" s="4" t="s">
        <v>233</v>
      </c>
      <c r="C103" s="3" t="s">
        <v>536</v>
      </c>
      <c r="D103" s="15">
        <v>1.0665024144415194</v>
      </c>
      <c r="E103" s="15">
        <f>$D$19*(1.0035)^(E87-2020)</f>
        <v>1.0702351728920647</v>
      </c>
      <c r="F103" s="15">
        <f t="shared" ref="F103:AH103" si="91">$D$19*(1.0035)^(F87-2020)</f>
        <v>1.0739809959971869</v>
      </c>
      <c r="G103" s="15">
        <f t="shared" si="91"/>
        <v>1.0777399294831773</v>
      </c>
      <c r="H103" s="15">
        <f t="shared" si="91"/>
        <v>1.0815120192363683</v>
      </c>
      <c r="I103" s="15">
        <f t="shared" si="91"/>
        <v>1.0852973113036957</v>
      </c>
      <c r="J103" s="15">
        <f t="shared" si="91"/>
        <v>1.0890958518932587</v>
      </c>
      <c r="K103" s="15">
        <f t="shared" si="91"/>
        <v>1.0929076873748851</v>
      </c>
      <c r="L103" s="15">
        <f t="shared" si="91"/>
        <v>1.0967328642806973</v>
      </c>
      <c r="M103" s="15">
        <f t="shared" si="91"/>
        <v>1.1005714293056796</v>
      </c>
      <c r="N103" s="15">
        <f t="shared" si="91"/>
        <v>1.1044234293082495</v>
      </c>
      <c r="O103" s="15">
        <f t="shared" si="91"/>
        <v>1.1082889113108287</v>
      </c>
      <c r="P103" s="15">
        <f t="shared" si="91"/>
        <v>1.1121679225004164</v>
      </c>
      <c r="Q103" s="15">
        <f t="shared" si="91"/>
        <v>1.1160605102291679</v>
      </c>
      <c r="R103" s="15">
        <f t="shared" si="91"/>
        <v>1.1199667220149703</v>
      </c>
      <c r="S103" s="15">
        <f t="shared" si="91"/>
        <v>1.1238866055420227</v>
      </c>
      <c r="T103" s="15">
        <f t="shared" si="91"/>
        <v>1.1278202086614195</v>
      </c>
      <c r="U103" s="15">
        <f t="shared" si="91"/>
        <v>1.1317675793917348</v>
      </c>
      <c r="V103" s="15">
        <f t="shared" si="91"/>
        <v>1.1357287659196058</v>
      </c>
      <c r="W103" s="15">
        <f t="shared" si="91"/>
        <v>1.1397038166003244</v>
      </c>
      <c r="X103" s="15">
        <f t="shared" si="91"/>
        <v>1.1436927799584256</v>
      </c>
      <c r="Y103" s="15">
        <f t="shared" si="91"/>
        <v>1.1476957046882799</v>
      </c>
      <c r="Z103" s="15">
        <f t="shared" si="91"/>
        <v>1.1517126396546891</v>
      </c>
      <c r="AA103" s="15">
        <f t="shared" si="91"/>
        <v>1.1557436338934808</v>
      </c>
      <c r="AB103" s="15">
        <f t="shared" si="91"/>
        <v>1.1597887366121078</v>
      </c>
      <c r="AC103" s="15">
        <f t="shared" si="91"/>
        <v>1.1638479971902502</v>
      </c>
      <c r="AD103" s="15">
        <f t="shared" si="91"/>
        <v>1.167921465180416</v>
      </c>
      <c r="AE103" s="15">
        <f t="shared" si="91"/>
        <v>1.1720091903085477</v>
      </c>
      <c r="AF103" s="15">
        <f t="shared" si="91"/>
        <v>1.1761112224746275</v>
      </c>
      <c r="AG103" s="15">
        <f t="shared" si="91"/>
        <v>1.1802276117532888</v>
      </c>
      <c r="AH103" s="15">
        <f t="shared" si="91"/>
        <v>1.1843584083944254</v>
      </c>
    </row>
    <row r="104" spans="1:34" x14ac:dyDescent="0.45">
      <c r="A104" s="34" t="s">
        <v>545</v>
      </c>
      <c r="B104" s="5" t="s">
        <v>234</v>
      </c>
      <c r="C104" s="3" t="s">
        <v>537</v>
      </c>
      <c r="D104" s="15">
        <v>141.31966566</v>
      </c>
      <c r="E104" s="15">
        <f>$D$20*(1.0035)^(E87-2020)</f>
        <v>141.81428448981001</v>
      </c>
      <c r="F104" s="15">
        <f t="shared" ref="F104:AH104" si="92">$D$20*(1.0035)^(F87-2020)</f>
        <v>142.31063448552433</v>
      </c>
      <c r="G104" s="15">
        <f t="shared" si="92"/>
        <v>142.80872170622371</v>
      </c>
      <c r="H104" s="15">
        <f t="shared" si="92"/>
        <v>143.30855223219547</v>
      </c>
      <c r="I104" s="15">
        <f t="shared" si="92"/>
        <v>143.81013216500816</v>
      </c>
      <c r="J104" s="15">
        <f t="shared" si="92"/>
        <v>144.31346762758568</v>
      </c>
      <c r="K104" s="15">
        <f t="shared" si="92"/>
        <v>144.81856476428226</v>
      </c>
      <c r="L104" s="15">
        <f t="shared" si="92"/>
        <v>145.32542974095725</v>
      </c>
      <c r="M104" s="15">
        <f t="shared" si="92"/>
        <v>145.83406874505059</v>
      </c>
      <c r="N104" s="15">
        <f t="shared" si="92"/>
        <v>146.34448798565828</v>
      </c>
      <c r="O104" s="15">
        <f t="shared" si="92"/>
        <v>146.85669369360809</v>
      </c>
      <c r="P104" s="15">
        <f t="shared" si="92"/>
        <v>147.37069212153571</v>
      </c>
      <c r="Q104" s="15">
        <f t="shared" si="92"/>
        <v>147.88648954396109</v>
      </c>
      <c r="R104" s="15">
        <f t="shared" si="92"/>
        <v>148.40409225736499</v>
      </c>
      <c r="S104" s="15">
        <f t="shared" si="92"/>
        <v>148.92350658026578</v>
      </c>
      <c r="T104" s="15">
        <f t="shared" si="92"/>
        <v>149.44473885329668</v>
      </c>
      <c r="U104" s="15">
        <f t="shared" si="92"/>
        <v>149.96779543928324</v>
      </c>
      <c r="V104" s="15">
        <f t="shared" si="92"/>
        <v>150.49268272332071</v>
      </c>
      <c r="W104" s="15">
        <f t="shared" si="92"/>
        <v>151.01940711285235</v>
      </c>
      <c r="X104" s="15">
        <f t="shared" si="92"/>
        <v>151.54797503774734</v>
      </c>
      <c r="Y104" s="15">
        <f t="shared" si="92"/>
        <v>152.07839295037945</v>
      </c>
      <c r="Z104" s="15">
        <f t="shared" si="92"/>
        <v>152.6106673257058</v>
      </c>
      <c r="AA104" s="15">
        <f t="shared" si="92"/>
        <v>153.14480466134577</v>
      </c>
      <c r="AB104" s="15">
        <f t="shared" si="92"/>
        <v>153.68081147766048</v>
      </c>
      <c r="AC104" s="15">
        <f t="shared" si="92"/>
        <v>154.2186943178323</v>
      </c>
      <c r="AD104" s="15">
        <f t="shared" si="92"/>
        <v>154.7584597479447</v>
      </c>
      <c r="AE104" s="15">
        <f t="shared" si="92"/>
        <v>155.30011435706254</v>
      </c>
      <c r="AF104" s="15">
        <f t="shared" si="92"/>
        <v>155.84366475731227</v>
      </c>
      <c r="AG104" s="15">
        <f t="shared" si="92"/>
        <v>156.38911758396284</v>
      </c>
      <c r="AH104" s="15">
        <f t="shared" si="92"/>
        <v>156.93647949550675</v>
      </c>
    </row>
    <row r="105" spans="1:34" x14ac:dyDescent="0.45">
      <c r="A105" s="34"/>
      <c r="B105" s="5" t="s">
        <v>235</v>
      </c>
      <c r="C105" s="3" t="s">
        <v>538</v>
      </c>
      <c r="D105" s="15">
        <v>333.13311499999992</v>
      </c>
      <c r="E105" s="15">
        <f>$D$21*(1.0035)^(E87-2020)</f>
        <v>334.29908090249995</v>
      </c>
      <c r="F105" s="15">
        <f t="shared" ref="F105:AH105" si="93">$D$21*(1.0035)^(F87-2020)</f>
        <v>335.46912768565869</v>
      </c>
      <c r="G105" s="15">
        <f t="shared" si="93"/>
        <v>336.64326963255854</v>
      </c>
      <c r="H105" s="15">
        <f t="shared" si="93"/>
        <v>337.82152107627246</v>
      </c>
      <c r="I105" s="15">
        <f t="shared" si="93"/>
        <v>339.00389640003942</v>
      </c>
      <c r="J105" s="15">
        <f t="shared" si="93"/>
        <v>340.19041003743956</v>
      </c>
      <c r="K105" s="15">
        <f t="shared" si="93"/>
        <v>341.38107647257067</v>
      </c>
      <c r="L105" s="15">
        <f t="shared" si="93"/>
        <v>342.57591024022463</v>
      </c>
      <c r="M105" s="15">
        <f t="shared" si="93"/>
        <v>343.77492592606546</v>
      </c>
      <c r="N105" s="15">
        <f t="shared" si="93"/>
        <v>344.97813816680667</v>
      </c>
      <c r="O105" s="15">
        <f t="shared" si="93"/>
        <v>346.18556165039058</v>
      </c>
      <c r="P105" s="15">
        <f t="shared" si="93"/>
        <v>347.39721111616689</v>
      </c>
      <c r="Q105" s="15">
        <f t="shared" si="93"/>
        <v>348.61310135507347</v>
      </c>
      <c r="R105" s="15">
        <f t="shared" si="93"/>
        <v>349.83324720981631</v>
      </c>
      <c r="S105" s="15">
        <f t="shared" si="93"/>
        <v>351.0576635750507</v>
      </c>
      <c r="T105" s="15">
        <f t="shared" si="93"/>
        <v>352.28636539756332</v>
      </c>
      <c r="U105" s="15">
        <f t="shared" si="93"/>
        <v>353.51936767645481</v>
      </c>
      <c r="V105" s="15">
        <f t="shared" si="93"/>
        <v>354.75668546332241</v>
      </c>
      <c r="W105" s="15">
        <f t="shared" si="93"/>
        <v>355.99833386244404</v>
      </c>
      <c r="X105" s="15">
        <f t="shared" si="93"/>
        <v>357.24432803096261</v>
      </c>
      <c r="Y105" s="15">
        <f t="shared" si="93"/>
        <v>358.49468317907093</v>
      </c>
      <c r="Z105" s="15">
        <f t="shared" si="93"/>
        <v>359.74941457019776</v>
      </c>
      <c r="AA105" s="15">
        <f t="shared" si="93"/>
        <v>361.00853752119349</v>
      </c>
      <c r="AB105" s="15">
        <f t="shared" si="93"/>
        <v>362.27206740251762</v>
      </c>
      <c r="AC105" s="15">
        <f t="shared" si="93"/>
        <v>363.54001963842643</v>
      </c>
      <c r="AD105" s="15">
        <f t="shared" si="93"/>
        <v>364.8124097071609</v>
      </c>
      <c r="AE105" s="15">
        <f t="shared" si="93"/>
        <v>366.08925314113606</v>
      </c>
      <c r="AF105" s="15">
        <f t="shared" si="93"/>
        <v>367.37056552713005</v>
      </c>
      <c r="AG105" s="15">
        <f t="shared" si="93"/>
        <v>368.65636250647498</v>
      </c>
      <c r="AH105" s="15">
        <f t="shared" si="93"/>
        <v>369.94665977524772</v>
      </c>
    </row>
    <row r="106" spans="1:34" x14ac:dyDescent="0.45">
      <c r="A106" s="34"/>
      <c r="B106" s="5" t="s">
        <v>384</v>
      </c>
      <c r="C106" s="3" t="s">
        <v>539</v>
      </c>
      <c r="D106" s="15">
        <v>89.620827239999997</v>
      </c>
      <c r="E106" s="15">
        <f>$D$22*(1.031)^(E87-2020)</f>
        <v>92.399072884439988</v>
      </c>
      <c r="F106" s="15">
        <f t="shared" ref="F106:AH106" si="94">$D$22*(1.031)^(F87-2020)</f>
        <v>95.263444143857626</v>
      </c>
      <c r="G106" s="15">
        <f t="shared" si="94"/>
        <v>98.216610912317194</v>
      </c>
      <c r="H106" s="15">
        <f t="shared" si="94"/>
        <v>101.26132585059904</v>
      </c>
      <c r="I106" s="15">
        <f t="shared" si="94"/>
        <v>104.4004269519676</v>
      </c>
      <c r="J106" s="15">
        <f t="shared" si="94"/>
        <v>107.63684018747858</v>
      </c>
      <c r="K106" s="15">
        <f t="shared" si="94"/>
        <v>110.97358223329041</v>
      </c>
      <c r="L106" s="15">
        <f t="shared" si="94"/>
        <v>114.41376328252241</v>
      </c>
      <c r="M106" s="15">
        <f t="shared" si="94"/>
        <v>117.96058994428058</v>
      </c>
      <c r="N106" s="15">
        <f t="shared" si="94"/>
        <v>121.61736823255329</v>
      </c>
      <c r="O106" s="15">
        <f t="shared" si="94"/>
        <v>125.38750664776244</v>
      </c>
      <c r="P106" s="15">
        <f t="shared" si="94"/>
        <v>129.27451935384306</v>
      </c>
      <c r="Q106" s="15">
        <f t="shared" si="94"/>
        <v>133.28202945381221</v>
      </c>
      <c r="R106" s="15">
        <f t="shared" si="94"/>
        <v>137.41377236688035</v>
      </c>
      <c r="S106" s="15">
        <f t="shared" si="94"/>
        <v>141.67359931025365</v>
      </c>
      <c r="T106" s="15">
        <f t="shared" si="94"/>
        <v>146.06548088887152</v>
      </c>
      <c r="U106" s="15">
        <f t="shared" si="94"/>
        <v>150.59351079642653</v>
      </c>
      <c r="V106" s="15">
        <f t="shared" si="94"/>
        <v>155.26190963111571</v>
      </c>
      <c r="W106" s="15">
        <f t="shared" si="94"/>
        <v>160.07502882968029</v>
      </c>
      <c r="X106" s="15">
        <f t="shared" si="94"/>
        <v>165.0373547234004</v>
      </c>
      <c r="Y106" s="15">
        <f t="shared" si="94"/>
        <v>170.15351271982578</v>
      </c>
      <c r="Z106" s="15">
        <f t="shared" si="94"/>
        <v>175.42827161414039</v>
      </c>
      <c r="AA106" s="15">
        <f t="shared" si="94"/>
        <v>180.86654803417872</v>
      </c>
      <c r="AB106" s="15">
        <f t="shared" si="94"/>
        <v>186.47341102323824</v>
      </c>
      <c r="AC106" s="15">
        <f t="shared" si="94"/>
        <v>192.25408676495863</v>
      </c>
      <c r="AD106" s="15">
        <f t="shared" si="94"/>
        <v>198.21396345467232</v>
      </c>
      <c r="AE106" s="15">
        <f t="shared" si="94"/>
        <v>204.35859632176715</v>
      </c>
      <c r="AF106" s="15">
        <f t="shared" si="94"/>
        <v>210.69371280774195</v>
      </c>
      <c r="AG106" s="15">
        <f t="shared" si="94"/>
        <v>217.22521790478191</v>
      </c>
      <c r="AH106" s="15">
        <f t="shared" si="94"/>
        <v>223.95919965983015</v>
      </c>
    </row>
    <row r="107" spans="1:34" x14ac:dyDescent="0.45">
      <c r="A107" s="34"/>
      <c r="B107" s="5" t="s">
        <v>385</v>
      </c>
      <c r="C107" s="3" t="s">
        <v>540</v>
      </c>
      <c r="D107" s="15">
        <v>23.1</v>
      </c>
      <c r="E107" s="15">
        <f>$D$23*(1.0035)^(E87-2020)</f>
        <v>23.180850000000003</v>
      </c>
      <c r="F107" s="15">
        <f t="shared" ref="F107:AH107" si="95">$D$23*(1.0035)^(F87-2020)</f>
        <v>23.261982975000002</v>
      </c>
      <c r="G107" s="15">
        <f t="shared" si="95"/>
        <v>23.343399915412505</v>
      </c>
      <c r="H107" s="15">
        <f t="shared" si="95"/>
        <v>23.425101815116449</v>
      </c>
      <c r="I107" s="15">
        <f t="shared" si="95"/>
        <v>23.507089671469355</v>
      </c>
      <c r="J107" s="15">
        <f t="shared" si="95"/>
        <v>23.5893644853195</v>
      </c>
      <c r="K107" s="15">
        <f t="shared" si="95"/>
        <v>23.671927261018123</v>
      </c>
      <c r="L107" s="15">
        <f t="shared" si="95"/>
        <v>23.754779006431683</v>
      </c>
      <c r="M107" s="15">
        <f t="shared" si="95"/>
        <v>23.837920732954196</v>
      </c>
      <c r="N107" s="15">
        <f t="shared" si="95"/>
        <v>23.921353455519533</v>
      </c>
      <c r="O107" s="15">
        <f t="shared" si="95"/>
        <v>24.005078192613858</v>
      </c>
      <c r="P107" s="15">
        <f t="shared" si="95"/>
        <v>24.089095966288003</v>
      </c>
      <c r="Q107" s="15">
        <f t="shared" si="95"/>
        <v>24.173407802170011</v>
      </c>
      <c r="R107" s="15">
        <f t="shared" si="95"/>
        <v>24.258014729477612</v>
      </c>
      <c r="S107" s="15">
        <f t="shared" si="95"/>
        <v>24.342917781030785</v>
      </c>
      <c r="T107" s="15">
        <f t="shared" si="95"/>
        <v>24.42811799326439</v>
      </c>
      <c r="U107" s="15">
        <f t="shared" si="95"/>
        <v>24.513616406240818</v>
      </c>
      <c r="V107" s="15">
        <f t="shared" si="95"/>
        <v>24.59941406366266</v>
      </c>
      <c r="W107" s="15">
        <f t="shared" si="95"/>
        <v>24.685512012885479</v>
      </c>
      <c r="X107" s="15">
        <f t="shared" si="95"/>
        <v>24.77191130493058</v>
      </c>
      <c r="Y107" s="15">
        <f t="shared" si="95"/>
        <v>24.858612994497836</v>
      </c>
      <c r="Z107" s="15">
        <f t="shared" si="95"/>
        <v>24.945618139978581</v>
      </c>
      <c r="AA107" s="15">
        <f t="shared" si="95"/>
        <v>25.03292780346851</v>
      </c>
      <c r="AB107" s="15">
        <f t="shared" si="95"/>
        <v>25.120543050780647</v>
      </c>
      <c r="AC107" s="15">
        <f t="shared" si="95"/>
        <v>25.208464951458378</v>
      </c>
      <c r="AD107" s="15">
        <f t="shared" si="95"/>
        <v>25.296694578788482</v>
      </c>
      <c r="AE107" s="15">
        <f t="shared" si="95"/>
        <v>25.385233009814247</v>
      </c>
      <c r="AF107" s="15">
        <f t="shared" si="95"/>
        <v>25.4740813253486</v>
      </c>
      <c r="AG107" s="15">
        <f t="shared" si="95"/>
        <v>25.563240609987318</v>
      </c>
      <c r="AH107" s="15">
        <f t="shared" si="95"/>
        <v>25.652711952122278</v>
      </c>
    </row>
    <row r="108" spans="1:34" x14ac:dyDescent="0.45">
      <c r="A108" s="34"/>
      <c r="B108" s="5" t="s">
        <v>386</v>
      </c>
      <c r="C108" s="3" t="s">
        <v>541</v>
      </c>
      <c r="D108" s="15">
        <v>15.68</v>
      </c>
      <c r="E108" s="15">
        <f>$D$24*(1.031)^(E87-2020)</f>
        <v>16.166079999999997</v>
      </c>
      <c r="F108" s="15">
        <f t="shared" ref="F108:AH108" si="96">$D$24*(1.031)^(F87-2020)</f>
        <v>16.667228479999999</v>
      </c>
      <c r="G108" s="15">
        <f t="shared" si="96"/>
        <v>17.183912562879996</v>
      </c>
      <c r="H108" s="15">
        <f t="shared" si="96"/>
        <v>17.716613852329274</v>
      </c>
      <c r="I108" s="15">
        <f t="shared" si="96"/>
        <v>18.265828881751482</v>
      </c>
      <c r="J108" s="15">
        <f t="shared" si="96"/>
        <v>18.832069577085779</v>
      </c>
      <c r="K108" s="15">
        <f t="shared" si="96"/>
        <v>19.415863733975435</v>
      </c>
      <c r="L108" s="15">
        <f t="shared" si="96"/>
        <v>20.017755509728673</v>
      </c>
      <c r="M108" s="15">
        <f t="shared" si="96"/>
        <v>20.638305930530258</v>
      </c>
      <c r="N108" s="15">
        <f t="shared" si="96"/>
        <v>21.278093414376695</v>
      </c>
      <c r="O108" s="15">
        <f t="shared" si="96"/>
        <v>21.937714310222372</v>
      </c>
      <c r="P108" s="15">
        <f t="shared" si="96"/>
        <v>22.617783453839266</v>
      </c>
      <c r="Q108" s="15">
        <f t="shared" si="96"/>
        <v>23.318934740908283</v>
      </c>
      <c r="R108" s="15">
        <f t="shared" si="96"/>
        <v>24.041821717876434</v>
      </c>
      <c r="S108" s="15">
        <f t="shared" si="96"/>
        <v>24.787118191130602</v>
      </c>
      <c r="T108" s="15">
        <f t="shared" si="96"/>
        <v>25.555518855055652</v>
      </c>
      <c r="U108" s="15">
        <f t="shared" si="96"/>
        <v>26.347739939562377</v>
      </c>
      <c r="V108" s="15">
        <f t="shared" si="96"/>
        <v>27.164519877688807</v>
      </c>
      <c r="W108" s="15">
        <f t="shared" si="96"/>
        <v>28.006619993897157</v>
      </c>
      <c r="X108" s="15">
        <f t="shared" si="96"/>
        <v>28.874825213707972</v>
      </c>
      <c r="Y108" s="15">
        <f t="shared" si="96"/>
        <v>29.769944795332915</v>
      </c>
      <c r="Z108" s="15">
        <f t="shared" si="96"/>
        <v>30.692813083988234</v>
      </c>
      <c r="AA108" s="15">
        <f t="shared" si="96"/>
        <v>31.644290289591869</v>
      </c>
      <c r="AB108" s="15">
        <f t="shared" si="96"/>
        <v>32.625263288569215</v>
      </c>
      <c r="AC108" s="15">
        <f t="shared" si="96"/>
        <v>33.63664645051486</v>
      </c>
      <c r="AD108" s="15">
        <f t="shared" si="96"/>
        <v>34.679382490480812</v>
      </c>
      <c r="AE108" s="15">
        <f t="shared" si="96"/>
        <v>35.754443347685722</v>
      </c>
      <c r="AF108" s="15">
        <f t="shared" si="96"/>
        <v>36.862831091463981</v>
      </c>
      <c r="AG108" s="15">
        <f t="shared" si="96"/>
        <v>38.005578855299355</v>
      </c>
      <c r="AH108" s="15">
        <f t="shared" si="96"/>
        <v>39.183751799813635</v>
      </c>
    </row>
    <row r="109" spans="1:34" x14ac:dyDescent="0.45">
      <c r="A109" s="34"/>
      <c r="B109" s="5" t="s">
        <v>387</v>
      </c>
      <c r="C109" s="3" t="s">
        <v>542</v>
      </c>
      <c r="D109" s="15">
        <v>37.44</v>
      </c>
      <c r="E109" s="15">
        <f>$D$25*(1.0035)^(E87-2020)</f>
        <v>37.571039999999996</v>
      </c>
      <c r="F109" s="15">
        <f t="shared" ref="F109:AH109" si="97">$D$25*(1.0035)^(F87-2020)</f>
        <v>37.70253864</v>
      </c>
      <c r="G109" s="15">
        <f t="shared" si="97"/>
        <v>37.834497525240003</v>
      </c>
      <c r="H109" s="15">
        <f t="shared" si="97"/>
        <v>37.966918266578347</v>
      </c>
      <c r="I109" s="15">
        <f t="shared" si="97"/>
        <v>38.099802480511364</v>
      </c>
      <c r="J109" s="15">
        <f t="shared" si="97"/>
        <v>38.233151789193158</v>
      </c>
      <c r="K109" s="15">
        <f t="shared" si="97"/>
        <v>38.366967820455336</v>
      </c>
      <c r="L109" s="15">
        <f t="shared" si="97"/>
        <v>38.50125220782693</v>
      </c>
      <c r="M109" s="15">
        <f t="shared" si="97"/>
        <v>38.636006590554331</v>
      </c>
      <c r="N109" s="15">
        <f t="shared" si="97"/>
        <v>38.771232613621265</v>
      </c>
      <c r="O109" s="15">
        <f t="shared" si="97"/>
        <v>38.906931927768952</v>
      </c>
      <c r="P109" s="15">
        <f t="shared" si="97"/>
        <v>39.043106189516138</v>
      </c>
      <c r="Q109" s="15">
        <f t="shared" si="97"/>
        <v>39.179757061179444</v>
      </c>
      <c r="R109" s="15">
        <f t="shared" si="97"/>
        <v>39.316886210893578</v>
      </c>
      <c r="S109" s="15">
        <f t="shared" si="97"/>
        <v>39.454495312631714</v>
      </c>
      <c r="T109" s="15">
        <f t="shared" si="97"/>
        <v>39.592586046225911</v>
      </c>
      <c r="U109" s="15">
        <f t="shared" si="97"/>
        <v>39.731160097387708</v>
      </c>
      <c r="V109" s="15">
        <f t="shared" si="97"/>
        <v>39.870219157728563</v>
      </c>
      <c r="W109" s="15">
        <f t="shared" si="97"/>
        <v>40.009764924780619</v>
      </c>
      <c r="X109" s="15">
        <f t="shared" si="97"/>
        <v>40.149799102017347</v>
      </c>
      <c r="Y109" s="15">
        <f t="shared" si="97"/>
        <v>40.290323398874406</v>
      </c>
      <c r="Z109" s="15">
        <f t="shared" si="97"/>
        <v>40.431339530770472</v>
      </c>
      <c r="AA109" s="15">
        <f t="shared" si="97"/>
        <v>40.572849219128173</v>
      </c>
      <c r="AB109" s="15">
        <f t="shared" si="97"/>
        <v>40.714854191395119</v>
      </c>
      <c r="AC109" s="15">
        <f t="shared" si="97"/>
        <v>40.857356181065001</v>
      </c>
      <c r="AD109" s="15">
        <f t="shared" si="97"/>
        <v>41.000356927698732</v>
      </c>
      <c r="AE109" s="15">
        <f t="shared" si="97"/>
        <v>41.143858176945685</v>
      </c>
      <c r="AF109" s="15">
        <f t="shared" si="97"/>
        <v>41.287861680564994</v>
      </c>
      <c r="AG109" s="15">
        <f t="shared" si="97"/>
        <v>41.43236919644697</v>
      </c>
      <c r="AH109" s="15">
        <f t="shared" si="97"/>
        <v>41.577382488634541</v>
      </c>
    </row>
    <row r="110" spans="1:34" x14ac:dyDescent="0.45">
      <c r="A110" s="34" t="s">
        <v>544</v>
      </c>
      <c r="B110" s="5" t="s">
        <v>518</v>
      </c>
      <c r="C110" s="3" t="s">
        <v>543</v>
      </c>
      <c r="D110" s="15">
        <v>169.756</v>
      </c>
      <c r="E110" s="15">
        <f>$D$26*(1.031)^(E87-2020)</f>
        <v>175.01843599999998</v>
      </c>
      <c r="F110" s="15">
        <f t="shared" ref="F110:AH110" si="98">$D$26*(1.031)^(F87-2020)</f>
        <v>180.44400751599997</v>
      </c>
      <c r="G110" s="15">
        <f t="shared" si="98"/>
        <v>186.03777174899597</v>
      </c>
      <c r="H110" s="15">
        <f t="shared" si="98"/>
        <v>191.80494267321484</v>
      </c>
      <c r="I110" s="15">
        <f t="shared" si="98"/>
        <v>197.75089589608447</v>
      </c>
      <c r="J110" s="15">
        <f t="shared" si="98"/>
        <v>203.88117366886308</v>
      </c>
      <c r="K110" s="15">
        <f t="shared" si="98"/>
        <v>210.20149005259782</v>
      </c>
      <c r="L110" s="15">
        <f t="shared" si="98"/>
        <v>216.71773624422835</v>
      </c>
      <c r="M110" s="15">
        <f t="shared" si="98"/>
        <v>223.4359860677994</v>
      </c>
      <c r="N110" s="15">
        <f t="shared" si="98"/>
        <v>230.36250163590117</v>
      </c>
      <c r="O110" s="15">
        <f t="shared" si="98"/>
        <v>237.5037391866141</v>
      </c>
      <c r="P110" s="15">
        <f t="shared" si="98"/>
        <v>244.86635510139914</v>
      </c>
      <c r="Q110" s="15">
        <f t="shared" si="98"/>
        <v>252.4572121095425</v>
      </c>
      <c r="R110" s="15">
        <f t="shared" si="98"/>
        <v>260.28338568493831</v>
      </c>
      <c r="S110" s="15">
        <f t="shared" si="98"/>
        <v>268.35217064117137</v>
      </c>
      <c r="T110" s="15">
        <f t="shared" si="98"/>
        <v>276.67108793104768</v>
      </c>
      <c r="U110" s="15">
        <f t="shared" si="98"/>
        <v>285.24789165691016</v>
      </c>
      <c r="V110" s="15">
        <f t="shared" si="98"/>
        <v>294.0905762982743</v>
      </c>
      <c r="W110" s="15">
        <f t="shared" si="98"/>
        <v>303.20738416352077</v>
      </c>
      <c r="X110" s="15">
        <f t="shared" si="98"/>
        <v>312.60681307258994</v>
      </c>
      <c r="Y110" s="15">
        <f t="shared" si="98"/>
        <v>322.29762427784021</v>
      </c>
      <c r="Z110" s="15">
        <f t="shared" si="98"/>
        <v>332.28885063045323</v>
      </c>
      <c r="AA110" s="15">
        <f t="shared" si="98"/>
        <v>342.58980499999728</v>
      </c>
      <c r="AB110" s="15">
        <f t="shared" si="98"/>
        <v>353.21008895499716</v>
      </c>
      <c r="AC110" s="15">
        <f t="shared" si="98"/>
        <v>364.15960171260207</v>
      </c>
      <c r="AD110" s="15">
        <f t="shared" si="98"/>
        <v>375.44854936569266</v>
      </c>
      <c r="AE110" s="15">
        <f t="shared" si="98"/>
        <v>387.08745439602916</v>
      </c>
      <c r="AF110" s="15">
        <f t="shared" si="98"/>
        <v>399.08716548230609</v>
      </c>
      <c r="AG110" s="15">
        <f t="shared" si="98"/>
        <v>411.45886761225751</v>
      </c>
      <c r="AH110" s="15">
        <f t="shared" si="98"/>
        <v>424.21409250823746</v>
      </c>
    </row>
    <row r="111" spans="1:34" x14ac:dyDescent="0.45">
      <c r="A111" s="34"/>
      <c r="B111" s="5" t="s">
        <v>519</v>
      </c>
      <c r="C111" s="3" t="s">
        <v>527</v>
      </c>
      <c r="D111" s="15">
        <v>1.6074287999999999</v>
      </c>
      <c r="E111" s="15">
        <f>D111+0.129</f>
        <v>1.7364287999999999</v>
      </c>
      <c r="F111" s="15">
        <f>E111+0.129</f>
        <v>1.8654287999999999</v>
      </c>
      <c r="G111" s="15">
        <f t="shared" ref="G111:W111" si="99">F111+0.129</f>
        <v>1.9944287999999999</v>
      </c>
      <c r="H111" s="15">
        <f t="shared" si="99"/>
        <v>2.1234288000000001</v>
      </c>
      <c r="I111" s="15">
        <f t="shared" si="99"/>
        <v>2.2524288000000001</v>
      </c>
      <c r="J111" s="15">
        <f t="shared" si="99"/>
        <v>2.3814288000000001</v>
      </c>
      <c r="K111" s="15">
        <f t="shared" si="99"/>
        <v>2.5104288000000001</v>
      </c>
      <c r="L111" s="15">
        <f t="shared" si="99"/>
        <v>2.6394288000000001</v>
      </c>
      <c r="M111" s="15">
        <f t="shared" si="99"/>
        <v>2.7684288000000001</v>
      </c>
      <c r="N111" s="15">
        <f t="shared" si="99"/>
        <v>2.8974288000000001</v>
      </c>
      <c r="O111" s="15">
        <f t="shared" si="99"/>
        <v>3.0264288000000001</v>
      </c>
      <c r="P111" s="15">
        <f t="shared" si="99"/>
        <v>3.1554288000000001</v>
      </c>
      <c r="Q111" s="15">
        <f t="shared" si="99"/>
        <v>3.2844288000000001</v>
      </c>
      <c r="R111" s="15">
        <f t="shared" si="99"/>
        <v>3.4134288000000002</v>
      </c>
      <c r="S111" s="15">
        <f t="shared" si="99"/>
        <v>3.5424288000000002</v>
      </c>
      <c r="T111" s="15">
        <f t="shared" si="99"/>
        <v>3.6714288000000002</v>
      </c>
      <c r="U111" s="15">
        <f t="shared" si="99"/>
        <v>3.8004288000000002</v>
      </c>
      <c r="V111" s="15">
        <f t="shared" si="99"/>
        <v>3.9294288000000002</v>
      </c>
      <c r="W111" s="15">
        <f t="shared" si="99"/>
        <v>4.0584287999999997</v>
      </c>
      <c r="X111" s="15">
        <f t="shared" ref="X111:AH111" si="100">$N$27</f>
        <v>4.1874288000000002</v>
      </c>
      <c r="Y111" s="15">
        <f t="shared" si="100"/>
        <v>4.1874288000000002</v>
      </c>
      <c r="Z111" s="15">
        <f t="shared" si="100"/>
        <v>4.1874288000000002</v>
      </c>
      <c r="AA111" s="15">
        <f t="shared" si="100"/>
        <v>4.1874288000000002</v>
      </c>
      <c r="AB111" s="15">
        <f t="shared" si="100"/>
        <v>4.1874288000000002</v>
      </c>
      <c r="AC111" s="15">
        <f t="shared" si="100"/>
        <v>4.1874288000000002</v>
      </c>
      <c r="AD111" s="15">
        <f t="shared" si="100"/>
        <v>4.1874288000000002</v>
      </c>
      <c r="AE111" s="15">
        <f t="shared" si="100"/>
        <v>4.1874288000000002</v>
      </c>
      <c r="AF111" s="15">
        <f t="shared" si="100"/>
        <v>4.1874288000000002</v>
      </c>
      <c r="AG111" s="15">
        <f t="shared" si="100"/>
        <v>4.1874288000000002</v>
      </c>
      <c r="AH111" s="15">
        <f t="shared" si="100"/>
        <v>4.1874288000000002</v>
      </c>
    </row>
  </sheetData>
  <mergeCells count="16">
    <mergeCell ref="A39:A47"/>
    <mergeCell ref="A4:A10"/>
    <mergeCell ref="A11:A19"/>
    <mergeCell ref="A20:A25"/>
    <mergeCell ref="A26:A27"/>
    <mergeCell ref="A32:A38"/>
    <mergeCell ref="A88:A94"/>
    <mergeCell ref="A95:A103"/>
    <mergeCell ref="A104:A109"/>
    <mergeCell ref="A110:A111"/>
    <mergeCell ref="A48:A53"/>
    <mergeCell ref="A54:A55"/>
    <mergeCell ref="A60:A66"/>
    <mergeCell ref="A67:A75"/>
    <mergeCell ref="A76:A81"/>
    <mergeCell ref="A82:A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DAB4-BA16-41E5-AEF4-613DC6560509}">
  <dimension ref="A1:AJ155"/>
  <sheetViews>
    <sheetView zoomScale="70" zoomScaleNormal="70" workbookViewId="0">
      <selection activeCell="C7" sqref="C7"/>
    </sheetView>
  </sheetViews>
  <sheetFormatPr baseColWidth="10" defaultRowHeight="17.5" x14ac:dyDescent="0.45"/>
  <cols>
    <col min="1" max="1" width="13.69140625" customWidth="1"/>
    <col min="2" max="2" width="40.53515625" bestFit="1" customWidth="1"/>
    <col min="4" max="4" width="13.3046875" customWidth="1"/>
    <col min="5" max="5" width="13.69140625" bestFit="1" customWidth="1"/>
    <col min="6" max="6" width="22.84375" customWidth="1"/>
  </cols>
  <sheetData>
    <row r="1" spans="1:36" x14ac:dyDescent="0.45">
      <c r="A1" s="2"/>
      <c r="B1" s="2" t="s">
        <v>204</v>
      </c>
      <c r="C1" s="2" t="s">
        <v>205</v>
      </c>
      <c r="D1" s="2" t="s">
        <v>239</v>
      </c>
      <c r="E1" s="2">
        <v>2020</v>
      </c>
      <c r="F1" s="2" t="s">
        <v>240</v>
      </c>
      <c r="G1" s="2">
        <v>2021</v>
      </c>
      <c r="H1" s="2">
        <v>2022</v>
      </c>
      <c r="I1" s="2">
        <v>2023</v>
      </c>
      <c r="J1" s="2">
        <v>2024</v>
      </c>
      <c r="K1" s="2">
        <v>2025</v>
      </c>
      <c r="L1" s="2">
        <v>2026</v>
      </c>
      <c r="M1" s="2">
        <v>2027</v>
      </c>
      <c r="N1" s="2">
        <v>2028</v>
      </c>
      <c r="O1" s="2">
        <v>2029</v>
      </c>
      <c r="P1" s="2">
        <v>2030</v>
      </c>
      <c r="Q1" s="2">
        <v>2031</v>
      </c>
      <c r="R1" s="2">
        <v>2032</v>
      </c>
      <c r="S1" s="2">
        <v>2033</v>
      </c>
      <c r="T1" s="2">
        <v>2034</v>
      </c>
      <c r="U1" s="2">
        <v>2035</v>
      </c>
      <c r="V1" s="2">
        <v>2036</v>
      </c>
      <c r="W1" s="2">
        <v>2037</v>
      </c>
      <c r="X1" s="2">
        <v>2038</v>
      </c>
      <c r="Y1" s="2">
        <v>2039</v>
      </c>
      <c r="Z1" s="2">
        <v>2040</v>
      </c>
      <c r="AA1" s="2">
        <v>2041</v>
      </c>
      <c r="AB1" s="2">
        <v>2042</v>
      </c>
      <c r="AC1" s="2">
        <v>2043</v>
      </c>
      <c r="AD1" s="2">
        <v>2044</v>
      </c>
      <c r="AE1" s="2">
        <v>2045</v>
      </c>
      <c r="AF1" s="2">
        <v>2046</v>
      </c>
      <c r="AG1" s="2">
        <v>2047</v>
      </c>
      <c r="AH1" s="2">
        <v>2048</v>
      </c>
      <c r="AI1" s="2">
        <v>2049</v>
      </c>
      <c r="AJ1" s="2">
        <v>2050</v>
      </c>
    </row>
    <row r="2" spans="1:36" ht="17.25" customHeight="1" x14ac:dyDescent="0.45">
      <c r="A2" s="34" t="s">
        <v>207</v>
      </c>
      <c r="B2" s="3" t="s">
        <v>0</v>
      </c>
      <c r="C2" s="3" t="s">
        <v>1</v>
      </c>
      <c r="D2" s="3" t="s">
        <v>389</v>
      </c>
      <c r="E2" s="3">
        <v>0</v>
      </c>
      <c r="F2" s="3" t="s">
        <v>366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</row>
    <row r="3" spans="1:36" x14ac:dyDescent="0.45">
      <c r="A3" s="34"/>
      <c r="B3" s="3" t="s">
        <v>2</v>
      </c>
      <c r="C3" s="3" t="s">
        <v>3</v>
      </c>
      <c r="D3" s="3" t="s">
        <v>389</v>
      </c>
      <c r="E3" s="3">
        <v>0</v>
      </c>
      <c r="F3" s="3" t="s">
        <v>366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45">
      <c r="A4" s="34"/>
      <c r="B4" s="3" t="s">
        <v>6</v>
      </c>
      <c r="C4" s="3" t="s">
        <v>7</v>
      </c>
      <c r="D4" s="3" t="s">
        <v>389</v>
      </c>
      <c r="E4" s="3">
        <v>0</v>
      </c>
      <c r="F4" s="3" t="s">
        <v>366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</row>
    <row r="5" spans="1:36" x14ac:dyDescent="0.45">
      <c r="A5" s="34"/>
      <c r="B5" s="3" t="s">
        <v>10</v>
      </c>
      <c r="C5" s="3" t="s">
        <v>11</v>
      </c>
      <c r="D5" s="3" t="s">
        <v>389</v>
      </c>
      <c r="E5" s="3">
        <v>0</v>
      </c>
      <c r="F5" s="3" t="s">
        <v>366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45">
      <c r="A6" s="34"/>
      <c r="B6" s="3" t="s">
        <v>12</v>
      </c>
      <c r="C6" s="3" t="s">
        <v>13</v>
      </c>
      <c r="D6" s="3" t="s">
        <v>389</v>
      </c>
      <c r="E6" s="3">
        <v>0</v>
      </c>
      <c r="F6" s="3" t="s">
        <v>366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45">
      <c r="A7" s="34"/>
      <c r="B7" s="3" t="s">
        <v>14</v>
      </c>
      <c r="C7" s="3" t="s">
        <v>15</v>
      </c>
      <c r="D7" s="3" t="s">
        <v>389</v>
      </c>
      <c r="E7" s="3">
        <v>0</v>
      </c>
      <c r="F7" s="3" t="s">
        <v>366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x14ac:dyDescent="0.45">
      <c r="A8" s="34"/>
      <c r="B8" s="3" t="s">
        <v>16</v>
      </c>
      <c r="C8" s="3" t="s">
        <v>17</v>
      </c>
      <c r="D8" s="3" t="s">
        <v>389</v>
      </c>
      <c r="E8" s="3">
        <v>0</v>
      </c>
      <c r="F8" s="3" t="s">
        <v>366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 x14ac:dyDescent="0.45">
      <c r="A9" s="34"/>
      <c r="B9" s="3" t="s">
        <v>18</v>
      </c>
      <c r="C9" s="3" t="s">
        <v>19</v>
      </c>
      <c r="D9" s="3" t="s">
        <v>389</v>
      </c>
      <c r="E9" s="3">
        <v>0</v>
      </c>
      <c r="F9" s="3" t="s">
        <v>366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 x14ac:dyDescent="0.45">
      <c r="A10" s="34"/>
      <c r="B10" s="3" t="s">
        <v>20</v>
      </c>
      <c r="C10" s="3" t="s">
        <v>21</v>
      </c>
      <c r="D10" s="3" t="s">
        <v>389</v>
      </c>
      <c r="E10" s="3">
        <v>0</v>
      </c>
      <c r="F10" s="3" t="s">
        <v>366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</row>
    <row r="11" spans="1:36" x14ac:dyDescent="0.45">
      <c r="A11" s="34"/>
      <c r="B11" s="3" t="s">
        <v>256</v>
      </c>
      <c r="C11" s="3" t="s">
        <v>258</v>
      </c>
      <c r="D11" s="3" t="s">
        <v>389</v>
      </c>
      <c r="E11" s="3">
        <v>0</v>
      </c>
      <c r="F11" s="3" t="s">
        <v>366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x14ac:dyDescent="0.45">
      <c r="A12" s="34"/>
      <c r="B12" s="3" t="s">
        <v>257</v>
      </c>
      <c r="C12" s="3" t="s">
        <v>259</v>
      </c>
      <c r="D12" s="3" t="s">
        <v>389</v>
      </c>
      <c r="E12" s="3">
        <v>0</v>
      </c>
      <c r="F12" s="3" t="s">
        <v>366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x14ac:dyDescent="0.45">
      <c r="A13" s="34"/>
      <c r="B13" s="3" t="s">
        <v>22</v>
      </c>
      <c r="C13" s="3" t="s">
        <v>23</v>
      </c>
      <c r="D13" s="3" t="s">
        <v>389</v>
      </c>
      <c r="E13" s="3">
        <v>0</v>
      </c>
      <c r="F13" s="3" t="s">
        <v>366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</row>
    <row r="14" spans="1:36" x14ac:dyDescent="0.45">
      <c r="A14" s="34"/>
      <c r="B14" s="3" t="s">
        <v>24</v>
      </c>
      <c r="C14" s="3" t="s">
        <v>25</v>
      </c>
      <c r="D14" s="3" t="s">
        <v>389</v>
      </c>
      <c r="E14" s="3">
        <v>0</v>
      </c>
      <c r="F14" s="3" t="s">
        <v>366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x14ac:dyDescent="0.45">
      <c r="A15" s="34"/>
      <c r="B15" s="3" t="s">
        <v>249</v>
      </c>
      <c r="C15" s="3" t="s">
        <v>26</v>
      </c>
      <c r="D15" s="3" t="s">
        <v>389</v>
      </c>
      <c r="E15" s="3">
        <v>0</v>
      </c>
      <c r="F15" s="3" t="s">
        <v>366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x14ac:dyDescent="0.45">
      <c r="A16" s="34"/>
      <c r="B16" s="3" t="s">
        <v>250</v>
      </c>
      <c r="C16" s="3" t="s">
        <v>251</v>
      </c>
      <c r="D16" s="3" t="s">
        <v>389</v>
      </c>
      <c r="E16" s="3">
        <v>0</v>
      </c>
      <c r="F16" s="3" t="s">
        <v>366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 x14ac:dyDescent="0.45">
      <c r="A17" s="34"/>
      <c r="B17" s="3" t="s">
        <v>252</v>
      </c>
      <c r="C17" s="3" t="s">
        <v>255</v>
      </c>
      <c r="D17" s="3" t="s">
        <v>389</v>
      </c>
      <c r="E17" s="3">
        <v>0</v>
      </c>
      <c r="F17" s="3" t="s">
        <v>366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 x14ac:dyDescent="0.45">
      <c r="A18" s="34"/>
      <c r="B18" s="3" t="s">
        <v>253</v>
      </c>
      <c r="C18" s="3" t="s">
        <v>254</v>
      </c>
      <c r="D18" s="3" t="s">
        <v>389</v>
      </c>
      <c r="E18" s="3">
        <v>0</v>
      </c>
      <c r="F18" s="3" t="s">
        <v>366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 ht="17.25" customHeight="1" x14ac:dyDescent="0.45">
      <c r="A19" s="34" t="s">
        <v>208</v>
      </c>
      <c r="B19" s="3" t="s">
        <v>4</v>
      </c>
      <c r="C19" s="3" t="s">
        <v>5</v>
      </c>
      <c r="D19" s="3" t="s">
        <v>389</v>
      </c>
      <c r="E19" s="3">
        <v>0</v>
      </c>
      <c r="F19" s="3" t="s">
        <v>366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x14ac:dyDescent="0.45">
      <c r="A20" s="34"/>
      <c r="B20" s="3" t="s">
        <v>8</v>
      </c>
      <c r="C20" s="3" t="s">
        <v>9</v>
      </c>
      <c r="D20" s="3" t="s">
        <v>389</v>
      </c>
      <c r="E20" s="3">
        <v>0</v>
      </c>
      <c r="F20" s="3" t="s">
        <v>366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6" x14ac:dyDescent="0.45">
      <c r="A21" s="34"/>
      <c r="B21" s="3" t="s">
        <v>27</v>
      </c>
      <c r="C21" s="3" t="s">
        <v>28</v>
      </c>
      <c r="D21" s="3" t="s">
        <v>389</v>
      </c>
      <c r="E21" s="3">
        <v>0</v>
      </c>
      <c r="F21" s="3" t="s">
        <v>366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x14ac:dyDescent="0.45">
      <c r="A22" s="34"/>
      <c r="B22" s="3" t="s">
        <v>29</v>
      </c>
      <c r="C22" s="3" t="s">
        <v>30</v>
      </c>
      <c r="D22" s="3" t="s">
        <v>389</v>
      </c>
      <c r="E22" s="3">
        <v>0</v>
      </c>
      <c r="F22" s="3" t="s">
        <v>366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x14ac:dyDescent="0.45">
      <c r="A23" s="34"/>
      <c r="B23" s="3" t="s">
        <v>31</v>
      </c>
      <c r="C23" s="3" t="s">
        <v>32</v>
      </c>
      <c r="D23" s="3" t="s">
        <v>389</v>
      </c>
      <c r="E23" s="3">
        <v>0</v>
      </c>
      <c r="F23" s="3" t="s">
        <v>366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x14ac:dyDescent="0.45">
      <c r="A24" s="34"/>
      <c r="B24" s="3" t="s">
        <v>33</v>
      </c>
      <c r="C24" s="3" t="s">
        <v>34</v>
      </c>
      <c r="D24" s="3" t="s">
        <v>389</v>
      </c>
      <c r="E24" s="3">
        <v>0</v>
      </c>
      <c r="F24" s="3" t="s">
        <v>366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x14ac:dyDescent="0.45">
      <c r="A25" s="34"/>
      <c r="B25" s="3" t="s">
        <v>35</v>
      </c>
      <c r="C25" s="3" t="s">
        <v>36</v>
      </c>
      <c r="D25" s="3" t="s">
        <v>389</v>
      </c>
      <c r="E25" s="3">
        <v>0</v>
      </c>
      <c r="F25" s="3" t="s">
        <v>366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 ht="17.25" customHeight="1" x14ac:dyDescent="0.45">
      <c r="A26" s="34" t="s">
        <v>209</v>
      </c>
      <c r="B26" s="3" t="s">
        <v>37</v>
      </c>
      <c r="C26" s="3" t="s">
        <v>38</v>
      </c>
      <c r="D26" s="3" t="s">
        <v>392</v>
      </c>
      <c r="E26" s="3">
        <v>40.58</v>
      </c>
      <c r="F26" s="3" t="s">
        <v>391</v>
      </c>
      <c r="G26" s="15">
        <v>40.58</v>
      </c>
      <c r="H26" s="15">
        <v>40.58</v>
      </c>
      <c r="I26" s="15">
        <v>40.58</v>
      </c>
      <c r="J26" s="15">
        <v>40.58</v>
      </c>
      <c r="K26" s="15">
        <v>40.58</v>
      </c>
      <c r="L26" s="15">
        <v>40.58</v>
      </c>
      <c r="M26" s="15">
        <v>40.58</v>
      </c>
      <c r="N26" s="15">
        <v>40.58</v>
      </c>
      <c r="O26" s="15">
        <v>40.58</v>
      </c>
      <c r="P26" s="15">
        <v>40.58</v>
      </c>
      <c r="Q26" s="15">
        <v>40.58</v>
      </c>
      <c r="R26" s="15">
        <v>40.58</v>
      </c>
      <c r="S26" s="15">
        <v>40.58</v>
      </c>
      <c r="T26" s="15">
        <v>40.58</v>
      </c>
      <c r="U26" s="15">
        <v>40.58</v>
      </c>
      <c r="V26" s="15">
        <v>40.58</v>
      </c>
      <c r="W26" s="15">
        <v>40.58</v>
      </c>
      <c r="X26" s="15">
        <v>40.58</v>
      </c>
      <c r="Y26" s="15">
        <v>40.58</v>
      </c>
      <c r="Z26" s="15">
        <v>40.58</v>
      </c>
      <c r="AA26" s="15">
        <v>40.58</v>
      </c>
      <c r="AB26" s="15">
        <v>40.58</v>
      </c>
      <c r="AC26" s="15">
        <v>40.58</v>
      </c>
      <c r="AD26" s="15">
        <v>40.58</v>
      </c>
      <c r="AE26" s="15">
        <v>40.58</v>
      </c>
      <c r="AF26" s="15">
        <v>40.58</v>
      </c>
      <c r="AG26" s="15">
        <v>40.58</v>
      </c>
      <c r="AH26" s="15">
        <v>40.58</v>
      </c>
      <c r="AI26" s="15">
        <v>40.58</v>
      </c>
      <c r="AJ26" s="15">
        <v>40.58</v>
      </c>
    </row>
    <row r="27" spans="1:36" x14ac:dyDescent="0.45">
      <c r="A27" s="34"/>
      <c r="B27" s="3" t="s">
        <v>39</v>
      </c>
      <c r="C27" s="3" t="s">
        <v>40</v>
      </c>
      <c r="D27" s="3" t="s">
        <v>392</v>
      </c>
      <c r="E27" s="3">
        <v>59.54</v>
      </c>
      <c r="F27" s="3" t="s">
        <v>391</v>
      </c>
      <c r="G27" s="15">
        <f>$E$27*0.9959^(G1-2020)</f>
        <v>59.295886000000003</v>
      </c>
      <c r="H27" s="15">
        <f t="shared" ref="H27:AJ27" si="0">$E$27*0.9959^(H1-2020)</f>
        <v>59.052772867400002</v>
      </c>
      <c r="I27" s="15">
        <f t="shared" si="0"/>
        <v>58.81065649864366</v>
      </c>
      <c r="J27" s="15">
        <f t="shared" si="0"/>
        <v>58.56953280699922</v>
      </c>
      <c r="K27" s="15">
        <f t="shared" si="0"/>
        <v>58.329397722490526</v>
      </c>
      <c r="L27" s="15">
        <f t="shared" si="0"/>
        <v>58.090247191828311</v>
      </c>
      <c r="M27" s="15">
        <f t="shared" si="0"/>
        <v>57.852077178341816</v>
      </c>
      <c r="N27" s="15">
        <f t="shared" si="0"/>
        <v>57.614883661910618</v>
      </c>
      <c r="O27" s="15">
        <f t="shared" si="0"/>
        <v>57.378662638896785</v>
      </c>
      <c r="P27" s="15">
        <f t="shared" si="0"/>
        <v>57.143410122077306</v>
      </c>
      <c r="Q27" s="15">
        <f t="shared" si="0"/>
        <v>56.909122140576791</v>
      </c>
      <c r="R27" s="15">
        <f t="shared" si="0"/>
        <v>56.675794739800423</v>
      </c>
      <c r="S27" s="15">
        <f t="shared" si="0"/>
        <v>56.443423981367239</v>
      </c>
      <c r="T27" s="15">
        <f t="shared" si="0"/>
        <v>56.212005943043636</v>
      </c>
      <c r="U27" s="15">
        <f t="shared" si="0"/>
        <v>55.981536718677155</v>
      </c>
      <c r="V27" s="15">
        <f t="shared" si="0"/>
        <v>55.752012418130583</v>
      </c>
      <c r="W27" s="15">
        <f t="shared" si="0"/>
        <v>55.52342916721625</v>
      </c>
      <c r="X27" s="15">
        <f t="shared" si="0"/>
        <v>55.295783107630662</v>
      </c>
      <c r="Y27" s="15">
        <f t="shared" si="0"/>
        <v>55.06907039688938</v>
      </c>
      <c r="Z27" s="15">
        <f t="shared" si="0"/>
        <v>54.843287208262126</v>
      </c>
      <c r="AA27" s="15">
        <f t="shared" si="0"/>
        <v>54.61842973070825</v>
      </c>
      <c r="AB27" s="15">
        <f t="shared" si="0"/>
        <v>54.394494168812351</v>
      </c>
      <c r="AC27" s="15">
        <f t="shared" si="0"/>
        <v>54.171476742720223</v>
      </c>
      <c r="AD27" s="15">
        <f t="shared" si="0"/>
        <v>53.949373688075063</v>
      </c>
      <c r="AE27" s="15">
        <f t="shared" si="0"/>
        <v>53.728181255953963</v>
      </c>
      <c r="AF27" s="15">
        <f t="shared" si="0"/>
        <v>53.507895712804547</v>
      </c>
      <c r="AG27" s="15">
        <f t="shared" si="0"/>
        <v>53.288513340382053</v>
      </c>
      <c r="AH27" s="15">
        <f t="shared" si="0"/>
        <v>53.070030435686483</v>
      </c>
      <c r="AI27" s="15">
        <f t="shared" si="0"/>
        <v>52.852443310900171</v>
      </c>
      <c r="AJ27" s="15">
        <f t="shared" si="0"/>
        <v>52.635748293325477</v>
      </c>
    </row>
    <row r="28" spans="1:36" x14ac:dyDescent="0.45">
      <c r="A28" s="34"/>
      <c r="B28" s="3" t="s">
        <v>41</v>
      </c>
      <c r="C28" s="3" t="s">
        <v>42</v>
      </c>
      <c r="D28" s="3" t="s">
        <v>392</v>
      </c>
      <c r="E28" s="3">
        <v>14.1</v>
      </c>
      <c r="F28" s="3" t="s">
        <v>391</v>
      </c>
      <c r="G28" s="15">
        <v>14.1</v>
      </c>
      <c r="H28" s="15">
        <v>14.1</v>
      </c>
      <c r="I28" s="15">
        <v>14.1</v>
      </c>
      <c r="J28" s="15">
        <v>14.1</v>
      </c>
      <c r="K28" s="15">
        <v>14.1</v>
      </c>
      <c r="L28" s="15">
        <v>14.1</v>
      </c>
      <c r="M28" s="15">
        <v>14.1</v>
      </c>
      <c r="N28" s="15">
        <v>14.1</v>
      </c>
      <c r="O28" s="15">
        <v>14.1</v>
      </c>
      <c r="P28" s="15">
        <v>14.1</v>
      </c>
      <c r="Q28" s="15">
        <v>14.1</v>
      </c>
      <c r="R28" s="15">
        <v>14.1</v>
      </c>
      <c r="S28" s="15">
        <v>14.1</v>
      </c>
      <c r="T28" s="15">
        <v>14.1</v>
      </c>
      <c r="U28" s="15">
        <v>14.1</v>
      </c>
      <c r="V28" s="15">
        <v>14.1</v>
      </c>
      <c r="W28" s="15">
        <v>14.1</v>
      </c>
      <c r="X28" s="15">
        <v>14.1</v>
      </c>
      <c r="Y28" s="15">
        <v>14.1</v>
      </c>
      <c r="Z28" s="15">
        <v>14.1</v>
      </c>
      <c r="AA28" s="15">
        <v>14.1</v>
      </c>
      <c r="AB28" s="15">
        <v>14.1</v>
      </c>
      <c r="AC28" s="15">
        <v>14.1</v>
      </c>
      <c r="AD28" s="15">
        <v>14.1</v>
      </c>
      <c r="AE28" s="15">
        <v>14.1</v>
      </c>
      <c r="AF28" s="15">
        <v>14.1</v>
      </c>
      <c r="AG28" s="15">
        <v>14.1</v>
      </c>
      <c r="AH28" s="15">
        <v>14.1</v>
      </c>
      <c r="AI28" s="15">
        <v>14.1</v>
      </c>
      <c r="AJ28" s="15">
        <v>14.1</v>
      </c>
    </row>
    <row r="29" spans="1:36" x14ac:dyDescent="0.45">
      <c r="A29" s="34"/>
      <c r="B29" s="3" t="s">
        <v>43</v>
      </c>
      <c r="C29" s="3" t="s">
        <v>44</v>
      </c>
      <c r="D29" s="3" t="s">
        <v>392</v>
      </c>
      <c r="E29" s="3">
        <v>27.6</v>
      </c>
      <c r="F29" s="3" t="s">
        <v>391</v>
      </c>
      <c r="G29" s="15">
        <f>$E$29*0.9959^(G1-2020)</f>
        <v>27.486840000000001</v>
      </c>
      <c r="H29" s="15">
        <f t="shared" ref="H29:AJ29" si="1">$E$29*0.9959^(H1-2020)</f>
        <v>27.374143956000001</v>
      </c>
      <c r="I29" s="15">
        <f t="shared" si="1"/>
        <v>27.261909965780404</v>
      </c>
      <c r="J29" s="15">
        <f t="shared" si="1"/>
        <v>27.150136134920704</v>
      </c>
      <c r="K29" s="15">
        <f t="shared" si="1"/>
        <v>27.038820576767527</v>
      </c>
      <c r="L29" s="15">
        <f t="shared" si="1"/>
        <v>26.92796141240278</v>
      </c>
      <c r="M29" s="15">
        <f t="shared" si="1"/>
        <v>26.81755677061193</v>
      </c>
      <c r="N29" s="15">
        <f t="shared" si="1"/>
        <v>26.707604787852421</v>
      </c>
      <c r="O29" s="15">
        <f t="shared" si="1"/>
        <v>26.598103608222225</v>
      </c>
      <c r="P29" s="15">
        <f t="shared" si="1"/>
        <v>26.489051383428514</v>
      </c>
      <c r="Q29" s="15">
        <f t="shared" si="1"/>
        <v>26.380446272756458</v>
      </c>
      <c r="R29" s="15">
        <f t="shared" si="1"/>
        <v>26.272286443038155</v>
      </c>
      <c r="S29" s="15">
        <f t="shared" si="1"/>
        <v>26.1645700686217</v>
      </c>
      <c r="T29" s="15">
        <f t="shared" si="1"/>
        <v>26.057295331340352</v>
      </c>
      <c r="U29" s="15">
        <f t="shared" si="1"/>
        <v>25.950460420481857</v>
      </c>
      <c r="V29" s="15">
        <f t="shared" si="1"/>
        <v>25.844063532757879</v>
      </c>
      <c r="W29" s="15">
        <f t="shared" si="1"/>
        <v>25.738102872273572</v>
      </c>
      <c r="X29" s="15">
        <f t="shared" si="1"/>
        <v>25.632576650497253</v>
      </c>
      <c r="Y29" s="15">
        <f t="shared" si="1"/>
        <v>25.527483086230212</v>
      </c>
      <c r="Z29" s="15">
        <f t="shared" si="1"/>
        <v>25.422820405576669</v>
      </c>
      <c r="AA29" s="15">
        <f t="shared" si="1"/>
        <v>25.318586841913802</v>
      </c>
      <c r="AB29" s="15">
        <f t="shared" si="1"/>
        <v>25.214780635861956</v>
      </c>
      <c r="AC29" s="15">
        <f t="shared" si="1"/>
        <v>25.111400035254924</v>
      </c>
      <c r="AD29" s="15">
        <f t="shared" si="1"/>
        <v>25.008443295110379</v>
      </c>
      <c r="AE29" s="15">
        <f t="shared" si="1"/>
        <v>24.905908677600429</v>
      </c>
      <c r="AF29" s="15">
        <f t="shared" si="1"/>
        <v>24.803794452022263</v>
      </c>
      <c r="AG29" s="15">
        <f t="shared" si="1"/>
        <v>24.702098894768973</v>
      </c>
      <c r="AH29" s="15">
        <f t="shared" si="1"/>
        <v>24.600820289300419</v>
      </c>
      <c r="AI29" s="15">
        <f t="shared" si="1"/>
        <v>24.499956926114287</v>
      </c>
      <c r="AJ29" s="15">
        <f t="shared" si="1"/>
        <v>24.399507102717219</v>
      </c>
    </row>
    <row r="30" spans="1:36" x14ac:dyDescent="0.45">
      <c r="A30" s="34"/>
      <c r="B30" s="3" t="s">
        <v>45</v>
      </c>
      <c r="C30" s="3" t="s">
        <v>46</v>
      </c>
      <c r="D30" s="3" t="s">
        <v>392</v>
      </c>
      <c r="E30" s="3">
        <v>125.72</v>
      </c>
      <c r="F30" s="3" t="s">
        <v>391</v>
      </c>
      <c r="G30" s="15">
        <f>$E$30*0.9971^(G1-2020)</f>
        <v>125.355412</v>
      </c>
      <c r="H30" s="15">
        <f t="shared" ref="H30:AJ30" si="2">$E$30*0.9971^(H1-2020)</f>
        <v>124.9918813052</v>
      </c>
      <c r="I30" s="15">
        <f t="shared" si="2"/>
        <v>124.62940484941491</v>
      </c>
      <c r="J30" s="15">
        <f t="shared" si="2"/>
        <v>124.2679795753516</v>
      </c>
      <c r="K30" s="15">
        <f t="shared" si="2"/>
        <v>123.90760243458308</v>
      </c>
      <c r="L30" s="15">
        <f t="shared" si="2"/>
        <v>123.54827038752278</v>
      </c>
      <c r="M30" s="15">
        <f t="shared" si="2"/>
        <v>123.18998040339896</v>
      </c>
      <c r="N30" s="15">
        <f t="shared" si="2"/>
        <v>122.83272946022909</v>
      </c>
      <c r="O30" s="15">
        <f t="shared" si="2"/>
        <v>122.47651454479444</v>
      </c>
      <c r="P30" s="15">
        <f t="shared" si="2"/>
        <v>122.12133265261451</v>
      </c>
      <c r="Q30" s="15">
        <f t="shared" si="2"/>
        <v>121.76718078792193</v>
      </c>
      <c r="R30" s="15">
        <f t="shared" si="2"/>
        <v>121.41405596363695</v>
      </c>
      <c r="S30" s="15">
        <f t="shared" si="2"/>
        <v>121.06195520134241</v>
      </c>
      <c r="T30" s="15">
        <f t="shared" si="2"/>
        <v>120.71087553125851</v>
      </c>
      <c r="U30" s="15">
        <f t="shared" si="2"/>
        <v>120.36081399221784</v>
      </c>
      <c r="V30" s="15">
        <f t="shared" si="2"/>
        <v>120.01176763164041</v>
      </c>
      <c r="W30" s="15">
        <f t="shared" si="2"/>
        <v>119.66373350550865</v>
      </c>
      <c r="X30" s="15">
        <f t="shared" si="2"/>
        <v>119.31670867834268</v>
      </c>
      <c r="Y30" s="15">
        <f t="shared" si="2"/>
        <v>118.97069022317548</v>
      </c>
      <c r="Z30" s="15">
        <f t="shared" si="2"/>
        <v>118.62567522152825</v>
      </c>
      <c r="AA30" s="15">
        <f t="shared" si="2"/>
        <v>118.28166076338583</v>
      </c>
      <c r="AB30" s="15">
        <f t="shared" si="2"/>
        <v>117.938643947172</v>
      </c>
      <c r="AC30" s="15">
        <f t="shared" si="2"/>
        <v>117.59662187972519</v>
      </c>
      <c r="AD30" s="15">
        <f t="shared" si="2"/>
        <v>117.25559167627398</v>
      </c>
      <c r="AE30" s="15">
        <f t="shared" si="2"/>
        <v>116.91555046041279</v>
      </c>
      <c r="AF30" s="15">
        <f t="shared" si="2"/>
        <v>116.57649536407759</v>
      </c>
      <c r="AG30" s="15">
        <f t="shared" si="2"/>
        <v>116.23842352752176</v>
      </c>
      <c r="AH30" s="15">
        <f t="shared" si="2"/>
        <v>115.90133209929193</v>
      </c>
      <c r="AI30" s="15">
        <f t="shared" si="2"/>
        <v>115.565218236204</v>
      </c>
      <c r="AJ30" s="15">
        <f t="shared" si="2"/>
        <v>115.230079103319</v>
      </c>
    </row>
    <row r="31" spans="1:36" x14ac:dyDescent="0.45">
      <c r="A31" s="34"/>
      <c r="B31" s="3" t="s">
        <v>47</v>
      </c>
      <c r="C31" s="3" t="s">
        <v>48</v>
      </c>
      <c r="D31" s="3" t="s">
        <v>392</v>
      </c>
      <c r="E31" s="3">
        <v>144.68</v>
      </c>
      <c r="F31" s="3" t="s">
        <v>408</v>
      </c>
      <c r="G31" s="15">
        <f>$E$31*0.9959^(G1-2020)</f>
        <v>144.08681200000001</v>
      </c>
      <c r="H31" s="15">
        <f t="shared" ref="H31:AJ31" si="3">$E$31*0.9959^(H1-2020)</f>
        <v>143.49605607079999</v>
      </c>
      <c r="I31" s="15">
        <f t="shared" si="3"/>
        <v>142.90772224090972</v>
      </c>
      <c r="J31" s="15">
        <f t="shared" si="3"/>
        <v>142.32180057972201</v>
      </c>
      <c r="K31" s="15">
        <f t="shared" si="3"/>
        <v>141.73828119734515</v>
      </c>
      <c r="L31" s="15">
        <f t="shared" si="3"/>
        <v>141.15715424443601</v>
      </c>
      <c r="M31" s="15">
        <f t="shared" si="3"/>
        <v>140.57840991203383</v>
      </c>
      <c r="N31" s="15">
        <f t="shared" si="3"/>
        <v>140.00203843139448</v>
      </c>
      <c r="O31" s="15">
        <f t="shared" si="3"/>
        <v>139.42803007382579</v>
      </c>
      <c r="P31" s="15">
        <f t="shared" si="3"/>
        <v>138.85637515052309</v>
      </c>
      <c r="Q31" s="15">
        <f t="shared" si="3"/>
        <v>138.28706401240595</v>
      </c>
      <c r="R31" s="15">
        <f t="shared" si="3"/>
        <v>137.72008704995508</v>
      </c>
      <c r="S31" s="15">
        <f t="shared" si="3"/>
        <v>137.15543469305027</v>
      </c>
      <c r="T31" s="15">
        <f t="shared" si="3"/>
        <v>136.59309741080878</v>
      </c>
      <c r="U31" s="15">
        <f t="shared" si="3"/>
        <v>136.03306571142446</v>
      </c>
      <c r="V31" s="15">
        <f t="shared" si="3"/>
        <v>135.47533014200761</v>
      </c>
      <c r="W31" s="15">
        <f t="shared" si="3"/>
        <v>134.91988128842539</v>
      </c>
      <c r="X31" s="15">
        <f t="shared" si="3"/>
        <v>134.36670977514285</v>
      </c>
      <c r="Y31" s="15">
        <f t="shared" si="3"/>
        <v>133.81580626506477</v>
      </c>
      <c r="Z31" s="15">
        <f t="shared" si="3"/>
        <v>133.26716145937797</v>
      </c>
      <c r="AA31" s="15">
        <f t="shared" si="3"/>
        <v>132.72076609739452</v>
      </c>
      <c r="AB31" s="15">
        <f t="shared" si="3"/>
        <v>132.17661095639522</v>
      </c>
      <c r="AC31" s="15">
        <f t="shared" si="3"/>
        <v>131.63468685147399</v>
      </c>
      <c r="AD31" s="15">
        <f t="shared" si="3"/>
        <v>131.09498463538296</v>
      </c>
      <c r="AE31" s="15">
        <f t="shared" si="3"/>
        <v>130.55749519837789</v>
      </c>
      <c r="AF31" s="15">
        <f t="shared" si="3"/>
        <v>130.02220946806452</v>
      </c>
      <c r="AG31" s="15">
        <f t="shared" si="3"/>
        <v>129.48911840924546</v>
      </c>
      <c r="AH31" s="15">
        <f t="shared" si="3"/>
        <v>128.95821302376757</v>
      </c>
      <c r="AI31" s="15">
        <f t="shared" si="3"/>
        <v>128.4294843503701</v>
      </c>
      <c r="AJ31" s="15">
        <f t="shared" si="3"/>
        <v>127.9029234645336</v>
      </c>
    </row>
    <row r="32" spans="1:36" x14ac:dyDescent="0.45">
      <c r="A32" s="34"/>
      <c r="B32" s="3" t="s">
        <v>49</v>
      </c>
      <c r="C32" s="3" t="s">
        <v>50</v>
      </c>
      <c r="D32" s="3" t="s">
        <v>392</v>
      </c>
      <c r="E32" s="3">
        <v>125.72</v>
      </c>
      <c r="F32" s="3" t="s">
        <v>391</v>
      </c>
      <c r="G32" s="15">
        <f>$E$32*0.9971^(G1-2020)</f>
        <v>125.355412</v>
      </c>
      <c r="H32" s="15">
        <f t="shared" ref="H32:AJ32" si="4">$E$32*0.9971^(H1-2020)</f>
        <v>124.9918813052</v>
      </c>
      <c r="I32" s="15">
        <f t="shared" si="4"/>
        <v>124.62940484941491</v>
      </c>
      <c r="J32" s="15">
        <f t="shared" si="4"/>
        <v>124.2679795753516</v>
      </c>
      <c r="K32" s="15">
        <f t="shared" si="4"/>
        <v>123.90760243458308</v>
      </c>
      <c r="L32" s="15">
        <f t="shared" si="4"/>
        <v>123.54827038752278</v>
      </c>
      <c r="M32" s="15">
        <f t="shared" si="4"/>
        <v>123.18998040339896</v>
      </c>
      <c r="N32" s="15">
        <f t="shared" si="4"/>
        <v>122.83272946022909</v>
      </c>
      <c r="O32" s="15">
        <f t="shared" si="4"/>
        <v>122.47651454479444</v>
      </c>
      <c r="P32" s="15">
        <f t="shared" si="4"/>
        <v>122.12133265261451</v>
      </c>
      <c r="Q32" s="15">
        <f t="shared" si="4"/>
        <v>121.76718078792193</v>
      </c>
      <c r="R32" s="15">
        <f t="shared" si="4"/>
        <v>121.41405596363695</v>
      </c>
      <c r="S32" s="15">
        <f t="shared" si="4"/>
        <v>121.06195520134241</v>
      </c>
      <c r="T32" s="15">
        <f t="shared" si="4"/>
        <v>120.71087553125851</v>
      </c>
      <c r="U32" s="15">
        <f t="shared" si="4"/>
        <v>120.36081399221784</v>
      </c>
      <c r="V32" s="15">
        <f t="shared" si="4"/>
        <v>120.01176763164041</v>
      </c>
      <c r="W32" s="15">
        <f t="shared" si="4"/>
        <v>119.66373350550865</v>
      </c>
      <c r="X32" s="15">
        <f t="shared" si="4"/>
        <v>119.31670867834268</v>
      </c>
      <c r="Y32" s="15">
        <f t="shared" si="4"/>
        <v>118.97069022317548</v>
      </c>
      <c r="Z32" s="15">
        <f t="shared" si="4"/>
        <v>118.62567522152825</v>
      </c>
      <c r="AA32" s="15">
        <f t="shared" si="4"/>
        <v>118.28166076338583</v>
      </c>
      <c r="AB32" s="15">
        <f t="shared" si="4"/>
        <v>117.938643947172</v>
      </c>
      <c r="AC32" s="15">
        <f t="shared" si="4"/>
        <v>117.59662187972519</v>
      </c>
      <c r="AD32" s="15">
        <f t="shared" si="4"/>
        <v>117.25559167627398</v>
      </c>
      <c r="AE32" s="15">
        <f t="shared" si="4"/>
        <v>116.91555046041279</v>
      </c>
      <c r="AF32" s="15">
        <f t="shared" si="4"/>
        <v>116.57649536407759</v>
      </c>
      <c r="AG32" s="15">
        <f t="shared" si="4"/>
        <v>116.23842352752176</v>
      </c>
      <c r="AH32" s="15">
        <f t="shared" si="4"/>
        <v>115.90133209929193</v>
      </c>
      <c r="AI32" s="15">
        <f t="shared" si="4"/>
        <v>115.565218236204</v>
      </c>
      <c r="AJ32" s="15">
        <f t="shared" si="4"/>
        <v>115.230079103319</v>
      </c>
    </row>
    <row r="33" spans="1:36" x14ac:dyDescent="0.45">
      <c r="A33" s="34"/>
      <c r="B33" s="3" t="s">
        <v>51</v>
      </c>
      <c r="C33" s="3" t="s">
        <v>52</v>
      </c>
      <c r="D33" s="3" t="s">
        <v>392</v>
      </c>
      <c r="E33" s="3">
        <v>144.68</v>
      </c>
      <c r="F33" s="3" t="s">
        <v>408</v>
      </c>
      <c r="G33" s="15">
        <f>$E$33*0.9959^(G1-2020)</f>
        <v>144.08681200000001</v>
      </c>
      <c r="H33" s="15">
        <f t="shared" ref="H33:AJ33" si="5">$E$33*0.9959^(H1-2020)</f>
        <v>143.49605607079999</v>
      </c>
      <c r="I33" s="15">
        <f t="shared" si="5"/>
        <v>142.90772224090972</v>
      </c>
      <c r="J33" s="15">
        <f t="shared" si="5"/>
        <v>142.32180057972201</v>
      </c>
      <c r="K33" s="15">
        <f t="shared" si="5"/>
        <v>141.73828119734515</v>
      </c>
      <c r="L33" s="15">
        <f t="shared" si="5"/>
        <v>141.15715424443601</v>
      </c>
      <c r="M33" s="15">
        <f t="shared" si="5"/>
        <v>140.57840991203383</v>
      </c>
      <c r="N33" s="15">
        <f t="shared" si="5"/>
        <v>140.00203843139448</v>
      </c>
      <c r="O33" s="15">
        <f t="shared" si="5"/>
        <v>139.42803007382579</v>
      </c>
      <c r="P33" s="15">
        <f t="shared" si="5"/>
        <v>138.85637515052309</v>
      </c>
      <c r="Q33" s="15">
        <f t="shared" si="5"/>
        <v>138.28706401240595</v>
      </c>
      <c r="R33" s="15">
        <f t="shared" si="5"/>
        <v>137.72008704995508</v>
      </c>
      <c r="S33" s="15">
        <f t="shared" si="5"/>
        <v>137.15543469305027</v>
      </c>
      <c r="T33" s="15">
        <f t="shared" si="5"/>
        <v>136.59309741080878</v>
      </c>
      <c r="U33" s="15">
        <f t="shared" si="5"/>
        <v>136.03306571142446</v>
      </c>
      <c r="V33" s="15">
        <f t="shared" si="5"/>
        <v>135.47533014200761</v>
      </c>
      <c r="W33" s="15">
        <f t="shared" si="5"/>
        <v>134.91988128842539</v>
      </c>
      <c r="X33" s="15">
        <f t="shared" si="5"/>
        <v>134.36670977514285</v>
      </c>
      <c r="Y33" s="15">
        <f t="shared" si="5"/>
        <v>133.81580626506477</v>
      </c>
      <c r="Z33" s="15">
        <f t="shared" si="5"/>
        <v>133.26716145937797</v>
      </c>
      <c r="AA33" s="15">
        <f t="shared" si="5"/>
        <v>132.72076609739452</v>
      </c>
      <c r="AB33" s="15">
        <f t="shared" si="5"/>
        <v>132.17661095639522</v>
      </c>
      <c r="AC33" s="15">
        <f t="shared" si="5"/>
        <v>131.63468685147399</v>
      </c>
      <c r="AD33" s="15">
        <f t="shared" si="5"/>
        <v>131.09498463538296</v>
      </c>
      <c r="AE33" s="15">
        <f t="shared" si="5"/>
        <v>130.55749519837789</v>
      </c>
      <c r="AF33" s="15">
        <f t="shared" si="5"/>
        <v>130.02220946806452</v>
      </c>
      <c r="AG33" s="15">
        <f t="shared" si="5"/>
        <v>129.48911840924546</v>
      </c>
      <c r="AH33" s="15">
        <f t="shared" si="5"/>
        <v>128.95821302376757</v>
      </c>
      <c r="AI33" s="15">
        <f t="shared" si="5"/>
        <v>128.4294843503701</v>
      </c>
      <c r="AJ33" s="15">
        <f t="shared" si="5"/>
        <v>127.9029234645336</v>
      </c>
    </row>
    <row r="34" spans="1:36" x14ac:dyDescent="0.45">
      <c r="A34" s="34"/>
      <c r="B34" s="3" t="s">
        <v>53</v>
      </c>
      <c r="C34" s="3" t="s">
        <v>54</v>
      </c>
      <c r="D34" s="3" t="s">
        <v>392</v>
      </c>
      <c r="E34" s="3">
        <v>55.5</v>
      </c>
      <c r="F34" s="3" t="s">
        <v>396</v>
      </c>
      <c r="G34" s="15">
        <f>$E$34*0.997^(G1-2020)</f>
        <v>55.333500000000001</v>
      </c>
      <c r="H34" s="15">
        <f t="shared" ref="H34:AJ34" si="6">$E$34*0.997^(H1-2020)</f>
        <v>55.167499500000005</v>
      </c>
      <c r="I34" s="15">
        <f t="shared" si="6"/>
        <v>55.001997001500001</v>
      </c>
      <c r="J34" s="15">
        <f t="shared" si="6"/>
        <v>54.836991010495503</v>
      </c>
      <c r="K34" s="15">
        <f t="shared" si="6"/>
        <v>54.672480037464013</v>
      </c>
      <c r="L34" s="15">
        <f t="shared" si="6"/>
        <v>54.508462597351624</v>
      </c>
      <c r="M34" s="15">
        <f t="shared" si="6"/>
        <v>54.344937209559568</v>
      </c>
      <c r="N34" s="15">
        <f t="shared" si="6"/>
        <v>54.181902397930891</v>
      </c>
      <c r="O34" s="15">
        <f t="shared" si="6"/>
        <v>54.019356690737098</v>
      </c>
      <c r="P34" s="15">
        <f t="shared" si="6"/>
        <v>53.857298620664892</v>
      </c>
      <c r="Q34" s="15">
        <f t="shared" si="6"/>
        <v>53.695726724802896</v>
      </c>
      <c r="R34" s="15">
        <f t="shared" si="6"/>
        <v>53.534639544628483</v>
      </c>
      <c r="S34" s="15">
        <f t="shared" si="6"/>
        <v>53.374035625994594</v>
      </c>
      <c r="T34" s="15">
        <f t="shared" si="6"/>
        <v>53.213913519116616</v>
      </c>
      <c r="U34" s="15">
        <f t="shared" si="6"/>
        <v>53.054271778559269</v>
      </c>
      <c r="V34" s="15">
        <f t="shared" si="6"/>
        <v>52.895108963223592</v>
      </c>
      <c r="W34" s="15">
        <f t="shared" si="6"/>
        <v>52.736423636333924</v>
      </c>
      <c r="X34" s="15">
        <f t="shared" si="6"/>
        <v>52.57821436542492</v>
      </c>
      <c r="Y34" s="15">
        <f t="shared" si="6"/>
        <v>52.420479722328643</v>
      </c>
      <c r="Z34" s="15">
        <f t="shared" si="6"/>
        <v>52.263218283161663</v>
      </c>
      <c r="AA34" s="15">
        <f t="shared" si="6"/>
        <v>52.106428628312173</v>
      </c>
      <c r="AB34" s="15">
        <f t="shared" si="6"/>
        <v>51.95010934242724</v>
      </c>
      <c r="AC34" s="15">
        <f t="shared" si="6"/>
        <v>51.794259014399962</v>
      </c>
      <c r="AD34" s="15">
        <f t="shared" si="6"/>
        <v>51.638876237356762</v>
      </c>
      <c r="AE34" s="15">
        <f t="shared" si="6"/>
        <v>51.483959608644689</v>
      </c>
      <c r="AF34" s="15">
        <f t="shared" si="6"/>
        <v>51.329507729818758</v>
      </c>
      <c r="AG34" s="15">
        <f t="shared" si="6"/>
        <v>51.175519206629303</v>
      </c>
      <c r="AH34" s="15">
        <f t="shared" si="6"/>
        <v>51.021992649009412</v>
      </c>
      <c r="AI34" s="15">
        <f t="shared" si="6"/>
        <v>50.868926671062383</v>
      </c>
      <c r="AJ34" s="15">
        <f t="shared" si="6"/>
        <v>50.716319891049196</v>
      </c>
    </row>
    <row r="35" spans="1:36" x14ac:dyDescent="0.45">
      <c r="A35" s="34"/>
      <c r="B35" s="3" t="s">
        <v>63</v>
      </c>
      <c r="C35" s="3" t="s">
        <v>64</v>
      </c>
      <c r="D35" s="3" t="s">
        <v>392</v>
      </c>
      <c r="E35" s="3">
        <v>19.25</v>
      </c>
      <c r="F35" s="10" t="s">
        <v>394</v>
      </c>
      <c r="G35" s="15">
        <v>19.25</v>
      </c>
      <c r="H35" s="15">
        <v>19.25</v>
      </c>
      <c r="I35" s="15">
        <v>19.25</v>
      </c>
      <c r="J35" s="15">
        <v>19.25</v>
      </c>
      <c r="K35" s="15">
        <v>19.25</v>
      </c>
      <c r="L35" s="15">
        <v>19.25</v>
      </c>
      <c r="M35" s="15">
        <v>19.25</v>
      </c>
      <c r="N35" s="15">
        <v>19.25</v>
      </c>
      <c r="O35" s="15">
        <v>19.25</v>
      </c>
      <c r="P35" s="15">
        <v>19.25</v>
      </c>
      <c r="Q35" s="15">
        <v>19.25</v>
      </c>
      <c r="R35" s="15">
        <v>19.25</v>
      </c>
      <c r="S35" s="15">
        <v>19.25</v>
      </c>
      <c r="T35" s="15">
        <v>19.25</v>
      </c>
      <c r="U35" s="15">
        <v>19.25</v>
      </c>
      <c r="V35" s="15">
        <v>19.25</v>
      </c>
      <c r="W35" s="15">
        <v>19.25</v>
      </c>
      <c r="X35" s="15">
        <v>19.25</v>
      </c>
      <c r="Y35" s="15">
        <v>19.25</v>
      </c>
      <c r="Z35" s="15">
        <v>19.25</v>
      </c>
      <c r="AA35" s="15">
        <v>19.25</v>
      </c>
      <c r="AB35" s="15">
        <v>19.25</v>
      </c>
      <c r="AC35" s="15">
        <v>19.25</v>
      </c>
      <c r="AD35" s="15">
        <v>19.25</v>
      </c>
      <c r="AE35" s="15">
        <v>19.25</v>
      </c>
      <c r="AF35" s="15">
        <v>19.25</v>
      </c>
      <c r="AG35" s="15">
        <v>19.25</v>
      </c>
      <c r="AH35" s="15">
        <v>19.25</v>
      </c>
      <c r="AI35" s="15">
        <v>19.25</v>
      </c>
      <c r="AJ35" s="15">
        <v>19.25</v>
      </c>
    </row>
    <row r="36" spans="1:36" x14ac:dyDescent="0.45">
      <c r="A36" s="34"/>
      <c r="B36" s="3" t="s">
        <v>65</v>
      </c>
      <c r="C36" s="3" t="s">
        <v>66</v>
      </c>
      <c r="D36" s="3" t="s">
        <v>392</v>
      </c>
      <c r="E36" s="3">
        <v>16.5</v>
      </c>
      <c r="F36" s="10" t="s">
        <v>394</v>
      </c>
      <c r="G36" s="15">
        <v>16.5</v>
      </c>
      <c r="H36" s="15">
        <v>16.5</v>
      </c>
      <c r="I36" s="15">
        <v>16.5</v>
      </c>
      <c r="J36" s="15">
        <v>16.5</v>
      </c>
      <c r="K36" s="15">
        <v>16.5</v>
      </c>
      <c r="L36" s="15">
        <v>16.5</v>
      </c>
      <c r="M36" s="15">
        <v>16.5</v>
      </c>
      <c r="N36" s="15">
        <v>16.5</v>
      </c>
      <c r="O36" s="15">
        <v>16.5</v>
      </c>
      <c r="P36" s="15">
        <v>16.5</v>
      </c>
      <c r="Q36" s="15">
        <v>16.5</v>
      </c>
      <c r="R36" s="15">
        <v>16.5</v>
      </c>
      <c r="S36" s="15">
        <v>16.5</v>
      </c>
      <c r="T36" s="15">
        <v>16.5</v>
      </c>
      <c r="U36" s="15">
        <v>16.5</v>
      </c>
      <c r="V36" s="15">
        <v>16.5</v>
      </c>
      <c r="W36" s="15">
        <v>16.5</v>
      </c>
      <c r="X36" s="15">
        <v>16.5</v>
      </c>
      <c r="Y36" s="15">
        <v>16.5</v>
      </c>
      <c r="Z36" s="15">
        <v>16.5</v>
      </c>
      <c r="AA36" s="15">
        <v>16.5</v>
      </c>
      <c r="AB36" s="15">
        <v>16.5</v>
      </c>
      <c r="AC36" s="15">
        <v>16.5</v>
      </c>
      <c r="AD36" s="15">
        <v>16.5</v>
      </c>
      <c r="AE36" s="15">
        <v>16.5</v>
      </c>
      <c r="AF36" s="15">
        <v>16.5</v>
      </c>
      <c r="AG36" s="15">
        <v>16.5</v>
      </c>
      <c r="AH36" s="15">
        <v>16.5</v>
      </c>
      <c r="AI36" s="15">
        <v>16.5</v>
      </c>
      <c r="AJ36" s="15">
        <v>16.5</v>
      </c>
    </row>
    <row r="37" spans="1:36" x14ac:dyDescent="0.45">
      <c r="A37" s="34"/>
      <c r="B37" s="3" t="s">
        <v>241</v>
      </c>
      <c r="C37" s="3" t="s">
        <v>242</v>
      </c>
      <c r="D37" s="3" t="s">
        <v>392</v>
      </c>
      <c r="E37" s="3">
        <v>128.54</v>
      </c>
      <c r="F37" s="3" t="s">
        <v>391</v>
      </c>
      <c r="G37" s="15">
        <f>$E$37*0.9962^(G1-2020)</f>
        <v>128.051548</v>
      </c>
      <c r="H37" s="15">
        <f t="shared" ref="H37:AJ37" si="7">$E$37*0.9962^(H1-2020)</f>
        <v>127.56495211759997</v>
      </c>
      <c r="I37" s="15">
        <f t="shared" si="7"/>
        <v>127.08020529955309</v>
      </c>
      <c r="J37" s="15">
        <f t="shared" si="7"/>
        <v>126.59730051941477</v>
      </c>
      <c r="K37" s="15">
        <f t="shared" si="7"/>
        <v>126.116230777441</v>
      </c>
      <c r="L37" s="15">
        <f t="shared" si="7"/>
        <v>125.63698910048672</v>
      </c>
      <c r="M37" s="15">
        <f t="shared" si="7"/>
        <v>125.15956854190485</v>
      </c>
      <c r="N37" s="15">
        <f t="shared" si="7"/>
        <v>124.68396218144561</v>
      </c>
      <c r="O37" s="15">
        <f t="shared" si="7"/>
        <v>124.21016312515611</v>
      </c>
      <c r="P37" s="15">
        <f t="shared" si="7"/>
        <v>123.73816450528051</v>
      </c>
      <c r="Q37" s="15">
        <f t="shared" si="7"/>
        <v>123.26795948016044</v>
      </c>
      <c r="R37" s="15">
        <f t="shared" si="7"/>
        <v>122.79954123413582</v>
      </c>
      <c r="S37" s="15">
        <f t="shared" si="7"/>
        <v>122.3329029774461</v>
      </c>
      <c r="T37" s="15">
        <f t="shared" si="7"/>
        <v>121.86803794613179</v>
      </c>
      <c r="U37" s="15">
        <f t="shared" si="7"/>
        <v>121.40493940193647</v>
      </c>
      <c r="V37" s="15">
        <f t="shared" si="7"/>
        <v>120.94360063220913</v>
      </c>
      <c r="W37" s="15">
        <f t="shared" si="7"/>
        <v>120.48401494980672</v>
      </c>
      <c r="X37" s="15">
        <f t="shared" si="7"/>
        <v>120.02617569299744</v>
      </c>
      <c r="Y37" s="15">
        <f t="shared" si="7"/>
        <v>119.57007622536405</v>
      </c>
      <c r="Z37" s="15">
        <f t="shared" si="7"/>
        <v>119.11570993570766</v>
      </c>
      <c r="AA37" s="15">
        <f t="shared" si="7"/>
        <v>118.66307023795197</v>
      </c>
      <c r="AB37" s="15">
        <f t="shared" si="7"/>
        <v>118.21215057104773</v>
      </c>
      <c r="AC37" s="15">
        <f t="shared" si="7"/>
        <v>117.76294439887774</v>
      </c>
      <c r="AD37" s="15">
        <f t="shared" si="7"/>
        <v>117.31544521016201</v>
      </c>
      <c r="AE37" s="15">
        <f t="shared" si="7"/>
        <v>116.86964651836338</v>
      </c>
      <c r="AF37" s="15">
        <f t="shared" si="7"/>
        <v>116.4255418615936</v>
      </c>
      <c r="AG37" s="15">
        <f t="shared" si="7"/>
        <v>115.98312480251954</v>
      </c>
      <c r="AH37" s="15">
        <f t="shared" si="7"/>
        <v>115.54238892826994</v>
      </c>
      <c r="AI37" s="15">
        <f t="shared" si="7"/>
        <v>115.10332785034252</v>
      </c>
      <c r="AJ37" s="15">
        <f t="shared" si="7"/>
        <v>114.6659352045112</v>
      </c>
    </row>
    <row r="38" spans="1:36" x14ac:dyDescent="0.45">
      <c r="A38" s="34"/>
      <c r="B38" s="3" t="s">
        <v>67</v>
      </c>
      <c r="C38" s="3" t="s">
        <v>68</v>
      </c>
      <c r="D38" s="3" t="s">
        <v>392</v>
      </c>
      <c r="E38" s="3">
        <v>95</v>
      </c>
      <c r="F38" s="3" t="s">
        <v>391</v>
      </c>
      <c r="G38" s="15">
        <v>95</v>
      </c>
      <c r="H38" s="15">
        <v>95</v>
      </c>
      <c r="I38" s="15">
        <v>95</v>
      </c>
      <c r="J38" s="15">
        <v>95</v>
      </c>
      <c r="K38" s="15">
        <v>95</v>
      </c>
      <c r="L38" s="15">
        <v>95</v>
      </c>
      <c r="M38" s="15">
        <v>95</v>
      </c>
      <c r="N38" s="15">
        <v>95</v>
      </c>
      <c r="O38" s="15">
        <v>95</v>
      </c>
      <c r="P38" s="15">
        <v>95</v>
      </c>
      <c r="Q38" s="15">
        <v>95</v>
      </c>
      <c r="R38" s="15">
        <v>95</v>
      </c>
      <c r="S38" s="15">
        <v>95</v>
      </c>
      <c r="T38" s="15">
        <v>95</v>
      </c>
      <c r="U38" s="15">
        <v>95</v>
      </c>
      <c r="V38" s="15">
        <v>95</v>
      </c>
      <c r="W38" s="15">
        <v>95</v>
      </c>
      <c r="X38" s="15">
        <v>95</v>
      </c>
      <c r="Y38" s="15">
        <v>95</v>
      </c>
      <c r="Z38" s="15">
        <v>95</v>
      </c>
      <c r="AA38" s="15">
        <v>95</v>
      </c>
      <c r="AB38" s="15">
        <v>95</v>
      </c>
      <c r="AC38" s="15">
        <v>95</v>
      </c>
      <c r="AD38" s="15">
        <v>95</v>
      </c>
      <c r="AE38" s="15">
        <v>95</v>
      </c>
      <c r="AF38" s="15">
        <v>95</v>
      </c>
      <c r="AG38" s="15">
        <v>95</v>
      </c>
      <c r="AH38" s="15">
        <v>95</v>
      </c>
      <c r="AI38" s="15">
        <v>95</v>
      </c>
      <c r="AJ38" s="15">
        <v>95</v>
      </c>
    </row>
    <row r="39" spans="1:36" x14ac:dyDescent="0.45">
      <c r="A39" s="34"/>
      <c r="B39" s="3" t="s">
        <v>69</v>
      </c>
      <c r="C39" s="3" t="s">
        <v>70</v>
      </c>
      <c r="D39" s="3" t="s">
        <v>392</v>
      </c>
      <c r="E39" s="3">
        <v>15.25</v>
      </c>
      <c r="F39" s="3" t="s">
        <v>391</v>
      </c>
      <c r="G39" s="15">
        <f>$E$39*0.9834^(G1-2020)</f>
        <v>14.99685</v>
      </c>
      <c r="H39" s="15">
        <f t="shared" ref="H39:AJ39" si="8">$E$39*0.9834^(H1-2020)</f>
        <v>14.747902290000001</v>
      </c>
      <c r="I39" s="15">
        <f t="shared" si="8"/>
        <v>14.503087111986002</v>
      </c>
      <c r="J39" s="15">
        <f t="shared" si="8"/>
        <v>14.262335865927035</v>
      </c>
      <c r="K39" s="15">
        <f t="shared" si="8"/>
        <v>14.025581090552647</v>
      </c>
      <c r="L39" s="15">
        <f t="shared" si="8"/>
        <v>13.792756444449472</v>
      </c>
      <c r="M39" s="15">
        <f t="shared" si="8"/>
        <v>13.563796687471612</v>
      </c>
      <c r="N39" s="15">
        <f t="shared" si="8"/>
        <v>13.338637662459584</v>
      </c>
      <c r="O39" s="15">
        <f t="shared" si="8"/>
        <v>13.117216277262756</v>
      </c>
      <c r="P39" s="15">
        <f t="shared" si="8"/>
        <v>12.899470487060196</v>
      </c>
      <c r="Q39" s="15">
        <f t="shared" si="8"/>
        <v>12.685339276974997</v>
      </c>
      <c r="R39" s="15">
        <f t="shared" si="8"/>
        <v>12.474762644977211</v>
      </c>
      <c r="S39" s="15">
        <f t="shared" si="8"/>
        <v>12.267681585070591</v>
      </c>
      <c r="T39" s="15">
        <f t="shared" si="8"/>
        <v>12.064038070758418</v>
      </c>
      <c r="U39" s="15">
        <f t="shared" si="8"/>
        <v>11.86377503878383</v>
      </c>
      <c r="V39" s="15">
        <f t="shared" si="8"/>
        <v>11.666836373140018</v>
      </c>
      <c r="W39" s="15">
        <f t="shared" si="8"/>
        <v>11.473166889345894</v>
      </c>
      <c r="X39" s="15">
        <f t="shared" si="8"/>
        <v>11.282712318982753</v>
      </c>
      <c r="Y39" s="15">
        <f t="shared" si="8"/>
        <v>11.095419294487641</v>
      </c>
      <c r="Z39" s="15">
        <f t="shared" si="8"/>
        <v>10.911235334199144</v>
      </c>
      <c r="AA39" s="15">
        <f t="shared" si="8"/>
        <v>10.730108827651442</v>
      </c>
      <c r="AB39" s="15">
        <f t="shared" si="8"/>
        <v>10.551989021112426</v>
      </c>
      <c r="AC39" s="15">
        <f t="shared" si="8"/>
        <v>10.376826003361963</v>
      </c>
      <c r="AD39" s="15">
        <f t="shared" si="8"/>
        <v>10.204570691706154</v>
      </c>
      <c r="AE39" s="15">
        <f t="shared" si="8"/>
        <v>10.035174818223831</v>
      </c>
      <c r="AF39" s="15">
        <f t="shared" si="8"/>
        <v>9.8685909162413168</v>
      </c>
      <c r="AG39" s="15">
        <f t="shared" si="8"/>
        <v>9.7047723070317105</v>
      </c>
      <c r="AH39" s="15">
        <f t="shared" si="8"/>
        <v>9.5436730867349855</v>
      </c>
      <c r="AI39" s="15">
        <f t="shared" si="8"/>
        <v>9.3852481134951837</v>
      </c>
      <c r="AJ39" s="15">
        <f t="shared" si="8"/>
        <v>9.2294529948111652</v>
      </c>
    </row>
    <row r="40" spans="1:36" x14ac:dyDescent="0.45">
      <c r="A40" s="34"/>
      <c r="B40" s="3" t="s">
        <v>71</v>
      </c>
      <c r="C40" s="3" t="s">
        <v>72</v>
      </c>
      <c r="D40" s="3" t="s">
        <v>392</v>
      </c>
      <c r="E40" s="3">
        <v>31.27</v>
      </c>
      <c r="F40" s="3" t="s">
        <v>391</v>
      </c>
      <c r="G40" s="15">
        <f>$E$40*0.9834^(G1-2020)</f>
        <v>30.750918000000002</v>
      </c>
      <c r="H40" s="15">
        <f t="shared" ref="H40:AJ40" si="9">$E$40*0.9834^(H1-2020)</f>
        <v>30.2404527612</v>
      </c>
      <c r="I40" s="15">
        <f t="shared" si="9"/>
        <v>29.738461245364086</v>
      </c>
      <c r="J40" s="15">
        <f t="shared" si="9"/>
        <v>29.24480278869104</v>
      </c>
      <c r="K40" s="15">
        <f t="shared" si="9"/>
        <v>28.759339062398773</v>
      </c>
      <c r="L40" s="15">
        <f t="shared" si="9"/>
        <v>28.281934033962951</v>
      </c>
      <c r="M40" s="15">
        <f t="shared" si="9"/>
        <v>27.812453928999169</v>
      </c>
      <c r="N40" s="15">
        <f t="shared" si="9"/>
        <v>27.350767193777784</v>
      </c>
      <c r="O40" s="15">
        <f t="shared" si="9"/>
        <v>26.896744458361074</v>
      </c>
      <c r="P40" s="15">
        <f t="shared" si="9"/>
        <v>26.45025850035228</v>
      </c>
      <c r="Q40" s="15">
        <f t="shared" si="9"/>
        <v>26.011184209246437</v>
      </c>
      <c r="R40" s="15">
        <f t="shared" si="9"/>
        <v>25.579398551372943</v>
      </c>
      <c r="S40" s="15">
        <f t="shared" si="9"/>
        <v>25.154780535420155</v>
      </c>
      <c r="T40" s="15">
        <f t="shared" si="9"/>
        <v>24.737211178532178</v>
      </c>
      <c r="U40" s="15">
        <f t="shared" si="9"/>
        <v>24.326573472968548</v>
      </c>
      <c r="V40" s="15">
        <f t="shared" si="9"/>
        <v>23.922752353317271</v>
      </c>
      <c r="W40" s="15">
        <f t="shared" si="9"/>
        <v>23.525634664252205</v>
      </c>
      <c r="X40" s="15">
        <f t="shared" si="9"/>
        <v>23.135109128825619</v>
      </c>
      <c r="Y40" s="15">
        <f t="shared" si="9"/>
        <v>22.751066317287115</v>
      </c>
      <c r="Z40" s="15">
        <f t="shared" si="9"/>
        <v>22.373398616420147</v>
      </c>
      <c r="AA40" s="15">
        <f t="shared" si="9"/>
        <v>22.002000199387577</v>
      </c>
      <c r="AB40" s="15">
        <f t="shared" si="9"/>
        <v>21.636766996077743</v>
      </c>
      <c r="AC40" s="15">
        <f t="shared" si="9"/>
        <v>21.277596663942855</v>
      </c>
      <c r="AD40" s="15">
        <f t="shared" si="9"/>
        <v>20.924388559321404</v>
      </c>
      <c r="AE40" s="15">
        <f t="shared" si="9"/>
        <v>20.577043709236669</v>
      </c>
      <c r="AF40" s="15">
        <f t="shared" si="9"/>
        <v>20.235464783663339</v>
      </c>
      <c r="AG40" s="15">
        <f t="shared" si="9"/>
        <v>19.89955606825453</v>
      </c>
      <c r="AH40" s="15">
        <f t="shared" si="9"/>
        <v>19.569223437521508</v>
      </c>
      <c r="AI40" s="15">
        <f t="shared" si="9"/>
        <v>19.244374328458647</v>
      </c>
      <c r="AJ40" s="15">
        <f t="shared" si="9"/>
        <v>18.924917714606238</v>
      </c>
    </row>
    <row r="41" spans="1:36" x14ac:dyDescent="0.45">
      <c r="A41" s="34"/>
      <c r="B41" s="3" t="s">
        <v>73</v>
      </c>
      <c r="C41" s="3" t="s">
        <v>74</v>
      </c>
      <c r="D41" s="3" t="s">
        <v>392</v>
      </c>
      <c r="E41" s="3">
        <v>85.4</v>
      </c>
      <c r="F41" s="3" t="s">
        <v>391</v>
      </c>
      <c r="G41" s="15">
        <f>$E$41*0.9901^(G1-2020)</f>
        <v>84.554540000000003</v>
      </c>
      <c r="H41" s="15">
        <f t="shared" ref="H41:AJ41" si="10">$E$41*0.9901^(H1-2020)</f>
        <v>83.717450053999997</v>
      </c>
      <c r="I41" s="15">
        <f t="shared" si="10"/>
        <v>82.888647298465401</v>
      </c>
      <c r="J41" s="15">
        <f t="shared" si="10"/>
        <v>82.068049690210586</v>
      </c>
      <c r="K41" s="15">
        <f t="shared" si="10"/>
        <v>81.255575998277507</v>
      </c>
      <c r="L41" s="15">
        <f t="shared" si="10"/>
        <v>80.451145795894561</v>
      </c>
      <c r="M41" s="15">
        <f t="shared" si="10"/>
        <v>79.654679452515197</v>
      </c>
      <c r="N41" s="15">
        <f t="shared" si="10"/>
        <v>78.866098125935295</v>
      </c>
      <c r="O41" s="15">
        <f t="shared" si="10"/>
        <v>78.085323754488527</v>
      </c>
      <c r="P41" s="15">
        <f t="shared" si="10"/>
        <v>77.312279049319088</v>
      </c>
      <c r="Q41" s="15">
        <f t="shared" si="10"/>
        <v>76.546887486730839</v>
      </c>
      <c r="R41" s="15">
        <f t="shared" si="10"/>
        <v>75.789073300612202</v>
      </c>
      <c r="S41" s="15">
        <f t="shared" si="10"/>
        <v>75.038761474936138</v>
      </c>
      <c r="T41" s="15">
        <f t="shared" si="10"/>
        <v>74.295877736334276</v>
      </c>
      <c r="U41" s="15">
        <f t="shared" si="10"/>
        <v>73.560348546744564</v>
      </c>
      <c r="V41" s="15">
        <f t="shared" si="10"/>
        <v>72.83210109613178</v>
      </c>
      <c r="W41" s="15">
        <f t="shared" si="10"/>
        <v>72.111063295280076</v>
      </c>
      <c r="X41" s="15">
        <f t="shared" si="10"/>
        <v>71.397163768656796</v>
      </c>
      <c r="Y41" s="15">
        <f t="shared" si="10"/>
        <v>70.690331847347096</v>
      </c>
      <c r="Z41" s="15">
        <f t="shared" si="10"/>
        <v>69.990497562058366</v>
      </c>
      <c r="AA41" s="15">
        <f t="shared" si="10"/>
        <v>69.297591636193985</v>
      </c>
      <c r="AB41" s="15">
        <f t="shared" si="10"/>
        <v>68.611545478995666</v>
      </c>
      <c r="AC41" s="15">
        <f t="shared" si="10"/>
        <v>67.932291178753601</v>
      </c>
      <c r="AD41" s="15">
        <f t="shared" si="10"/>
        <v>67.259761496083939</v>
      </c>
      <c r="AE41" s="15">
        <f t="shared" si="10"/>
        <v>66.5938898572727</v>
      </c>
      <c r="AF41" s="15">
        <f t="shared" si="10"/>
        <v>65.934610347685691</v>
      </c>
      <c r="AG41" s="15">
        <f t="shared" si="10"/>
        <v>65.28185770524361</v>
      </c>
      <c r="AH41" s="15">
        <f t="shared" si="10"/>
        <v>64.635567313961701</v>
      </c>
      <c r="AI41" s="15">
        <f t="shared" si="10"/>
        <v>63.995675197553474</v>
      </c>
      <c r="AJ41" s="15">
        <f t="shared" si="10"/>
        <v>63.3621180130977</v>
      </c>
    </row>
    <row r="42" spans="1:36" x14ac:dyDescent="0.45">
      <c r="A42" s="34"/>
      <c r="B42" s="3" t="s">
        <v>75</v>
      </c>
      <c r="C42" s="3" t="s">
        <v>76</v>
      </c>
      <c r="D42" s="3" t="s">
        <v>392</v>
      </c>
      <c r="E42" s="3">
        <v>26.34</v>
      </c>
      <c r="F42" s="3" t="s">
        <v>391</v>
      </c>
      <c r="G42" s="15">
        <f>$E$42*0.9968^(G1-2020)</f>
        <v>26.255711999999999</v>
      </c>
      <c r="H42" s="15">
        <f t="shared" ref="H42:AJ42" si="11">$E$42*0.9968^(H1-2020)</f>
        <v>26.171693721600001</v>
      </c>
      <c r="I42" s="15">
        <f t="shared" si="11"/>
        <v>26.087944301690882</v>
      </c>
      <c r="J42" s="15">
        <f t="shared" si="11"/>
        <v>26.004462879925473</v>
      </c>
      <c r="K42" s="15">
        <f t="shared" si="11"/>
        <v>25.921248598709713</v>
      </c>
      <c r="L42" s="15">
        <f t="shared" si="11"/>
        <v>25.838300603193844</v>
      </c>
      <c r="M42" s="15">
        <f t="shared" si="11"/>
        <v>25.755618041263624</v>
      </c>
      <c r="N42" s="15">
        <f t="shared" si="11"/>
        <v>25.673200063531581</v>
      </c>
      <c r="O42" s="15">
        <f t="shared" si="11"/>
        <v>25.591045823328283</v>
      </c>
      <c r="P42" s="15">
        <f t="shared" si="11"/>
        <v>25.509154476693634</v>
      </c>
      <c r="Q42" s="15">
        <f t="shared" si="11"/>
        <v>25.427525182368214</v>
      </c>
      <c r="R42" s="15">
        <f t="shared" si="11"/>
        <v>25.346157101784637</v>
      </c>
      <c r="S42" s="15">
        <f t="shared" si="11"/>
        <v>25.265049399058928</v>
      </c>
      <c r="T42" s="15">
        <f t="shared" si="11"/>
        <v>25.184201240981938</v>
      </c>
      <c r="U42" s="15">
        <f t="shared" si="11"/>
        <v>25.103611797010799</v>
      </c>
      <c r="V42" s="15">
        <f t="shared" si="11"/>
        <v>25.023280239260366</v>
      </c>
      <c r="W42" s="15">
        <f t="shared" si="11"/>
        <v>24.943205742494737</v>
      </c>
      <c r="X42" s="15">
        <f t="shared" si="11"/>
        <v>24.863387484118753</v>
      </c>
      <c r="Y42" s="15">
        <f t="shared" si="11"/>
        <v>24.783824644169574</v>
      </c>
      <c r="Z42" s="15">
        <f t="shared" si="11"/>
        <v>24.704516405308233</v>
      </c>
      <c r="AA42" s="15">
        <f t="shared" si="11"/>
        <v>24.625461952811246</v>
      </c>
      <c r="AB42" s="15">
        <f t="shared" si="11"/>
        <v>24.546660474562252</v>
      </c>
      <c r="AC42" s="15">
        <f t="shared" si="11"/>
        <v>24.468111161043652</v>
      </c>
      <c r="AD42" s="15">
        <f t="shared" si="11"/>
        <v>24.389813205328316</v>
      </c>
      <c r="AE42" s="15">
        <f t="shared" si="11"/>
        <v>24.311765803071268</v>
      </c>
      <c r="AF42" s="15">
        <f t="shared" si="11"/>
        <v>24.23396815250144</v>
      </c>
      <c r="AG42" s="15">
        <f t="shared" si="11"/>
        <v>24.156419454413438</v>
      </c>
      <c r="AH42" s="15">
        <f t="shared" si="11"/>
        <v>24.079118912159313</v>
      </c>
      <c r="AI42" s="15">
        <f t="shared" si="11"/>
        <v>24.002065731640407</v>
      </c>
      <c r="AJ42" s="15">
        <f t="shared" si="11"/>
        <v>23.92525912129916</v>
      </c>
    </row>
    <row r="43" spans="1:36" x14ac:dyDescent="0.45">
      <c r="A43" s="34"/>
      <c r="B43" s="3" t="s">
        <v>77</v>
      </c>
      <c r="C43" s="3" t="s">
        <v>78</v>
      </c>
      <c r="D43" s="3" t="s">
        <v>392</v>
      </c>
      <c r="E43" s="3">
        <v>51.14</v>
      </c>
      <c r="F43" s="3" t="s">
        <v>391</v>
      </c>
      <c r="G43" s="15">
        <f>$E$43*0.9968^(G1-2020)</f>
        <v>50.976351999999999</v>
      </c>
      <c r="H43" s="15">
        <f t="shared" ref="H43:AJ43" si="12">$E$43*0.9968^(H1-2020)</f>
        <v>50.813227673600004</v>
      </c>
      <c r="I43" s="15">
        <f t="shared" si="12"/>
        <v>50.650625345044489</v>
      </c>
      <c r="J43" s="15">
        <f t="shared" si="12"/>
        <v>50.48854334394035</v>
      </c>
      <c r="K43" s="15">
        <f t="shared" si="12"/>
        <v>50.32698000523974</v>
      </c>
      <c r="L43" s="15">
        <f t="shared" si="12"/>
        <v>50.165933669222973</v>
      </c>
      <c r="M43" s="15">
        <f t="shared" si="12"/>
        <v>50.005402681481463</v>
      </c>
      <c r="N43" s="15">
        <f t="shared" si="12"/>
        <v>49.845385392900724</v>
      </c>
      <c r="O43" s="15">
        <f t="shared" si="12"/>
        <v>49.685880159643446</v>
      </c>
      <c r="P43" s="15">
        <f t="shared" si="12"/>
        <v>49.526885343132591</v>
      </c>
      <c r="Q43" s="15">
        <f t="shared" si="12"/>
        <v>49.368399310034569</v>
      </c>
      <c r="R43" s="15">
        <f t="shared" si="12"/>
        <v>49.210420432242458</v>
      </c>
      <c r="S43" s="15">
        <f t="shared" si="12"/>
        <v>49.052947086859284</v>
      </c>
      <c r="T43" s="15">
        <f t="shared" si="12"/>
        <v>48.895977656181337</v>
      </c>
      <c r="U43" s="15">
        <f t="shared" si="12"/>
        <v>48.73951052768156</v>
      </c>
      <c r="V43" s="15">
        <f t="shared" si="12"/>
        <v>48.583544093992984</v>
      </c>
      <c r="W43" s="15">
        <f t="shared" si="12"/>
        <v>48.42807675289221</v>
      </c>
      <c r="X43" s="15">
        <f t="shared" si="12"/>
        <v>48.273106907282958</v>
      </c>
      <c r="Y43" s="15">
        <f t="shared" si="12"/>
        <v>48.11863296517965</v>
      </c>
      <c r="Z43" s="15">
        <f t="shared" si="12"/>
        <v>47.964653339691083</v>
      </c>
      <c r="AA43" s="15">
        <f t="shared" si="12"/>
        <v>47.81116644900407</v>
      </c>
      <c r="AB43" s="15">
        <f t="shared" si="12"/>
        <v>47.658170716367259</v>
      </c>
      <c r="AC43" s="15">
        <f t="shared" si="12"/>
        <v>47.505664570074885</v>
      </c>
      <c r="AD43" s="15">
        <f t="shared" si="12"/>
        <v>47.35364644345065</v>
      </c>
      <c r="AE43" s="15">
        <f t="shared" si="12"/>
        <v>47.202114774831614</v>
      </c>
      <c r="AF43" s="15">
        <f t="shared" si="12"/>
        <v>47.051068007552153</v>
      </c>
      <c r="AG43" s="15">
        <f t="shared" si="12"/>
        <v>46.900504589927991</v>
      </c>
      <c r="AH43" s="15">
        <f t="shared" si="12"/>
        <v>46.75042297524022</v>
      </c>
      <c r="AI43" s="15">
        <f t="shared" si="12"/>
        <v>46.600821621719454</v>
      </c>
      <c r="AJ43" s="15">
        <f t="shared" si="12"/>
        <v>46.451698992529955</v>
      </c>
    </row>
    <row r="44" spans="1:36" x14ac:dyDescent="0.45">
      <c r="A44" s="34"/>
      <c r="B44" s="3" t="s">
        <v>79</v>
      </c>
      <c r="C44" s="3" t="s">
        <v>80</v>
      </c>
      <c r="D44" s="3" t="s">
        <v>392</v>
      </c>
      <c r="E44" s="3">
        <v>110</v>
      </c>
      <c r="F44" s="3" t="s">
        <v>391</v>
      </c>
      <c r="G44" s="15">
        <f>$E$44*0.9959^(G1-2020)</f>
        <v>109.54900000000001</v>
      </c>
      <c r="H44" s="15">
        <f t="shared" ref="H44:AJ44" si="13">$E$44*0.9959^(H1-2020)</f>
        <v>109.0998491</v>
      </c>
      <c r="I44" s="15">
        <f t="shared" si="13"/>
        <v>108.65253971869001</v>
      </c>
      <c r="J44" s="15">
        <f t="shared" si="13"/>
        <v>108.20706430584337</v>
      </c>
      <c r="K44" s="15">
        <f t="shared" si="13"/>
        <v>107.76341534218942</v>
      </c>
      <c r="L44" s="15">
        <f t="shared" si="13"/>
        <v>107.32158533928644</v>
      </c>
      <c r="M44" s="15">
        <f t="shared" si="13"/>
        <v>106.88156683939536</v>
      </c>
      <c r="N44" s="15">
        <f t="shared" si="13"/>
        <v>106.44335241535384</v>
      </c>
      <c r="O44" s="15">
        <f t="shared" si="13"/>
        <v>106.0069346704509</v>
      </c>
      <c r="P44" s="15">
        <f t="shared" si="13"/>
        <v>105.57230623830205</v>
      </c>
      <c r="Q44" s="15">
        <f t="shared" si="13"/>
        <v>105.13945978272501</v>
      </c>
      <c r="R44" s="15">
        <f t="shared" si="13"/>
        <v>104.70838799761583</v>
      </c>
      <c r="S44" s="15">
        <f t="shared" si="13"/>
        <v>104.27908360682561</v>
      </c>
      <c r="T44" s="15">
        <f t="shared" si="13"/>
        <v>103.85153936403762</v>
      </c>
      <c r="U44" s="15">
        <f t="shared" si="13"/>
        <v>103.42574805264508</v>
      </c>
      <c r="V44" s="15">
        <f t="shared" si="13"/>
        <v>103.00170248562922</v>
      </c>
      <c r="W44" s="15">
        <f t="shared" si="13"/>
        <v>102.57939550543816</v>
      </c>
      <c r="X44" s="15">
        <f t="shared" si="13"/>
        <v>102.15881998386585</v>
      </c>
      <c r="Y44" s="15">
        <f t="shared" si="13"/>
        <v>101.73996882193201</v>
      </c>
      <c r="Z44" s="15">
        <f t="shared" si="13"/>
        <v>101.32283494976207</v>
      </c>
      <c r="AA44" s="15">
        <f t="shared" si="13"/>
        <v>100.90741132646805</v>
      </c>
      <c r="AB44" s="15">
        <f t="shared" si="13"/>
        <v>100.49369094002954</v>
      </c>
      <c r="AC44" s="15">
        <f t="shared" si="13"/>
        <v>100.08166680717542</v>
      </c>
      <c r="AD44" s="15">
        <f t="shared" si="13"/>
        <v>99.671331973265993</v>
      </c>
      <c r="AE44" s="15">
        <f t="shared" si="13"/>
        <v>99.262679512175609</v>
      </c>
      <c r="AF44" s="15">
        <f t="shared" si="13"/>
        <v>98.855702526175676</v>
      </c>
      <c r="AG44" s="15">
        <f t="shared" si="13"/>
        <v>98.450394145818365</v>
      </c>
      <c r="AH44" s="15">
        <f t="shared" si="13"/>
        <v>98.046747529820507</v>
      </c>
      <c r="AI44" s="15">
        <f t="shared" si="13"/>
        <v>97.644755864948252</v>
      </c>
      <c r="AJ44" s="15">
        <f t="shared" si="13"/>
        <v>97.244412365901951</v>
      </c>
    </row>
    <row r="45" spans="1:36" x14ac:dyDescent="0.45">
      <c r="A45" s="34"/>
      <c r="B45" s="3" t="s">
        <v>81</v>
      </c>
      <c r="C45" s="3" t="s">
        <v>82</v>
      </c>
      <c r="D45" s="3" t="s">
        <v>392</v>
      </c>
      <c r="E45" s="3">
        <v>134.28</v>
      </c>
      <c r="F45" s="3" t="s">
        <v>391</v>
      </c>
      <c r="G45" s="15">
        <f>$E$45*0.9959^(G1-2020)</f>
        <v>133.72945200000001</v>
      </c>
      <c r="H45" s="15">
        <f t="shared" ref="H45:AJ45" si="14">$E$45*0.9959^(H1-2020)</f>
        <v>133.1811612468</v>
      </c>
      <c r="I45" s="15">
        <f t="shared" si="14"/>
        <v>132.63511848568814</v>
      </c>
      <c r="J45" s="15">
        <f t="shared" si="14"/>
        <v>132.09131449989681</v>
      </c>
      <c r="K45" s="15">
        <f t="shared" si="14"/>
        <v>131.54974011044723</v>
      </c>
      <c r="L45" s="15">
        <f t="shared" si="14"/>
        <v>131.0103861759944</v>
      </c>
      <c r="M45" s="15">
        <f t="shared" si="14"/>
        <v>130.47324359267282</v>
      </c>
      <c r="N45" s="15">
        <f t="shared" si="14"/>
        <v>129.93830329394285</v>
      </c>
      <c r="O45" s="15">
        <f t="shared" si="14"/>
        <v>129.40555625043768</v>
      </c>
      <c r="P45" s="15">
        <f t="shared" si="14"/>
        <v>128.8749934698109</v>
      </c>
      <c r="Q45" s="15">
        <f t="shared" si="14"/>
        <v>128.34660599658469</v>
      </c>
      <c r="R45" s="15">
        <f t="shared" si="14"/>
        <v>127.82038491199867</v>
      </c>
      <c r="S45" s="15">
        <f t="shared" si="14"/>
        <v>127.29632133385948</v>
      </c>
      <c r="T45" s="15">
        <f t="shared" si="14"/>
        <v>126.77440641639066</v>
      </c>
      <c r="U45" s="15">
        <f t="shared" si="14"/>
        <v>126.25463135008346</v>
      </c>
      <c r="V45" s="15">
        <f t="shared" si="14"/>
        <v>125.73698736154812</v>
      </c>
      <c r="W45" s="15">
        <f t="shared" si="14"/>
        <v>125.22146571336577</v>
      </c>
      <c r="X45" s="15">
        <f t="shared" si="14"/>
        <v>124.70805770394097</v>
      </c>
      <c r="Y45" s="15">
        <f t="shared" si="14"/>
        <v>124.19675466735481</v>
      </c>
      <c r="Z45" s="15">
        <f t="shared" si="14"/>
        <v>123.68754797321864</v>
      </c>
      <c r="AA45" s="15">
        <f t="shared" si="14"/>
        <v>123.18042902652846</v>
      </c>
      <c r="AB45" s="15">
        <f t="shared" si="14"/>
        <v>122.67538926751969</v>
      </c>
      <c r="AC45" s="15">
        <f t="shared" si="14"/>
        <v>122.17242017152286</v>
      </c>
      <c r="AD45" s="15">
        <f t="shared" si="14"/>
        <v>121.67151324881962</v>
      </c>
      <c r="AE45" s="15">
        <f t="shared" si="14"/>
        <v>121.17266004449947</v>
      </c>
      <c r="AF45" s="15">
        <f t="shared" si="14"/>
        <v>120.675852138317</v>
      </c>
      <c r="AG45" s="15">
        <f t="shared" si="14"/>
        <v>120.18108114454992</v>
      </c>
      <c r="AH45" s="15">
        <f t="shared" si="14"/>
        <v>119.68833871185726</v>
      </c>
      <c r="AI45" s="15">
        <f t="shared" si="14"/>
        <v>119.19761652313863</v>
      </c>
      <c r="AJ45" s="15">
        <f t="shared" si="14"/>
        <v>118.70890629539377</v>
      </c>
    </row>
    <row r="46" spans="1:36" x14ac:dyDescent="0.45">
      <c r="A46" s="34"/>
      <c r="B46" s="3" t="s">
        <v>83</v>
      </c>
      <c r="C46" s="3" t="s">
        <v>84</v>
      </c>
      <c r="D46" s="3" t="s">
        <v>392</v>
      </c>
      <c r="E46" s="3">
        <v>49.5</v>
      </c>
      <c r="F46" s="11" t="s">
        <v>395</v>
      </c>
      <c r="G46" s="3">
        <v>49.5</v>
      </c>
      <c r="H46" s="3">
        <v>49.5</v>
      </c>
      <c r="I46" s="3">
        <v>49.5</v>
      </c>
      <c r="J46" s="3">
        <v>49.5</v>
      </c>
      <c r="K46" s="3">
        <v>49.5</v>
      </c>
      <c r="L46" s="3">
        <v>49.5</v>
      </c>
      <c r="M46" s="3">
        <v>49.5</v>
      </c>
      <c r="N46" s="3">
        <v>49.5</v>
      </c>
      <c r="O46" s="3">
        <v>49.5</v>
      </c>
      <c r="P46" s="3">
        <v>49.5</v>
      </c>
      <c r="Q46" s="3">
        <v>49.5</v>
      </c>
      <c r="R46" s="3">
        <v>49.5</v>
      </c>
      <c r="S46" s="3">
        <v>49.5</v>
      </c>
      <c r="T46" s="3">
        <v>49.5</v>
      </c>
      <c r="U46" s="3">
        <v>49.5</v>
      </c>
      <c r="V46" s="3">
        <v>49.5</v>
      </c>
      <c r="W46" s="3">
        <v>49.5</v>
      </c>
      <c r="X46" s="3">
        <v>49.5</v>
      </c>
      <c r="Y46" s="3">
        <v>49.5</v>
      </c>
      <c r="Z46" s="3">
        <v>49.5</v>
      </c>
      <c r="AA46" s="3">
        <v>49.5</v>
      </c>
      <c r="AB46" s="3">
        <v>49.5</v>
      </c>
      <c r="AC46" s="3">
        <v>49.5</v>
      </c>
      <c r="AD46" s="3">
        <v>49.5</v>
      </c>
      <c r="AE46" s="3">
        <v>49.5</v>
      </c>
      <c r="AF46" s="3">
        <v>49.5</v>
      </c>
      <c r="AG46" s="3">
        <v>49.5</v>
      </c>
      <c r="AH46" s="3">
        <v>49.5</v>
      </c>
      <c r="AI46" s="3">
        <v>49.5</v>
      </c>
      <c r="AJ46" s="3">
        <v>49.5</v>
      </c>
    </row>
    <row r="47" spans="1:36" ht="17.25" customHeight="1" x14ac:dyDescent="0.45">
      <c r="A47" s="35" t="s">
        <v>210</v>
      </c>
      <c r="B47" s="3" t="s">
        <v>55</v>
      </c>
      <c r="C47" s="3" t="s">
        <v>56</v>
      </c>
      <c r="D47" s="3" t="s">
        <v>406</v>
      </c>
      <c r="E47" s="3">
        <v>3.66</v>
      </c>
      <c r="F47" s="3" t="s">
        <v>423</v>
      </c>
      <c r="G47" s="3">
        <v>3.66</v>
      </c>
      <c r="H47" s="3">
        <v>3.66</v>
      </c>
      <c r="I47" s="3">
        <v>3.66</v>
      </c>
      <c r="J47" s="3">
        <v>3.66</v>
      </c>
      <c r="K47" s="3">
        <v>3.66</v>
      </c>
      <c r="L47" s="3">
        <v>3.66</v>
      </c>
      <c r="M47" s="3">
        <v>3.66</v>
      </c>
      <c r="N47" s="3">
        <v>3.66</v>
      </c>
      <c r="O47" s="3">
        <v>3.66</v>
      </c>
      <c r="P47" s="3">
        <v>3.66</v>
      </c>
      <c r="Q47" s="3">
        <v>3.66</v>
      </c>
      <c r="R47" s="3">
        <v>3.66</v>
      </c>
      <c r="S47" s="3">
        <v>3.66</v>
      </c>
      <c r="T47" s="3">
        <v>3.66</v>
      </c>
      <c r="U47" s="3">
        <v>3.66</v>
      </c>
      <c r="V47" s="3">
        <v>3.66</v>
      </c>
      <c r="W47" s="3">
        <v>3.66</v>
      </c>
      <c r="X47" s="3">
        <v>3.66</v>
      </c>
      <c r="Y47" s="3">
        <v>3.66</v>
      </c>
      <c r="Z47" s="3">
        <v>3.66</v>
      </c>
      <c r="AA47" s="3">
        <v>3.66</v>
      </c>
      <c r="AB47" s="3">
        <v>3.66</v>
      </c>
      <c r="AC47" s="3">
        <v>3.66</v>
      </c>
      <c r="AD47" s="3">
        <v>3.66</v>
      </c>
      <c r="AE47" s="3">
        <v>3.66</v>
      </c>
      <c r="AF47" s="3">
        <v>3.66</v>
      </c>
      <c r="AG47" s="3">
        <v>3.66</v>
      </c>
      <c r="AH47" s="3">
        <v>3.66</v>
      </c>
      <c r="AI47" s="3">
        <v>3.66</v>
      </c>
      <c r="AJ47" s="3">
        <v>3.66</v>
      </c>
    </row>
    <row r="48" spans="1:36" x14ac:dyDescent="0.45">
      <c r="A48" s="36"/>
      <c r="B48" s="3" t="s">
        <v>57</v>
      </c>
      <c r="C48" s="3" t="s">
        <v>58</v>
      </c>
      <c r="D48" s="3" t="s">
        <v>398</v>
      </c>
      <c r="E48" s="3">
        <v>0.27</v>
      </c>
      <c r="F48" s="3" t="s">
        <v>423</v>
      </c>
      <c r="G48" s="3">
        <v>0.27</v>
      </c>
      <c r="H48" s="3">
        <v>0.27</v>
      </c>
      <c r="I48" s="3">
        <v>0.27</v>
      </c>
      <c r="J48" s="3">
        <v>0.27</v>
      </c>
      <c r="K48" s="3">
        <v>0.27</v>
      </c>
      <c r="L48" s="3">
        <v>0.27</v>
      </c>
      <c r="M48" s="3">
        <v>0.27</v>
      </c>
      <c r="N48" s="3">
        <v>0.27</v>
      </c>
      <c r="O48" s="3">
        <v>0.27</v>
      </c>
      <c r="P48" s="3">
        <v>0.27</v>
      </c>
      <c r="Q48" s="3">
        <v>0.27</v>
      </c>
      <c r="R48" s="3">
        <v>0.27</v>
      </c>
      <c r="S48" s="3">
        <v>0.27</v>
      </c>
      <c r="T48" s="3">
        <v>0.27</v>
      </c>
      <c r="U48" s="3">
        <v>0.27</v>
      </c>
      <c r="V48" s="3">
        <v>0.27</v>
      </c>
      <c r="W48" s="3">
        <v>0.27</v>
      </c>
      <c r="X48" s="3">
        <v>0.27</v>
      </c>
      <c r="Y48" s="3">
        <v>0.27</v>
      </c>
      <c r="Z48" s="3">
        <v>0.27</v>
      </c>
      <c r="AA48" s="3">
        <v>0.27</v>
      </c>
      <c r="AB48" s="3">
        <v>0.27</v>
      </c>
      <c r="AC48" s="3">
        <v>0.27</v>
      </c>
      <c r="AD48" s="3">
        <v>0.27</v>
      </c>
      <c r="AE48" s="3">
        <v>0.27</v>
      </c>
      <c r="AF48" s="3">
        <v>0.27</v>
      </c>
      <c r="AG48" s="3">
        <v>0.27</v>
      </c>
      <c r="AH48" s="3">
        <v>0.27</v>
      </c>
      <c r="AI48" s="3">
        <v>0.27</v>
      </c>
      <c r="AJ48" s="3">
        <v>0.27</v>
      </c>
    </row>
    <row r="49" spans="1:36" x14ac:dyDescent="0.45">
      <c r="A49" s="36"/>
      <c r="B49" s="3" t="s">
        <v>59</v>
      </c>
      <c r="C49" s="3" t="s">
        <v>60</v>
      </c>
      <c r="D49" s="3" t="s">
        <v>392</v>
      </c>
      <c r="E49" s="3">
        <v>89.3</v>
      </c>
      <c r="F49" s="3" t="s">
        <v>440</v>
      </c>
      <c r="G49" s="3">
        <f>$E$49</f>
        <v>89.3</v>
      </c>
      <c r="H49" s="3">
        <f t="shared" ref="H49:AJ49" si="15">$E$49</f>
        <v>89.3</v>
      </c>
      <c r="I49" s="3">
        <f t="shared" si="15"/>
        <v>89.3</v>
      </c>
      <c r="J49" s="3">
        <f t="shared" si="15"/>
        <v>89.3</v>
      </c>
      <c r="K49" s="3">
        <f t="shared" si="15"/>
        <v>89.3</v>
      </c>
      <c r="L49" s="3">
        <f t="shared" si="15"/>
        <v>89.3</v>
      </c>
      <c r="M49" s="3">
        <f t="shared" si="15"/>
        <v>89.3</v>
      </c>
      <c r="N49" s="3">
        <f t="shared" si="15"/>
        <v>89.3</v>
      </c>
      <c r="O49" s="3">
        <f t="shared" si="15"/>
        <v>89.3</v>
      </c>
      <c r="P49" s="3">
        <f t="shared" si="15"/>
        <v>89.3</v>
      </c>
      <c r="Q49" s="3">
        <f t="shared" si="15"/>
        <v>89.3</v>
      </c>
      <c r="R49" s="3">
        <f t="shared" si="15"/>
        <v>89.3</v>
      </c>
      <c r="S49" s="3">
        <f t="shared" si="15"/>
        <v>89.3</v>
      </c>
      <c r="T49" s="3">
        <f t="shared" si="15"/>
        <v>89.3</v>
      </c>
      <c r="U49" s="3">
        <f t="shared" si="15"/>
        <v>89.3</v>
      </c>
      <c r="V49" s="3">
        <f t="shared" si="15"/>
        <v>89.3</v>
      </c>
      <c r="W49" s="3">
        <f t="shared" si="15"/>
        <v>89.3</v>
      </c>
      <c r="X49" s="3">
        <f t="shared" si="15"/>
        <v>89.3</v>
      </c>
      <c r="Y49" s="3">
        <f t="shared" si="15"/>
        <v>89.3</v>
      </c>
      <c r="Z49" s="3">
        <f t="shared" si="15"/>
        <v>89.3</v>
      </c>
      <c r="AA49" s="3">
        <f t="shared" si="15"/>
        <v>89.3</v>
      </c>
      <c r="AB49" s="3">
        <f t="shared" si="15"/>
        <v>89.3</v>
      </c>
      <c r="AC49" s="3">
        <f t="shared" si="15"/>
        <v>89.3</v>
      </c>
      <c r="AD49" s="3">
        <f t="shared" si="15"/>
        <v>89.3</v>
      </c>
      <c r="AE49" s="3">
        <f t="shared" si="15"/>
        <v>89.3</v>
      </c>
      <c r="AF49" s="3">
        <f t="shared" si="15"/>
        <v>89.3</v>
      </c>
      <c r="AG49" s="3">
        <f t="shared" si="15"/>
        <v>89.3</v>
      </c>
      <c r="AH49" s="3">
        <f t="shared" si="15"/>
        <v>89.3</v>
      </c>
      <c r="AI49" s="3">
        <f t="shared" si="15"/>
        <v>89.3</v>
      </c>
      <c r="AJ49" s="3">
        <f t="shared" si="15"/>
        <v>89.3</v>
      </c>
    </row>
    <row r="50" spans="1:36" x14ac:dyDescent="0.45">
      <c r="A50" s="36"/>
      <c r="B50" s="3" t="s">
        <v>61</v>
      </c>
      <c r="C50" s="3" t="s">
        <v>62</v>
      </c>
      <c r="D50" s="3" t="s">
        <v>392</v>
      </c>
      <c r="E50" s="3">
        <v>22.6</v>
      </c>
      <c r="F50" s="3" t="s">
        <v>441</v>
      </c>
      <c r="G50" s="3">
        <f>$E$50</f>
        <v>22.6</v>
      </c>
      <c r="H50" s="3">
        <f t="shared" ref="H50:AJ50" si="16">$E$50</f>
        <v>22.6</v>
      </c>
      <c r="I50" s="3">
        <f t="shared" si="16"/>
        <v>22.6</v>
      </c>
      <c r="J50" s="3">
        <f t="shared" si="16"/>
        <v>22.6</v>
      </c>
      <c r="K50" s="3">
        <f t="shared" si="16"/>
        <v>22.6</v>
      </c>
      <c r="L50" s="3">
        <f t="shared" si="16"/>
        <v>22.6</v>
      </c>
      <c r="M50" s="3">
        <f t="shared" si="16"/>
        <v>22.6</v>
      </c>
      <c r="N50" s="3">
        <f t="shared" si="16"/>
        <v>22.6</v>
      </c>
      <c r="O50" s="3">
        <f t="shared" si="16"/>
        <v>22.6</v>
      </c>
      <c r="P50" s="3">
        <f t="shared" si="16"/>
        <v>22.6</v>
      </c>
      <c r="Q50" s="3">
        <f t="shared" si="16"/>
        <v>22.6</v>
      </c>
      <c r="R50" s="3">
        <f t="shared" si="16"/>
        <v>22.6</v>
      </c>
      <c r="S50" s="3">
        <f t="shared" si="16"/>
        <v>22.6</v>
      </c>
      <c r="T50" s="3">
        <f t="shared" si="16"/>
        <v>22.6</v>
      </c>
      <c r="U50" s="3">
        <f t="shared" si="16"/>
        <v>22.6</v>
      </c>
      <c r="V50" s="3">
        <f t="shared" si="16"/>
        <v>22.6</v>
      </c>
      <c r="W50" s="3">
        <f t="shared" si="16"/>
        <v>22.6</v>
      </c>
      <c r="X50" s="3">
        <f t="shared" si="16"/>
        <v>22.6</v>
      </c>
      <c r="Y50" s="3">
        <f t="shared" si="16"/>
        <v>22.6</v>
      </c>
      <c r="Z50" s="3">
        <f t="shared" si="16"/>
        <v>22.6</v>
      </c>
      <c r="AA50" s="3">
        <f t="shared" si="16"/>
        <v>22.6</v>
      </c>
      <c r="AB50" s="3">
        <f t="shared" si="16"/>
        <v>22.6</v>
      </c>
      <c r="AC50" s="3">
        <f t="shared" si="16"/>
        <v>22.6</v>
      </c>
      <c r="AD50" s="3">
        <f t="shared" si="16"/>
        <v>22.6</v>
      </c>
      <c r="AE50" s="3">
        <f t="shared" si="16"/>
        <v>22.6</v>
      </c>
      <c r="AF50" s="3">
        <f t="shared" si="16"/>
        <v>22.6</v>
      </c>
      <c r="AG50" s="3">
        <f t="shared" si="16"/>
        <v>22.6</v>
      </c>
      <c r="AH50" s="3">
        <f t="shared" si="16"/>
        <v>22.6</v>
      </c>
      <c r="AI50" s="3">
        <f t="shared" si="16"/>
        <v>22.6</v>
      </c>
      <c r="AJ50" s="3">
        <f t="shared" si="16"/>
        <v>22.6</v>
      </c>
    </row>
    <row r="51" spans="1:36" x14ac:dyDescent="0.45">
      <c r="A51" s="36"/>
      <c r="B51" s="3" t="s">
        <v>85</v>
      </c>
      <c r="C51" s="3" t="s">
        <v>86</v>
      </c>
      <c r="D51" s="3" t="s">
        <v>392</v>
      </c>
      <c r="E51" s="3">
        <v>26</v>
      </c>
      <c r="F51" s="4" t="s">
        <v>409</v>
      </c>
      <c r="G51" s="15">
        <f>$E$51*0.9933^(G1-2020)</f>
        <v>25.825799999999997</v>
      </c>
      <c r="H51" s="15">
        <f t="shared" ref="H51:AI51" si="17">$E$51*0.9933^(H1-2020)</f>
        <v>25.652767139999998</v>
      </c>
      <c r="I51" s="15">
        <f t="shared" si="17"/>
        <v>25.480893600161995</v>
      </c>
      <c r="J51" s="15">
        <f t="shared" si="17"/>
        <v>25.310171613040911</v>
      </c>
      <c r="K51" s="15">
        <f t="shared" si="17"/>
        <v>25.140593463233536</v>
      </c>
      <c r="L51" s="15">
        <f t="shared" si="17"/>
        <v>24.972151487029866</v>
      </c>
      <c r="M51" s="15">
        <f t="shared" si="17"/>
        <v>24.804838072066769</v>
      </c>
      <c r="N51" s="15">
        <f t="shared" si="17"/>
        <v>24.638645656983918</v>
      </c>
      <c r="O51" s="15">
        <f t="shared" si="17"/>
        <v>24.473566731082126</v>
      </c>
      <c r="P51" s="15">
        <f t="shared" si="17"/>
        <v>24.309593833983875</v>
      </c>
      <c r="Q51" s="15">
        <f t="shared" si="17"/>
        <v>24.14671955529618</v>
      </c>
      <c r="R51" s="15">
        <f t="shared" si="17"/>
        <v>23.984936534275697</v>
      </c>
      <c r="S51" s="15">
        <f t="shared" si="17"/>
        <v>23.824237459496047</v>
      </c>
      <c r="T51" s="15">
        <f t="shared" si="17"/>
        <v>23.664615068517421</v>
      </c>
      <c r="U51" s="15">
        <f t="shared" si="17"/>
        <v>23.506062147558353</v>
      </c>
      <c r="V51" s="15">
        <f t="shared" si="17"/>
        <v>23.348571531169711</v>
      </c>
      <c r="W51" s="15">
        <f t="shared" si="17"/>
        <v>23.192136101910872</v>
      </c>
      <c r="X51" s="15">
        <f t="shared" si="17"/>
        <v>23.036748790028071</v>
      </c>
      <c r="Y51" s="15">
        <f t="shared" si="17"/>
        <v>22.882402573134879</v>
      </c>
      <c r="Z51" s="15">
        <f t="shared" si="17"/>
        <v>22.729090475894875</v>
      </c>
      <c r="AA51" s="15">
        <f t="shared" si="17"/>
        <v>22.57680556970638</v>
      </c>
      <c r="AB51" s="15">
        <f t="shared" si="17"/>
        <v>22.425540972389342</v>
      </c>
      <c r="AC51" s="15">
        <f t="shared" si="17"/>
        <v>22.275289847874333</v>
      </c>
      <c r="AD51" s="15">
        <f t="shared" si="17"/>
        <v>22.126045405893578</v>
      </c>
      <c r="AE51" s="15">
        <f t="shared" si="17"/>
        <v>21.977800901674087</v>
      </c>
      <c r="AF51" s="15">
        <f t="shared" si="17"/>
        <v>21.83054963563287</v>
      </c>
      <c r="AG51" s="15">
        <f t="shared" si="17"/>
        <v>21.684284953074126</v>
      </c>
      <c r="AH51" s="15">
        <f t="shared" si="17"/>
        <v>21.539000243888534</v>
      </c>
      <c r="AI51" s="15">
        <f t="shared" si="17"/>
        <v>21.394688942254476</v>
      </c>
      <c r="AJ51" s="15">
        <f>$E$51*0.9933^(AJ1-2020)</f>
        <v>21.25134452634137</v>
      </c>
    </row>
    <row r="52" spans="1:36" x14ac:dyDescent="0.45">
      <c r="A52" s="36"/>
      <c r="B52" s="3" t="s">
        <v>87</v>
      </c>
      <c r="C52" s="3" t="s">
        <v>88</v>
      </c>
      <c r="D52" s="3" t="s">
        <v>392</v>
      </c>
      <c r="E52" s="3">
        <v>43</v>
      </c>
      <c r="F52" s="4" t="s">
        <v>409</v>
      </c>
      <c r="G52" s="15">
        <f>$E$52*0.9961^(G1-2020)</f>
        <v>42.832299999999996</v>
      </c>
      <c r="H52" s="15">
        <f t="shared" ref="H52:AJ52" si="18">$E$52*0.9961^(H1-2020)</f>
        <v>42.66525403</v>
      </c>
      <c r="I52" s="15">
        <f t="shared" si="18"/>
        <v>42.498859539283004</v>
      </c>
      <c r="J52" s="15">
        <f t="shared" si="18"/>
        <v>42.333113987079798</v>
      </c>
      <c r="K52" s="15">
        <f t="shared" si="18"/>
        <v>42.168014842530184</v>
      </c>
      <c r="L52" s="15">
        <f t="shared" si="18"/>
        <v>42.003559584644321</v>
      </c>
      <c r="M52" s="15">
        <f t="shared" si="18"/>
        <v>41.839745702264203</v>
      </c>
      <c r="N52" s="15">
        <f t="shared" si="18"/>
        <v>41.676570694025372</v>
      </c>
      <c r="O52" s="15">
        <f t="shared" si="18"/>
        <v>41.51403206831867</v>
      </c>
      <c r="P52" s="15">
        <f t="shared" si="18"/>
        <v>41.352127343252235</v>
      </c>
      <c r="Q52" s="15">
        <f t="shared" si="18"/>
        <v>41.190854046613552</v>
      </c>
      <c r="R52" s="15">
        <f t="shared" si="18"/>
        <v>41.030209715831752</v>
      </c>
      <c r="S52" s="15">
        <f t="shared" si="18"/>
        <v>40.870191897940011</v>
      </c>
      <c r="T52" s="15">
        <f t="shared" si="18"/>
        <v>40.71079814953805</v>
      </c>
      <c r="U52" s="15">
        <f t="shared" si="18"/>
        <v>40.552026036754846</v>
      </c>
      <c r="V52" s="15">
        <f t="shared" si="18"/>
        <v>40.393873135211507</v>
      </c>
      <c r="W52" s="15">
        <f t="shared" si="18"/>
        <v>40.236337029984178</v>
      </c>
      <c r="X52" s="15">
        <f t="shared" si="18"/>
        <v>40.079415315567239</v>
      </c>
      <c r="Y52" s="15">
        <f t="shared" si="18"/>
        <v>39.923105595836532</v>
      </c>
      <c r="Z52" s="15">
        <f t="shared" si="18"/>
        <v>39.767405484012762</v>
      </c>
      <c r="AA52" s="15">
        <f t="shared" si="18"/>
        <v>39.612312602625117</v>
      </c>
      <c r="AB52" s="15">
        <f t="shared" si="18"/>
        <v>39.457824583474874</v>
      </c>
      <c r="AC52" s="15">
        <f t="shared" si="18"/>
        <v>39.30393906759933</v>
      </c>
      <c r="AD52" s="15">
        <f t="shared" si="18"/>
        <v>39.15065370523569</v>
      </c>
      <c r="AE52" s="15">
        <f t="shared" si="18"/>
        <v>38.997966155785271</v>
      </c>
      <c r="AF52" s="15">
        <f t="shared" si="18"/>
        <v>38.845874087777709</v>
      </c>
      <c r="AG52" s="15">
        <f t="shared" si="18"/>
        <v>38.694375178835372</v>
      </c>
      <c r="AH52" s="15">
        <f t="shared" si="18"/>
        <v>38.543467115637917</v>
      </c>
      <c r="AI52" s="15">
        <f t="shared" si="18"/>
        <v>38.39314759388693</v>
      </c>
      <c r="AJ52" s="15">
        <f t="shared" si="18"/>
        <v>38.243414318270773</v>
      </c>
    </row>
    <row r="53" spans="1:36" x14ac:dyDescent="0.45">
      <c r="A53" s="36"/>
      <c r="B53" s="3" t="s">
        <v>89</v>
      </c>
      <c r="C53" s="3" t="s">
        <v>90</v>
      </c>
      <c r="D53" s="3" t="s">
        <v>392</v>
      </c>
      <c r="E53" s="3">
        <v>59</v>
      </c>
      <c r="F53" s="4" t="s">
        <v>409</v>
      </c>
      <c r="G53" s="15">
        <f>$E$53*0.9484^(G1-2020)</f>
        <v>55.955600000000004</v>
      </c>
      <c r="H53" s="15">
        <f t="shared" ref="H53:AJ53" si="19">$E$53*0.9484^(H1-2020)</f>
        <v>53.068291039999998</v>
      </c>
      <c r="I53" s="15">
        <f t="shared" si="19"/>
        <v>50.329967222336002</v>
      </c>
      <c r="J53" s="15">
        <f t="shared" si="19"/>
        <v>47.732940913663462</v>
      </c>
      <c r="K53" s="15">
        <f t="shared" si="19"/>
        <v>45.269921162518429</v>
      </c>
      <c r="L53" s="15">
        <f t="shared" si="19"/>
        <v>42.933993230532479</v>
      </c>
      <c r="M53" s="15">
        <f t="shared" si="19"/>
        <v>40.718599179837007</v>
      </c>
      <c r="N53" s="15">
        <f t="shared" si="19"/>
        <v>38.617519462157411</v>
      </c>
      <c r="O53" s="15">
        <f t="shared" si="19"/>
        <v>36.624855457910094</v>
      </c>
      <c r="P53" s="15">
        <f t="shared" si="19"/>
        <v>34.735012916281931</v>
      </c>
      <c r="Q53" s="15">
        <f t="shared" si="19"/>
        <v>32.942686249801781</v>
      </c>
      <c r="R53" s="15">
        <f t="shared" si="19"/>
        <v>31.24284363931201</v>
      </c>
      <c r="S53" s="15">
        <f t="shared" si="19"/>
        <v>29.63071290752351</v>
      </c>
      <c r="T53" s="15">
        <f t="shared" si="19"/>
        <v>28.101768121495301</v>
      </c>
      <c r="U53" s="15">
        <f t="shared" si="19"/>
        <v>26.651716886426144</v>
      </c>
      <c r="V53" s="15">
        <f t="shared" si="19"/>
        <v>25.276488295086555</v>
      </c>
      <c r="W53" s="15">
        <f t="shared" si="19"/>
        <v>23.972221499060087</v>
      </c>
      <c r="X53" s="15">
        <f t="shared" si="19"/>
        <v>22.735254869708587</v>
      </c>
      <c r="Y53" s="15">
        <f t="shared" si="19"/>
        <v>21.562115718431624</v>
      </c>
      <c r="Z53" s="15">
        <f t="shared" si="19"/>
        <v>20.449510547360553</v>
      </c>
      <c r="AA53" s="15">
        <f t="shared" si="19"/>
        <v>19.394315803116747</v>
      </c>
      <c r="AB53" s="15">
        <f t="shared" si="19"/>
        <v>18.393569107675926</v>
      </c>
      <c r="AC53" s="15">
        <f t="shared" si="19"/>
        <v>17.44446094171985</v>
      </c>
      <c r="AD53" s="15">
        <f t="shared" si="19"/>
        <v>16.544326757127102</v>
      </c>
      <c r="AE53" s="15">
        <f t="shared" si="19"/>
        <v>15.690639496459344</v>
      </c>
      <c r="AF53" s="15">
        <f t="shared" si="19"/>
        <v>14.881002498442044</v>
      </c>
      <c r="AG53" s="15">
        <f t="shared" si="19"/>
        <v>14.113142769522433</v>
      </c>
      <c r="AH53" s="15">
        <f t="shared" si="19"/>
        <v>13.384904602615075</v>
      </c>
      <c r="AI53" s="15">
        <f t="shared" si="19"/>
        <v>12.694243525120138</v>
      </c>
      <c r="AJ53" s="15">
        <f t="shared" si="19"/>
        <v>12.039220559223939</v>
      </c>
    </row>
    <row r="54" spans="1:36" x14ac:dyDescent="0.45">
      <c r="A54" s="37"/>
      <c r="B54" s="3" t="s">
        <v>430</v>
      </c>
      <c r="C54" s="3" t="s">
        <v>431</v>
      </c>
      <c r="D54" s="3" t="s">
        <v>392</v>
      </c>
      <c r="E54" s="3">
        <v>5</v>
      </c>
      <c r="F54" s="3" t="s">
        <v>409</v>
      </c>
      <c r="G54" s="3">
        <v>5</v>
      </c>
      <c r="H54" s="3">
        <v>5</v>
      </c>
      <c r="I54" s="3">
        <v>5</v>
      </c>
      <c r="J54" s="3">
        <v>5</v>
      </c>
      <c r="K54" s="3">
        <v>5</v>
      </c>
      <c r="L54" s="3">
        <v>5</v>
      </c>
      <c r="M54" s="3">
        <v>5</v>
      </c>
      <c r="N54" s="3">
        <v>5</v>
      </c>
      <c r="O54" s="3">
        <v>5</v>
      </c>
      <c r="P54" s="3">
        <v>5</v>
      </c>
      <c r="Q54" s="3">
        <v>5</v>
      </c>
      <c r="R54" s="3">
        <v>5</v>
      </c>
      <c r="S54" s="3">
        <v>5</v>
      </c>
      <c r="T54" s="3">
        <v>5</v>
      </c>
      <c r="U54" s="3">
        <v>5</v>
      </c>
      <c r="V54" s="3">
        <v>5</v>
      </c>
      <c r="W54" s="3">
        <v>5</v>
      </c>
      <c r="X54" s="3">
        <v>5</v>
      </c>
      <c r="Y54" s="3">
        <v>5</v>
      </c>
      <c r="Z54" s="3">
        <v>5</v>
      </c>
      <c r="AA54" s="3">
        <v>5</v>
      </c>
      <c r="AB54" s="3">
        <v>5</v>
      </c>
      <c r="AC54" s="3">
        <v>5</v>
      </c>
      <c r="AD54" s="3">
        <v>5</v>
      </c>
      <c r="AE54" s="3">
        <v>5</v>
      </c>
      <c r="AF54" s="3">
        <v>5</v>
      </c>
      <c r="AG54" s="3">
        <v>5</v>
      </c>
      <c r="AH54" s="3">
        <v>5</v>
      </c>
      <c r="AI54" s="3">
        <v>5</v>
      </c>
      <c r="AJ54" s="3">
        <v>5</v>
      </c>
    </row>
    <row r="55" spans="1:36" ht="17.25" customHeight="1" x14ac:dyDescent="0.45">
      <c r="A55" s="34" t="s">
        <v>211</v>
      </c>
      <c r="B55" s="3" t="s">
        <v>91</v>
      </c>
      <c r="C55" s="3" t="s">
        <v>92</v>
      </c>
      <c r="D55" s="3" t="s">
        <v>392</v>
      </c>
      <c r="E55" s="3">
        <v>86.4</v>
      </c>
      <c r="F55" s="3" t="s">
        <v>397</v>
      </c>
      <c r="G55" s="3">
        <f>$E$55*0.9836^(G1-2020)</f>
        <v>84.983040000000003</v>
      </c>
      <c r="H55" s="3">
        <f t="shared" ref="H55:AJ55" si="20">$E$55*0.9836^(H1-2020)</f>
        <v>83.589318144000003</v>
      </c>
      <c r="I55" s="3">
        <f t="shared" si="20"/>
        <v>82.218453326438407</v>
      </c>
      <c r="J55" s="3">
        <f t="shared" si="20"/>
        <v>80.87007069188482</v>
      </c>
      <c r="K55" s="3">
        <f t="shared" si="20"/>
        <v>79.543801532537913</v>
      </c>
      <c r="L55" s="3">
        <f t="shared" si="20"/>
        <v>78.239283187404297</v>
      </c>
      <c r="M55" s="3">
        <f t="shared" si="20"/>
        <v>76.956158943130859</v>
      </c>
      <c r="N55" s="3">
        <f t="shared" si="20"/>
        <v>75.694077936463515</v>
      </c>
      <c r="O55" s="3">
        <f t="shared" si="20"/>
        <v>74.452695058305522</v>
      </c>
      <c r="P55" s="3">
        <f t="shared" si="20"/>
        <v>73.231670859349322</v>
      </c>
      <c r="Q55" s="3">
        <f t="shared" si="20"/>
        <v>72.030671457255991</v>
      </c>
      <c r="R55" s="3">
        <f t="shared" si="20"/>
        <v>70.849368445356987</v>
      </c>
      <c r="S55" s="3">
        <f t="shared" si="20"/>
        <v>69.687438802853137</v>
      </c>
      <c r="T55" s="3">
        <f t="shared" si="20"/>
        <v>68.544564806486349</v>
      </c>
      <c r="U55" s="3">
        <f t="shared" si="20"/>
        <v>67.420433943659972</v>
      </c>
      <c r="V55" s="3">
        <f t="shared" si="20"/>
        <v>66.314738826983941</v>
      </c>
      <c r="W55" s="3">
        <f t="shared" si="20"/>
        <v>65.227177110221405</v>
      </c>
      <c r="X55" s="3">
        <f t="shared" si="20"/>
        <v>64.157451405613784</v>
      </c>
      <c r="Y55" s="3">
        <f t="shared" si="20"/>
        <v>63.105269202561715</v>
      </c>
      <c r="Z55" s="3">
        <f t="shared" si="20"/>
        <v>62.070342787639703</v>
      </c>
      <c r="AA55" s="3">
        <f t="shared" si="20"/>
        <v>61.052389165922413</v>
      </c>
      <c r="AB55" s="3">
        <f t="shared" si="20"/>
        <v>60.051129983601285</v>
      </c>
      <c r="AC55" s="3">
        <f t="shared" si="20"/>
        <v>59.066291451870228</v>
      </c>
      <c r="AD55" s="3">
        <f t="shared" si="20"/>
        <v>58.097604272059556</v>
      </c>
      <c r="AE55" s="3">
        <f t="shared" si="20"/>
        <v>57.144803561997783</v>
      </c>
      <c r="AF55" s="3">
        <f t="shared" si="20"/>
        <v>56.207628783581022</v>
      </c>
      <c r="AG55" s="3">
        <f t="shared" si="20"/>
        <v>55.285823671530302</v>
      </c>
      <c r="AH55" s="3">
        <f t="shared" si="20"/>
        <v>54.379136163317199</v>
      </c>
      <c r="AI55" s="3">
        <f t="shared" si="20"/>
        <v>53.4873183302388</v>
      </c>
      <c r="AJ55" s="3">
        <f t="shared" si="20"/>
        <v>52.610126309622885</v>
      </c>
    </row>
    <row r="56" spans="1:36" x14ac:dyDescent="0.45">
      <c r="A56" s="34"/>
      <c r="B56" s="3" t="s">
        <v>93</v>
      </c>
      <c r="C56" s="3" t="s">
        <v>94</v>
      </c>
      <c r="D56" s="3" t="s">
        <v>392</v>
      </c>
      <c r="E56" s="3">
        <v>24.2</v>
      </c>
      <c r="F56" s="3" t="s">
        <v>394</v>
      </c>
      <c r="G56" s="3">
        <f>$E$56*0.9836^(G1-2020)</f>
        <v>23.80312</v>
      </c>
      <c r="H56" s="3">
        <f t="shared" ref="H56:AJ56" si="21">$E$56*0.9836^(H1-2020)</f>
        <v>23.412748832000002</v>
      </c>
      <c r="I56" s="3">
        <f t="shared" si="21"/>
        <v>23.028779751155202</v>
      </c>
      <c r="J56" s="3">
        <f t="shared" si="21"/>
        <v>22.651107763236254</v>
      </c>
      <c r="K56" s="3">
        <f t="shared" si="21"/>
        <v>22.279629595919182</v>
      </c>
      <c r="L56" s="3">
        <f t="shared" si="21"/>
        <v>21.914243670546107</v>
      </c>
      <c r="M56" s="3">
        <f t="shared" si="21"/>
        <v>21.554850074349151</v>
      </c>
      <c r="N56" s="3">
        <f t="shared" si="21"/>
        <v>21.201350533129826</v>
      </c>
      <c r="O56" s="3">
        <f t="shared" si="21"/>
        <v>20.853648384386499</v>
      </c>
      <c r="P56" s="3">
        <f t="shared" si="21"/>
        <v>20.511648550882562</v>
      </c>
      <c r="Q56" s="3">
        <f t="shared" si="21"/>
        <v>20.175257514648088</v>
      </c>
      <c r="R56" s="3">
        <f t="shared" si="21"/>
        <v>19.844383291407858</v>
      </c>
      <c r="S56" s="3">
        <f t="shared" si="21"/>
        <v>19.51893540542877</v>
      </c>
      <c r="T56" s="3">
        <f t="shared" si="21"/>
        <v>19.198824864779738</v>
      </c>
      <c r="U56" s="3">
        <f t="shared" si="21"/>
        <v>18.883964136997349</v>
      </c>
      <c r="V56" s="3">
        <f t="shared" si="21"/>
        <v>18.574267125150595</v>
      </c>
      <c r="W56" s="3">
        <f t="shared" si="21"/>
        <v>18.269649144298125</v>
      </c>
      <c r="X56" s="3">
        <f t="shared" si="21"/>
        <v>17.970026898331636</v>
      </c>
      <c r="Y56" s="3">
        <f t="shared" si="21"/>
        <v>17.675318457198998</v>
      </c>
      <c r="Z56" s="3">
        <f t="shared" si="21"/>
        <v>17.385443234500933</v>
      </c>
      <c r="AA56" s="3">
        <f t="shared" si="21"/>
        <v>17.10032196545512</v>
      </c>
      <c r="AB56" s="3">
        <f t="shared" si="21"/>
        <v>16.819876685221654</v>
      </c>
      <c r="AC56" s="3">
        <f t="shared" si="21"/>
        <v>16.544030707584021</v>
      </c>
      <c r="AD56" s="3">
        <f t="shared" si="21"/>
        <v>16.272708603979641</v>
      </c>
      <c r="AE56" s="3">
        <f t="shared" si="21"/>
        <v>16.005836182874379</v>
      </c>
      <c r="AF56" s="3">
        <f t="shared" si="21"/>
        <v>15.743340469475237</v>
      </c>
      <c r="AG56" s="3">
        <f t="shared" si="21"/>
        <v>15.485149685775847</v>
      </c>
      <c r="AH56" s="3">
        <f t="shared" si="21"/>
        <v>15.23119323092912</v>
      </c>
      <c r="AI56" s="3">
        <f t="shared" si="21"/>
        <v>14.981401661941884</v>
      </c>
      <c r="AJ56" s="3">
        <f t="shared" si="21"/>
        <v>14.735706674686037</v>
      </c>
    </row>
    <row r="57" spans="1:36" x14ac:dyDescent="0.45">
      <c r="A57" s="34"/>
      <c r="B57" s="3" t="s">
        <v>95</v>
      </c>
      <c r="C57" s="3" t="s">
        <v>96</v>
      </c>
      <c r="D57" s="3" t="s">
        <v>392</v>
      </c>
      <c r="E57" s="3">
        <v>23</v>
      </c>
      <c r="F57" s="3" t="s">
        <v>397</v>
      </c>
      <c r="G57" s="3">
        <v>23</v>
      </c>
      <c r="H57" s="3">
        <v>23</v>
      </c>
      <c r="I57" s="3">
        <v>23</v>
      </c>
      <c r="J57" s="3">
        <v>23</v>
      </c>
      <c r="K57" s="3">
        <v>23</v>
      </c>
      <c r="L57" s="3">
        <v>23</v>
      </c>
      <c r="M57" s="3">
        <v>23</v>
      </c>
      <c r="N57" s="3">
        <v>23</v>
      </c>
      <c r="O57" s="3">
        <v>23</v>
      </c>
      <c r="P57" s="3">
        <v>23</v>
      </c>
      <c r="Q57" s="3">
        <v>23</v>
      </c>
      <c r="R57" s="3">
        <v>23</v>
      </c>
      <c r="S57" s="3">
        <v>23</v>
      </c>
      <c r="T57" s="3">
        <v>23</v>
      </c>
      <c r="U57" s="3">
        <v>23</v>
      </c>
      <c r="V57" s="3">
        <v>23</v>
      </c>
      <c r="W57" s="3">
        <v>23</v>
      </c>
      <c r="X57" s="3">
        <v>23</v>
      </c>
      <c r="Y57" s="3">
        <v>23</v>
      </c>
      <c r="Z57" s="3">
        <v>23</v>
      </c>
      <c r="AA57" s="3">
        <v>23</v>
      </c>
      <c r="AB57" s="3">
        <v>23</v>
      </c>
      <c r="AC57" s="3">
        <v>23</v>
      </c>
      <c r="AD57" s="3">
        <v>23</v>
      </c>
      <c r="AE57" s="3">
        <v>23</v>
      </c>
      <c r="AF57" s="3">
        <v>23</v>
      </c>
      <c r="AG57" s="3">
        <v>23</v>
      </c>
      <c r="AH57" s="3">
        <v>23</v>
      </c>
      <c r="AI57" s="3">
        <v>23</v>
      </c>
      <c r="AJ57" s="3">
        <v>23</v>
      </c>
    </row>
    <row r="58" spans="1:36" ht="17.25" customHeight="1" x14ac:dyDescent="0.45">
      <c r="A58" s="34" t="s">
        <v>212</v>
      </c>
      <c r="B58" s="3" t="s">
        <v>97</v>
      </c>
      <c r="C58" s="3" t="s">
        <v>98</v>
      </c>
      <c r="D58" s="3" t="s">
        <v>392</v>
      </c>
      <c r="E58" s="3">
        <v>0</v>
      </c>
      <c r="F58" s="3" t="s">
        <v>396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</row>
    <row r="59" spans="1:36" x14ac:dyDescent="0.45">
      <c r="A59" s="34"/>
      <c r="B59" s="3" t="s">
        <v>99</v>
      </c>
      <c r="C59" s="3" t="s">
        <v>100</v>
      </c>
      <c r="D59" s="3" t="s">
        <v>392</v>
      </c>
      <c r="E59" s="3">
        <v>0</v>
      </c>
      <c r="F59" s="3" t="s">
        <v>396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</row>
    <row r="60" spans="1:36" ht="17.25" customHeight="1" x14ac:dyDescent="0.45">
      <c r="A60" s="34" t="s">
        <v>382</v>
      </c>
      <c r="B60" s="3" t="s">
        <v>213</v>
      </c>
      <c r="C60" s="3" t="s">
        <v>101</v>
      </c>
      <c r="D60" s="3" t="s">
        <v>392</v>
      </c>
      <c r="E60" s="3">
        <v>1.43</v>
      </c>
      <c r="F60" s="3" t="s">
        <v>409</v>
      </c>
      <c r="G60" s="3">
        <v>1.43</v>
      </c>
      <c r="H60" s="3">
        <v>1.43</v>
      </c>
      <c r="I60" s="3">
        <v>1.43</v>
      </c>
      <c r="J60" s="3">
        <v>1.43</v>
      </c>
      <c r="K60" s="3">
        <v>1.43</v>
      </c>
      <c r="L60" s="3">
        <v>1.43</v>
      </c>
      <c r="M60" s="3">
        <v>1.43</v>
      </c>
      <c r="N60" s="3">
        <v>1.43</v>
      </c>
      <c r="O60" s="3">
        <v>1.43</v>
      </c>
      <c r="P60" s="3">
        <v>1.43</v>
      </c>
      <c r="Q60" s="3">
        <v>1.43</v>
      </c>
      <c r="R60" s="3">
        <v>1.43</v>
      </c>
      <c r="S60" s="3">
        <v>1.43</v>
      </c>
      <c r="T60" s="3">
        <v>1.43</v>
      </c>
      <c r="U60" s="3">
        <v>1.43</v>
      </c>
      <c r="V60" s="3">
        <v>1.43</v>
      </c>
      <c r="W60" s="3">
        <v>1.43</v>
      </c>
      <c r="X60" s="3">
        <v>1.43</v>
      </c>
      <c r="Y60" s="3">
        <v>1.43</v>
      </c>
      <c r="Z60" s="3">
        <v>1.43</v>
      </c>
      <c r="AA60" s="3">
        <v>1.43</v>
      </c>
      <c r="AB60" s="3">
        <v>1.43</v>
      </c>
      <c r="AC60" s="3">
        <v>1.43</v>
      </c>
      <c r="AD60" s="3">
        <v>1.43</v>
      </c>
      <c r="AE60" s="3">
        <v>1.43</v>
      </c>
      <c r="AF60" s="3">
        <v>1.43</v>
      </c>
      <c r="AG60" s="3">
        <v>1.43</v>
      </c>
      <c r="AH60" s="3">
        <v>1.43</v>
      </c>
      <c r="AI60" s="3">
        <v>1.43</v>
      </c>
      <c r="AJ60" s="3">
        <v>1.43</v>
      </c>
    </row>
    <row r="61" spans="1:36" x14ac:dyDescent="0.45">
      <c r="A61" s="34"/>
      <c r="B61" s="3" t="s">
        <v>214</v>
      </c>
      <c r="C61" s="3" t="s">
        <v>102</v>
      </c>
      <c r="D61" s="3" t="s">
        <v>392</v>
      </c>
      <c r="E61" s="3">
        <v>1.43</v>
      </c>
      <c r="F61" s="3" t="s">
        <v>409</v>
      </c>
      <c r="G61" s="3">
        <v>1.43</v>
      </c>
      <c r="H61" s="3">
        <v>1.43</v>
      </c>
      <c r="I61" s="3">
        <v>1.43</v>
      </c>
      <c r="J61" s="3">
        <v>1.43</v>
      </c>
      <c r="K61" s="3">
        <v>1.43</v>
      </c>
      <c r="L61" s="3">
        <v>1.43</v>
      </c>
      <c r="M61" s="3">
        <v>1.43</v>
      </c>
      <c r="N61" s="3">
        <v>1.43</v>
      </c>
      <c r="O61" s="3">
        <v>1.43</v>
      </c>
      <c r="P61" s="3">
        <v>1.43</v>
      </c>
      <c r="Q61" s="3">
        <v>1.43</v>
      </c>
      <c r="R61" s="3">
        <v>1.43</v>
      </c>
      <c r="S61" s="3">
        <v>1.43</v>
      </c>
      <c r="T61" s="3">
        <v>1.43</v>
      </c>
      <c r="U61" s="3">
        <v>1.43</v>
      </c>
      <c r="V61" s="3">
        <v>1.43</v>
      </c>
      <c r="W61" s="3">
        <v>1.43</v>
      </c>
      <c r="X61" s="3">
        <v>1.43</v>
      </c>
      <c r="Y61" s="3">
        <v>1.43</v>
      </c>
      <c r="Z61" s="3">
        <v>1.43</v>
      </c>
      <c r="AA61" s="3">
        <v>1.43</v>
      </c>
      <c r="AB61" s="3">
        <v>1.43</v>
      </c>
      <c r="AC61" s="3">
        <v>1.43</v>
      </c>
      <c r="AD61" s="3">
        <v>1.43</v>
      </c>
      <c r="AE61" s="3">
        <v>1.43</v>
      </c>
      <c r="AF61" s="3">
        <v>1.43</v>
      </c>
      <c r="AG61" s="3">
        <v>1.43</v>
      </c>
      <c r="AH61" s="3">
        <v>1.43</v>
      </c>
      <c r="AI61" s="3">
        <v>1.43</v>
      </c>
      <c r="AJ61" s="3">
        <v>1.43</v>
      </c>
    </row>
    <row r="62" spans="1:36" x14ac:dyDescent="0.45">
      <c r="A62" s="34"/>
      <c r="B62" s="3" t="s">
        <v>215</v>
      </c>
      <c r="C62" s="3" t="s">
        <v>103</v>
      </c>
      <c r="D62" s="3" t="s">
        <v>392</v>
      </c>
      <c r="E62" s="3">
        <v>1.32</v>
      </c>
      <c r="F62" s="3" t="s">
        <v>409</v>
      </c>
      <c r="G62" s="3">
        <v>1.32</v>
      </c>
      <c r="H62" s="3">
        <v>1.32</v>
      </c>
      <c r="I62" s="3">
        <v>1.32</v>
      </c>
      <c r="J62" s="3">
        <v>1.32</v>
      </c>
      <c r="K62" s="3">
        <v>1.32</v>
      </c>
      <c r="L62" s="3">
        <v>1.32</v>
      </c>
      <c r="M62" s="3">
        <v>1.32</v>
      </c>
      <c r="N62" s="3">
        <v>1.32</v>
      </c>
      <c r="O62" s="3">
        <v>1.32</v>
      </c>
      <c r="P62" s="3">
        <v>1.32</v>
      </c>
      <c r="Q62" s="3">
        <v>1.32</v>
      </c>
      <c r="R62" s="3">
        <v>1.32</v>
      </c>
      <c r="S62" s="3">
        <v>1.32</v>
      </c>
      <c r="T62" s="3">
        <v>1.32</v>
      </c>
      <c r="U62" s="3">
        <v>1.32</v>
      </c>
      <c r="V62" s="3">
        <v>1.32</v>
      </c>
      <c r="W62" s="3">
        <v>1.32</v>
      </c>
      <c r="X62" s="3">
        <v>1.32</v>
      </c>
      <c r="Y62" s="3">
        <v>1.32</v>
      </c>
      <c r="Z62" s="3">
        <v>1.32</v>
      </c>
      <c r="AA62" s="3">
        <v>1.32</v>
      </c>
      <c r="AB62" s="3">
        <v>1.32</v>
      </c>
      <c r="AC62" s="3">
        <v>1.32</v>
      </c>
      <c r="AD62" s="3">
        <v>1.32</v>
      </c>
      <c r="AE62" s="3">
        <v>1.32</v>
      </c>
      <c r="AF62" s="3">
        <v>1.32</v>
      </c>
      <c r="AG62" s="3">
        <v>1.32</v>
      </c>
      <c r="AH62" s="3">
        <v>1.32</v>
      </c>
      <c r="AI62" s="3">
        <v>1.32</v>
      </c>
      <c r="AJ62" s="3">
        <v>1.32</v>
      </c>
    </row>
    <row r="63" spans="1:36" x14ac:dyDescent="0.45">
      <c r="A63" s="34"/>
      <c r="B63" s="3" t="s">
        <v>216</v>
      </c>
      <c r="C63" s="3" t="s">
        <v>206</v>
      </c>
      <c r="D63" s="3" t="s">
        <v>392</v>
      </c>
      <c r="E63" s="3">
        <v>1.21</v>
      </c>
      <c r="F63" s="3" t="s">
        <v>409</v>
      </c>
      <c r="G63" s="3">
        <v>1.21</v>
      </c>
      <c r="H63" s="3">
        <v>1.21</v>
      </c>
      <c r="I63" s="3">
        <v>1.21</v>
      </c>
      <c r="J63" s="3">
        <v>1.21</v>
      </c>
      <c r="K63" s="3">
        <v>1.21</v>
      </c>
      <c r="L63" s="3">
        <v>1.21</v>
      </c>
      <c r="M63" s="3">
        <v>1.21</v>
      </c>
      <c r="N63" s="3">
        <v>1.21</v>
      </c>
      <c r="O63" s="3">
        <v>1.21</v>
      </c>
      <c r="P63" s="3">
        <v>1.21</v>
      </c>
      <c r="Q63" s="3">
        <v>1.21</v>
      </c>
      <c r="R63" s="3">
        <v>1.21</v>
      </c>
      <c r="S63" s="3">
        <v>1.21</v>
      </c>
      <c r="T63" s="3">
        <v>1.21</v>
      </c>
      <c r="U63" s="3">
        <v>1.21</v>
      </c>
      <c r="V63" s="3">
        <v>1.21</v>
      </c>
      <c r="W63" s="3">
        <v>1.21</v>
      </c>
      <c r="X63" s="3">
        <v>1.21</v>
      </c>
      <c r="Y63" s="3">
        <v>1.21</v>
      </c>
      <c r="Z63" s="3">
        <v>1.21</v>
      </c>
      <c r="AA63" s="3">
        <v>1.21</v>
      </c>
      <c r="AB63" s="3">
        <v>1.21</v>
      </c>
      <c r="AC63" s="3">
        <v>1.21</v>
      </c>
      <c r="AD63" s="3">
        <v>1.21</v>
      </c>
      <c r="AE63" s="3">
        <v>1.21</v>
      </c>
      <c r="AF63" s="3">
        <v>1.21</v>
      </c>
      <c r="AG63" s="3">
        <v>1.21</v>
      </c>
      <c r="AH63" s="3">
        <v>1.21</v>
      </c>
      <c r="AI63" s="3">
        <v>1.21</v>
      </c>
      <c r="AJ63" s="3">
        <v>1.21</v>
      </c>
    </row>
    <row r="64" spans="1:36" x14ac:dyDescent="0.45">
      <c r="A64" s="34"/>
      <c r="B64" s="3" t="s">
        <v>217</v>
      </c>
      <c r="C64" s="3" t="s">
        <v>104</v>
      </c>
      <c r="D64" s="3" t="s">
        <v>392</v>
      </c>
      <c r="E64" s="3">
        <v>5.97</v>
      </c>
      <c r="F64" s="3" t="s">
        <v>415</v>
      </c>
      <c r="G64" s="3">
        <v>5.97</v>
      </c>
      <c r="H64" s="3">
        <v>5.97</v>
      </c>
      <c r="I64" s="3">
        <v>5.97</v>
      </c>
      <c r="J64" s="3">
        <v>5.97</v>
      </c>
      <c r="K64" s="3">
        <v>5.97</v>
      </c>
      <c r="L64" s="3">
        <v>5.97</v>
      </c>
      <c r="M64" s="3">
        <v>5.97</v>
      </c>
      <c r="N64" s="3">
        <v>5.97</v>
      </c>
      <c r="O64" s="3">
        <v>5.97</v>
      </c>
      <c r="P64" s="3">
        <v>5.97</v>
      </c>
      <c r="Q64" s="3">
        <v>5.97</v>
      </c>
      <c r="R64" s="3">
        <v>5.97</v>
      </c>
      <c r="S64" s="3">
        <v>5.97</v>
      </c>
      <c r="T64" s="3">
        <v>5.97</v>
      </c>
      <c r="U64" s="3">
        <v>5.97</v>
      </c>
      <c r="V64" s="3">
        <v>5.97</v>
      </c>
      <c r="W64" s="3">
        <v>5.97</v>
      </c>
      <c r="X64" s="3">
        <v>5.97</v>
      </c>
      <c r="Y64" s="3">
        <v>5.97</v>
      </c>
      <c r="Z64" s="3">
        <v>5.97</v>
      </c>
      <c r="AA64" s="3">
        <v>5.97</v>
      </c>
      <c r="AB64" s="3">
        <v>5.97</v>
      </c>
      <c r="AC64" s="3">
        <v>5.97</v>
      </c>
      <c r="AD64" s="3">
        <v>5.97</v>
      </c>
      <c r="AE64" s="3">
        <v>5.97</v>
      </c>
      <c r="AF64" s="3">
        <v>5.97</v>
      </c>
      <c r="AG64" s="3">
        <v>5.97</v>
      </c>
      <c r="AH64" s="3">
        <v>5.97</v>
      </c>
      <c r="AI64" s="3">
        <v>5.97</v>
      </c>
      <c r="AJ64" s="3">
        <v>5.97</v>
      </c>
    </row>
    <row r="65" spans="1:36" ht="17.25" customHeight="1" x14ac:dyDescent="0.45">
      <c r="A65" s="34" t="s">
        <v>219</v>
      </c>
      <c r="B65" s="3" t="s">
        <v>105</v>
      </c>
      <c r="C65" s="3" t="s">
        <v>106</v>
      </c>
      <c r="D65" s="3" t="s">
        <v>392</v>
      </c>
      <c r="E65" s="3">
        <v>1.43</v>
      </c>
      <c r="F65" s="3" t="s">
        <v>409</v>
      </c>
      <c r="G65" s="3">
        <v>1.43</v>
      </c>
      <c r="H65" s="3">
        <v>1.43</v>
      </c>
      <c r="I65" s="3">
        <v>1.43</v>
      </c>
      <c r="J65" s="3">
        <v>1.43</v>
      </c>
      <c r="K65" s="3">
        <v>1.43</v>
      </c>
      <c r="L65" s="3">
        <v>1.43</v>
      </c>
      <c r="M65" s="3">
        <v>1.43</v>
      </c>
      <c r="N65" s="3">
        <v>1.43</v>
      </c>
      <c r="O65" s="3">
        <v>1.43</v>
      </c>
      <c r="P65" s="3">
        <v>1.43</v>
      </c>
      <c r="Q65" s="3">
        <v>1.43</v>
      </c>
      <c r="R65" s="3">
        <v>1.43</v>
      </c>
      <c r="S65" s="3">
        <v>1.43</v>
      </c>
      <c r="T65" s="3">
        <v>1.43</v>
      </c>
      <c r="U65" s="3">
        <v>1.43</v>
      </c>
      <c r="V65" s="3">
        <v>1.43</v>
      </c>
      <c r="W65" s="3">
        <v>1.43</v>
      </c>
      <c r="X65" s="3">
        <v>1.43</v>
      </c>
      <c r="Y65" s="3">
        <v>1.43</v>
      </c>
      <c r="Z65" s="3">
        <v>1.43</v>
      </c>
      <c r="AA65" s="3">
        <v>1.43</v>
      </c>
      <c r="AB65" s="3">
        <v>1.43</v>
      </c>
      <c r="AC65" s="3">
        <v>1.43</v>
      </c>
      <c r="AD65" s="3">
        <v>1.43</v>
      </c>
      <c r="AE65" s="3">
        <v>1.43</v>
      </c>
      <c r="AF65" s="3">
        <v>1.43</v>
      </c>
      <c r="AG65" s="3">
        <v>1.43</v>
      </c>
      <c r="AH65" s="3">
        <v>1.43</v>
      </c>
      <c r="AI65" s="3">
        <v>1.43</v>
      </c>
      <c r="AJ65" s="3">
        <v>1.43</v>
      </c>
    </row>
    <row r="66" spans="1:36" x14ac:dyDescent="0.45">
      <c r="A66" s="34"/>
      <c r="B66" s="3" t="s">
        <v>107</v>
      </c>
      <c r="C66" s="3" t="s">
        <v>108</v>
      </c>
      <c r="D66" s="3" t="s">
        <v>392</v>
      </c>
      <c r="E66" s="3">
        <v>1.32</v>
      </c>
      <c r="F66" s="3" t="s">
        <v>409</v>
      </c>
      <c r="G66" s="3">
        <v>1.32</v>
      </c>
      <c r="H66" s="3">
        <v>1.32</v>
      </c>
      <c r="I66" s="3">
        <v>1.32</v>
      </c>
      <c r="J66" s="3">
        <v>1.32</v>
      </c>
      <c r="K66" s="3">
        <v>1.32</v>
      </c>
      <c r="L66" s="3">
        <v>1.32</v>
      </c>
      <c r="M66" s="3">
        <v>1.32</v>
      </c>
      <c r="N66" s="3">
        <v>1.32</v>
      </c>
      <c r="O66" s="3">
        <v>1.32</v>
      </c>
      <c r="P66" s="3">
        <v>1.32</v>
      </c>
      <c r="Q66" s="3">
        <v>1.32</v>
      </c>
      <c r="R66" s="3">
        <v>1.32</v>
      </c>
      <c r="S66" s="3">
        <v>1.32</v>
      </c>
      <c r="T66" s="3">
        <v>1.32</v>
      </c>
      <c r="U66" s="3">
        <v>1.32</v>
      </c>
      <c r="V66" s="3">
        <v>1.32</v>
      </c>
      <c r="W66" s="3">
        <v>1.32</v>
      </c>
      <c r="X66" s="3">
        <v>1.32</v>
      </c>
      <c r="Y66" s="3">
        <v>1.32</v>
      </c>
      <c r="Z66" s="3">
        <v>1.32</v>
      </c>
      <c r="AA66" s="3">
        <v>1.32</v>
      </c>
      <c r="AB66" s="3">
        <v>1.32</v>
      </c>
      <c r="AC66" s="3">
        <v>1.32</v>
      </c>
      <c r="AD66" s="3">
        <v>1.32</v>
      </c>
      <c r="AE66" s="3">
        <v>1.32</v>
      </c>
      <c r="AF66" s="3">
        <v>1.32</v>
      </c>
      <c r="AG66" s="3">
        <v>1.32</v>
      </c>
      <c r="AH66" s="3">
        <v>1.32</v>
      </c>
      <c r="AI66" s="3">
        <v>1.32</v>
      </c>
      <c r="AJ66" s="3">
        <v>1.32</v>
      </c>
    </row>
    <row r="67" spans="1:36" x14ac:dyDescent="0.45">
      <c r="A67" s="34"/>
      <c r="B67" s="3" t="s">
        <v>109</v>
      </c>
      <c r="C67" s="3" t="s">
        <v>110</v>
      </c>
      <c r="D67" s="3" t="s">
        <v>392</v>
      </c>
      <c r="E67" s="3">
        <v>5.13</v>
      </c>
      <c r="F67" s="3" t="s">
        <v>415</v>
      </c>
      <c r="G67" s="3">
        <v>5.13</v>
      </c>
      <c r="H67" s="3">
        <v>5.13</v>
      </c>
      <c r="I67" s="3">
        <v>5.13</v>
      </c>
      <c r="J67" s="3">
        <v>5.13</v>
      </c>
      <c r="K67" s="3">
        <v>5.13</v>
      </c>
      <c r="L67" s="3">
        <v>5.13</v>
      </c>
      <c r="M67" s="3">
        <v>5.13</v>
      </c>
      <c r="N67" s="3">
        <v>5.13</v>
      </c>
      <c r="O67" s="3">
        <v>5.13</v>
      </c>
      <c r="P67" s="3">
        <v>5.13</v>
      </c>
      <c r="Q67" s="3">
        <v>5.13</v>
      </c>
      <c r="R67" s="3">
        <v>5.13</v>
      </c>
      <c r="S67" s="3">
        <v>5.13</v>
      </c>
      <c r="T67" s="3">
        <v>5.13</v>
      </c>
      <c r="U67" s="3">
        <v>5.13</v>
      </c>
      <c r="V67" s="3">
        <v>5.13</v>
      </c>
      <c r="W67" s="3">
        <v>5.13</v>
      </c>
      <c r="X67" s="3">
        <v>5.13</v>
      </c>
      <c r="Y67" s="3">
        <v>5.13</v>
      </c>
      <c r="Z67" s="3">
        <v>5.13</v>
      </c>
      <c r="AA67" s="3">
        <v>5.13</v>
      </c>
      <c r="AB67" s="3">
        <v>5.13</v>
      </c>
      <c r="AC67" s="3">
        <v>5.13</v>
      </c>
      <c r="AD67" s="3">
        <v>5.13</v>
      </c>
      <c r="AE67" s="3">
        <v>5.13</v>
      </c>
      <c r="AF67" s="3">
        <v>5.13</v>
      </c>
      <c r="AG67" s="3">
        <v>5.13</v>
      </c>
      <c r="AH67" s="3">
        <v>5.13</v>
      </c>
      <c r="AI67" s="3">
        <v>5.13</v>
      </c>
      <c r="AJ67" s="3">
        <v>5.13</v>
      </c>
    </row>
    <row r="68" spans="1:36" ht="17.25" customHeight="1" x14ac:dyDescent="0.45">
      <c r="A68" s="34" t="s">
        <v>220</v>
      </c>
      <c r="B68" s="3" t="s">
        <v>111</v>
      </c>
      <c r="C68" s="3" t="s">
        <v>112</v>
      </c>
      <c r="D68" s="3" t="s">
        <v>392</v>
      </c>
      <c r="E68" s="3">
        <v>1.32</v>
      </c>
      <c r="F68" s="3" t="s">
        <v>409</v>
      </c>
      <c r="G68" s="3">
        <v>1.32</v>
      </c>
      <c r="H68" s="3">
        <v>1.32</v>
      </c>
      <c r="I68" s="3">
        <v>1.32</v>
      </c>
      <c r="J68" s="3">
        <v>1.32</v>
      </c>
      <c r="K68" s="3">
        <v>1.32</v>
      </c>
      <c r="L68" s="3">
        <v>1.32</v>
      </c>
      <c r="M68" s="3">
        <v>1.32</v>
      </c>
      <c r="N68" s="3">
        <v>1.32</v>
      </c>
      <c r="O68" s="3">
        <v>1.32</v>
      </c>
      <c r="P68" s="3">
        <v>1.32</v>
      </c>
      <c r="Q68" s="3">
        <v>1.32</v>
      </c>
      <c r="R68" s="3">
        <v>1.32</v>
      </c>
      <c r="S68" s="3">
        <v>1.32</v>
      </c>
      <c r="T68" s="3">
        <v>1.32</v>
      </c>
      <c r="U68" s="3">
        <v>1.32</v>
      </c>
      <c r="V68" s="3">
        <v>1.32</v>
      </c>
      <c r="W68" s="3">
        <v>1.32</v>
      </c>
      <c r="X68" s="3">
        <v>1.32</v>
      </c>
      <c r="Y68" s="3">
        <v>1.32</v>
      </c>
      <c r="Z68" s="3">
        <v>1.32</v>
      </c>
      <c r="AA68" s="3">
        <v>1.32</v>
      </c>
      <c r="AB68" s="3">
        <v>1.32</v>
      </c>
      <c r="AC68" s="3">
        <v>1.32</v>
      </c>
      <c r="AD68" s="3">
        <v>1.32</v>
      </c>
      <c r="AE68" s="3">
        <v>1.32</v>
      </c>
      <c r="AF68" s="3">
        <v>1.32</v>
      </c>
      <c r="AG68" s="3">
        <v>1.32</v>
      </c>
      <c r="AH68" s="3">
        <v>1.32</v>
      </c>
      <c r="AI68" s="3">
        <v>1.32</v>
      </c>
      <c r="AJ68" s="3">
        <v>1.32</v>
      </c>
    </row>
    <row r="69" spans="1:36" x14ac:dyDescent="0.45">
      <c r="A69" s="34"/>
      <c r="B69" s="3" t="s">
        <v>113</v>
      </c>
      <c r="C69" s="3" t="s">
        <v>114</v>
      </c>
      <c r="D69" s="3" t="s">
        <v>392</v>
      </c>
      <c r="E69" s="3">
        <v>5.13</v>
      </c>
      <c r="F69" s="3" t="s">
        <v>415</v>
      </c>
      <c r="G69" s="3">
        <v>5.13</v>
      </c>
      <c r="H69" s="3">
        <v>5.13</v>
      </c>
      <c r="I69" s="3">
        <v>5.13</v>
      </c>
      <c r="J69" s="3">
        <v>5.13</v>
      </c>
      <c r="K69" s="3">
        <v>5.13</v>
      </c>
      <c r="L69" s="3">
        <v>5.13</v>
      </c>
      <c r="M69" s="3">
        <v>5.13</v>
      </c>
      <c r="N69" s="3">
        <v>5.13</v>
      </c>
      <c r="O69" s="3">
        <v>5.13</v>
      </c>
      <c r="P69" s="3">
        <v>5.13</v>
      </c>
      <c r="Q69" s="3">
        <v>5.13</v>
      </c>
      <c r="R69" s="3">
        <v>5.13</v>
      </c>
      <c r="S69" s="3">
        <v>5.13</v>
      </c>
      <c r="T69" s="3">
        <v>5.13</v>
      </c>
      <c r="U69" s="3">
        <v>5.13</v>
      </c>
      <c r="V69" s="3">
        <v>5.13</v>
      </c>
      <c r="W69" s="3">
        <v>5.13</v>
      </c>
      <c r="X69" s="3">
        <v>5.13</v>
      </c>
      <c r="Y69" s="3">
        <v>5.13</v>
      </c>
      <c r="Z69" s="3">
        <v>5.13</v>
      </c>
      <c r="AA69" s="3">
        <v>5.13</v>
      </c>
      <c r="AB69" s="3">
        <v>5.13</v>
      </c>
      <c r="AC69" s="3">
        <v>5.13</v>
      </c>
      <c r="AD69" s="3">
        <v>5.13</v>
      </c>
      <c r="AE69" s="3">
        <v>5.13</v>
      </c>
      <c r="AF69" s="3">
        <v>5.13</v>
      </c>
      <c r="AG69" s="3">
        <v>5.13</v>
      </c>
      <c r="AH69" s="3">
        <v>5.13</v>
      </c>
      <c r="AI69" s="3">
        <v>5.13</v>
      </c>
      <c r="AJ69" s="3">
        <v>5.13</v>
      </c>
    </row>
    <row r="70" spans="1:36" ht="17.25" customHeight="1" x14ac:dyDescent="0.45">
      <c r="A70" s="34" t="s">
        <v>221</v>
      </c>
      <c r="B70" s="3" t="s">
        <v>115</v>
      </c>
      <c r="C70" s="3" t="s">
        <v>116</v>
      </c>
      <c r="D70" s="3" t="s">
        <v>392</v>
      </c>
      <c r="E70" s="3">
        <v>1.43</v>
      </c>
      <c r="F70" s="3" t="s">
        <v>409</v>
      </c>
      <c r="G70" s="3">
        <v>1.43</v>
      </c>
      <c r="H70" s="3">
        <v>1.43</v>
      </c>
      <c r="I70" s="3">
        <v>1.43</v>
      </c>
      <c r="J70" s="3">
        <v>1.43</v>
      </c>
      <c r="K70" s="3">
        <v>1.43</v>
      </c>
      <c r="L70" s="3">
        <v>1.43</v>
      </c>
      <c r="M70" s="3">
        <v>1.43</v>
      </c>
      <c r="N70" s="3">
        <v>1.43</v>
      </c>
      <c r="O70" s="3">
        <v>1.43</v>
      </c>
      <c r="P70" s="3">
        <v>1.43</v>
      </c>
      <c r="Q70" s="3">
        <v>1.43</v>
      </c>
      <c r="R70" s="3">
        <v>1.43</v>
      </c>
      <c r="S70" s="3">
        <v>1.43</v>
      </c>
      <c r="T70" s="3">
        <v>1.43</v>
      </c>
      <c r="U70" s="3">
        <v>1.43</v>
      </c>
      <c r="V70" s="3">
        <v>1.43</v>
      </c>
      <c r="W70" s="3">
        <v>1.43</v>
      </c>
      <c r="X70" s="3">
        <v>1.43</v>
      </c>
      <c r="Y70" s="3">
        <v>1.43</v>
      </c>
      <c r="Z70" s="3">
        <v>1.43</v>
      </c>
      <c r="AA70" s="3">
        <v>1.43</v>
      </c>
      <c r="AB70" s="3">
        <v>1.43</v>
      </c>
      <c r="AC70" s="3">
        <v>1.43</v>
      </c>
      <c r="AD70" s="3">
        <v>1.43</v>
      </c>
      <c r="AE70" s="3">
        <v>1.43</v>
      </c>
      <c r="AF70" s="3">
        <v>1.43</v>
      </c>
      <c r="AG70" s="3">
        <v>1.43</v>
      </c>
      <c r="AH70" s="3">
        <v>1.43</v>
      </c>
      <c r="AI70" s="3">
        <v>1.43</v>
      </c>
      <c r="AJ70" s="3">
        <v>1.43</v>
      </c>
    </row>
    <row r="71" spans="1:36" x14ac:dyDescent="0.45">
      <c r="A71" s="34"/>
      <c r="B71" s="3" t="s">
        <v>117</v>
      </c>
      <c r="C71" s="3" t="s">
        <v>118</v>
      </c>
      <c r="D71" s="3" t="s">
        <v>392</v>
      </c>
      <c r="E71" s="3">
        <v>1.32</v>
      </c>
      <c r="F71" s="3" t="s">
        <v>409</v>
      </c>
      <c r="G71" s="3">
        <v>1.32</v>
      </c>
      <c r="H71" s="3">
        <v>1.32</v>
      </c>
      <c r="I71" s="3">
        <v>1.32</v>
      </c>
      <c r="J71" s="3">
        <v>1.32</v>
      </c>
      <c r="K71" s="3">
        <v>1.32</v>
      </c>
      <c r="L71" s="3">
        <v>1.32</v>
      </c>
      <c r="M71" s="3">
        <v>1.32</v>
      </c>
      <c r="N71" s="3">
        <v>1.32</v>
      </c>
      <c r="O71" s="3">
        <v>1.32</v>
      </c>
      <c r="P71" s="3">
        <v>1.32</v>
      </c>
      <c r="Q71" s="3">
        <v>1.32</v>
      </c>
      <c r="R71" s="3">
        <v>1.32</v>
      </c>
      <c r="S71" s="3">
        <v>1.32</v>
      </c>
      <c r="T71" s="3">
        <v>1.32</v>
      </c>
      <c r="U71" s="3">
        <v>1.32</v>
      </c>
      <c r="V71" s="3">
        <v>1.32</v>
      </c>
      <c r="W71" s="3">
        <v>1.32</v>
      </c>
      <c r="X71" s="3">
        <v>1.32</v>
      </c>
      <c r="Y71" s="3">
        <v>1.32</v>
      </c>
      <c r="Z71" s="3">
        <v>1.32</v>
      </c>
      <c r="AA71" s="3">
        <v>1.32</v>
      </c>
      <c r="AB71" s="3">
        <v>1.32</v>
      </c>
      <c r="AC71" s="3">
        <v>1.32</v>
      </c>
      <c r="AD71" s="3">
        <v>1.32</v>
      </c>
      <c r="AE71" s="3">
        <v>1.32</v>
      </c>
      <c r="AF71" s="3">
        <v>1.32</v>
      </c>
      <c r="AG71" s="3">
        <v>1.32</v>
      </c>
      <c r="AH71" s="3">
        <v>1.32</v>
      </c>
      <c r="AI71" s="3">
        <v>1.32</v>
      </c>
      <c r="AJ71" s="3">
        <v>1.32</v>
      </c>
    </row>
    <row r="72" spans="1:36" x14ac:dyDescent="0.45">
      <c r="A72" s="34"/>
      <c r="B72" s="3" t="s">
        <v>119</v>
      </c>
      <c r="C72" s="3" t="s">
        <v>120</v>
      </c>
      <c r="D72" s="3" t="s">
        <v>392</v>
      </c>
      <c r="E72" s="3">
        <v>1.21</v>
      </c>
      <c r="F72" s="3" t="s">
        <v>409</v>
      </c>
      <c r="G72" s="3">
        <v>1.21</v>
      </c>
      <c r="H72" s="3">
        <v>1.21</v>
      </c>
      <c r="I72" s="3">
        <v>1.21</v>
      </c>
      <c r="J72" s="3">
        <v>1.21</v>
      </c>
      <c r="K72" s="3">
        <v>1.21</v>
      </c>
      <c r="L72" s="3">
        <v>1.21</v>
      </c>
      <c r="M72" s="3">
        <v>1.21</v>
      </c>
      <c r="N72" s="3">
        <v>1.21</v>
      </c>
      <c r="O72" s="3">
        <v>1.21</v>
      </c>
      <c r="P72" s="3">
        <v>1.21</v>
      </c>
      <c r="Q72" s="3">
        <v>1.21</v>
      </c>
      <c r="R72" s="3">
        <v>1.21</v>
      </c>
      <c r="S72" s="3">
        <v>1.21</v>
      </c>
      <c r="T72" s="3">
        <v>1.21</v>
      </c>
      <c r="U72" s="3">
        <v>1.21</v>
      </c>
      <c r="V72" s="3">
        <v>1.21</v>
      </c>
      <c r="W72" s="3">
        <v>1.21</v>
      </c>
      <c r="X72" s="3">
        <v>1.21</v>
      </c>
      <c r="Y72" s="3">
        <v>1.21</v>
      </c>
      <c r="Z72" s="3">
        <v>1.21</v>
      </c>
      <c r="AA72" s="3">
        <v>1.21</v>
      </c>
      <c r="AB72" s="3">
        <v>1.21</v>
      </c>
      <c r="AC72" s="3">
        <v>1.21</v>
      </c>
      <c r="AD72" s="3">
        <v>1.21</v>
      </c>
      <c r="AE72" s="3">
        <v>1.21</v>
      </c>
      <c r="AF72" s="3">
        <v>1.21</v>
      </c>
      <c r="AG72" s="3">
        <v>1.21</v>
      </c>
      <c r="AH72" s="3">
        <v>1.21</v>
      </c>
      <c r="AI72" s="3">
        <v>1.21</v>
      </c>
      <c r="AJ72" s="3">
        <v>1.21</v>
      </c>
    </row>
    <row r="73" spans="1:36" x14ac:dyDescent="0.45">
      <c r="A73" s="34"/>
      <c r="B73" s="3" t="s">
        <v>121</v>
      </c>
      <c r="C73" s="3" t="s">
        <v>122</v>
      </c>
      <c r="D73" s="3" t="s">
        <v>392</v>
      </c>
      <c r="E73" s="3">
        <v>5.97</v>
      </c>
      <c r="F73" s="3" t="s">
        <v>415</v>
      </c>
      <c r="G73" s="3">
        <v>5.97</v>
      </c>
      <c r="H73" s="3">
        <v>5.97</v>
      </c>
      <c r="I73" s="3">
        <v>5.97</v>
      </c>
      <c r="J73" s="3">
        <v>5.97</v>
      </c>
      <c r="K73" s="3">
        <v>5.97</v>
      </c>
      <c r="L73" s="3">
        <v>5.97</v>
      </c>
      <c r="M73" s="3">
        <v>5.97</v>
      </c>
      <c r="N73" s="3">
        <v>5.97</v>
      </c>
      <c r="O73" s="3">
        <v>5.97</v>
      </c>
      <c r="P73" s="3">
        <v>5.97</v>
      </c>
      <c r="Q73" s="3">
        <v>5.97</v>
      </c>
      <c r="R73" s="3">
        <v>5.97</v>
      </c>
      <c r="S73" s="3">
        <v>5.97</v>
      </c>
      <c r="T73" s="3">
        <v>5.97</v>
      </c>
      <c r="U73" s="3">
        <v>5.97</v>
      </c>
      <c r="V73" s="3">
        <v>5.97</v>
      </c>
      <c r="W73" s="3">
        <v>5.97</v>
      </c>
      <c r="X73" s="3">
        <v>5.97</v>
      </c>
      <c r="Y73" s="3">
        <v>5.97</v>
      </c>
      <c r="Z73" s="3">
        <v>5.97</v>
      </c>
      <c r="AA73" s="3">
        <v>5.97</v>
      </c>
      <c r="AB73" s="3">
        <v>5.97</v>
      </c>
      <c r="AC73" s="3">
        <v>5.97</v>
      </c>
      <c r="AD73" s="3">
        <v>5.97</v>
      </c>
      <c r="AE73" s="3">
        <v>5.97</v>
      </c>
      <c r="AF73" s="3">
        <v>5.97</v>
      </c>
      <c r="AG73" s="3">
        <v>5.97</v>
      </c>
      <c r="AH73" s="3">
        <v>5.97</v>
      </c>
      <c r="AI73" s="3">
        <v>5.97</v>
      </c>
      <c r="AJ73" s="3">
        <v>5.97</v>
      </c>
    </row>
    <row r="74" spans="1:36" ht="17.25" customHeight="1" x14ac:dyDescent="0.45">
      <c r="A74" s="34" t="s">
        <v>222</v>
      </c>
      <c r="B74" s="3" t="s">
        <v>123</v>
      </c>
      <c r="C74" s="3" t="s">
        <v>124</v>
      </c>
      <c r="D74" s="3" t="s">
        <v>392</v>
      </c>
      <c r="E74" s="3">
        <v>1.32</v>
      </c>
      <c r="F74" s="3" t="s">
        <v>409</v>
      </c>
      <c r="G74" s="3">
        <v>1.32</v>
      </c>
      <c r="H74" s="3">
        <v>1.32</v>
      </c>
      <c r="I74" s="3">
        <v>1.32</v>
      </c>
      <c r="J74" s="3">
        <v>1.32</v>
      </c>
      <c r="K74" s="3">
        <v>1.32</v>
      </c>
      <c r="L74" s="3">
        <v>1.32</v>
      </c>
      <c r="M74" s="3">
        <v>1.32</v>
      </c>
      <c r="N74" s="3">
        <v>1.32</v>
      </c>
      <c r="O74" s="3">
        <v>1.32</v>
      </c>
      <c r="P74" s="3">
        <v>1.32</v>
      </c>
      <c r="Q74" s="3">
        <v>1.32</v>
      </c>
      <c r="R74" s="3">
        <v>1.32</v>
      </c>
      <c r="S74" s="3">
        <v>1.32</v>
      </c>
      <c r="T74" s="3">
        <v>1.32</v>
      </c>
      <c r="U74" s="3">
        <v>1.32</v>
      </c>
      <c r="V74" s="3">
        <v>1.32</v>
      </c>
      <c r="W74" s="3">
        <v>1.32</v>
      </c>
      <c r="X74" s="3">
        <v>1.32</v>
      </c>
      <c r="Y74" s="3">
        <v>1.32</v>
      </c>
      <c r="Z74" s="3">
        <v>1.32</v>
      </c>
      <c r="AA74" s="3">
        <v>1.32</v>
      </c>
      <c r="AB74" s="3">
        <v>1.32</v>
      </c>
      <c r="AC74" s="3">
        <v>1.32</v>
      </c>
      <c r="AD74" s="3">
        <v>1.32</v>
      </c>
      <c r="AE74" s="3">
        <v>1.32</v>
      </c>
      <c r="AF74" s="3">
        <v>1.32</v>
      </c>
      <c r="AG74" s="3">
        <v>1.32</v>
      </c>
      <c r="AH74" s="3">
        <v>1.32</v>
      </c>
      <c r="AI74" s="3">
        <v>1.32</v>
      </c>
      <c r="AJ74" s="3">
        <v>1.32</v>
      </c>
    </row>
    <row r="75" spans="1:36" x14ac:dyDescent="0.45">
      <c r="A75" s="34"/>
      <c r="B75" s="3" t="s">
        <v>125</v>
      </c>
      <c r="C75" s="3" t="s">
        <v>126</v>
      </c>
      <c r="D75" s="3" t="s">
        <v>392</v>
      </c>
      <c r="E75" s="3">
        <v>5.13</v>
      </c>
      <c r="F75" s="3" t="s">
        <v>415</v>
      </c>
      <c r="G75" s="3">
        <v>5.13</v>
      </c>
      <c r="H75" s="3">
        <v>5.13</v>
      </c>
      <c r="I75" s="3">
        <v>5.13</v>
      </c>
      <c r="J75" s="3">
        <v>5.13</v>
      </c>
      <c r="K75" s="3">
        <v>5.13</v>
      </c>
      <c r="L75" s="3">
        <v>5.13</v>
      </c>
      <c r="M75" s="3">
        <v>5.13</v>
      </c>
      <c r="N75" s="3">
        <v>5.13</v>
      </c>
      <c r="O75" s="3">
        <v>5.13</v>
      </c>
      <c r="P75" s="3">
        <v>5.13</v>
      </c>
      <c r="Q75" s="3">
        <v>5.13</v>
      </c>
      <c r="R75" s="3">
        <v>5.13</v>
      </c>
      <c r="S75" s="3">
        <v>5.13</v>
      </c>
      <c r="T75" s="3">
        <v>5.13</v>
      </c>
      <c r="U75" s="3">
        <v>5.13</v>
      </c>
      <c r="V75" s="3">
        <v>5.13</v>
      </c>
      <c r="W75" s="3">
        <v>5.13</v>
      </c>
      <c r="X75" s="3">
        <v>5.13</v>
      </c>
      <c r="Y75" s="3">
        <v>5.13</v>
      </c>
      <c r="Z75" s="3">
        <v>5.13</v>
      </c>
      <c r="AA75" s="3">
        <v>5.13</v>
      </c>
      <c r="AB75" s="3">
        <v>5.13</v>
      </c>
      <c r="AC75" s="3">
        <v>5.13</v>
      </c>
      <c r="AD75" s="3">
        <v>5.13</v>
      </c>
      <c r="AE75" s="3">
        <v>5.13</v>
      </c>
      <c r="AF75" s="3">
        <v>5.13</v>
      </c>
      <c r="AG75" s="3">
        <v>5.13</v>
      </c>
      <c r="AH75" s="3">
        <v>5.13</v>
      </c>
      <c r="AI75" s="3">
        <v>5.13</v>
      </c>
      <c r="AJ75" s="3">
        <v>5.13</v>
      </c>
    </row>
    <row r="76" spans="1:36" ht="17.25" customHeight="1" x14ac:dyDescent="0.45">
      <c r="A76" s="34" t="s">
        <v>223</v>
      </c>
      <c r="B76" s="3" t="s">
        <v>127</v>
      </c>
      <c r="C76" s="3" t="s">
        <v>128</v>
      </c>
      <c r="D76" s="3" t="s">
        <v>392</v>
      </c>
      <c r="E76" s="3">
        <v>1.43</v>
      </c>
      <c r="F76" s="3" t="s">
        <v>409</v>
      </c>
      <c r="G76" s="3">
        <v>1.43</v>
      </c>
      <c r="H76" s="3">
        <v>1.43</v>
      </c>
      <c r="I76" s="3">
        <v>1.43</v>
      </c>
      <c r="J76" s="3">
        <v>1.43</v>
      </c>
      <c r="K76" s="3">
        <v>1.43</v>
      </c>
      <c r="L76" s="3">
        <v>1.43</v>
      </c>
      <c r="M76" s="3">
        <v>1.43</v>
      </c>
      <c r="N76" s="3">
        <v>1.43</v>
      </c>
      <c r="O76" s="3">
        <v>1.43</v>
      </c>
      <c r="P76" s="3">
        <v>1.43</v>
      </c>
      <c r="Q76" s="3">
        <v>1.43</v>
      </c>
      <c r="R76" s="3">
        <v>1.43</v>
      </c>
      <c r="S76" s="3">
        <v>1.43</v>
      </c>
      <c r="T76" s="3">
        <v>1.43</v>
      </c>
      <c r="U76" s="3">
        <v>1.43</v>
      </c>
      <c r="V76" s="3">
        <v>1.43</v>
      </c>
      <c r="W76" s="3">
        <v>1.43</v>
      </c>
      <c r="X76" s="3">
        <v>1.43</v>
      </c>
      <c r="Y76" s="3">
        <v>1.43</v>
      </c>
      <c r="Z76" s="3">
        <v>1.43</v>
      </c>
      <c r="AA76" s="3">
        <v>1.43</v>
      </c>
      <c r="AB76" s="3">
        <v>1.43</v>
      </c>
      <c r="AC76" s="3">
        <v>1.43</v>
      </c>
      <c r="AD76" s="3">
        <v>1.43</v>
      </c>
      <c r="AE76" s="3">
        <v>1.43</v>
      </c>
      <c r="AF76" s="3">
        <v>1.43</v>
      </c>
      <c r="AG76" s="3">
        <v>1.43</v>
      </c>
      <c r="AH76" s="3">
        <v>1.43</v>
      </c>
      <c r="AI76" s="3">
        <v>1.43</v>
      </c>
      <c r="AJ76" s="3">
        <v>1.43</v>
      </c>
    </row>
    <row r="77" spans="1:36" x14ac:dyDescent="0.45">
      <c r="A77" s="34"/>
      <c r="B77" s="3" t="s">
        <v>129</v>
      </c>
      <c r="C77" s="3" t="s">
        <v>130</v>
      </c>
      <c r="D77" s="3" t="s">
        <v>392</v>
      </c>
      <c r="E77" s="3">
        <v>1.43</v>
      </c>
      <c r="F77" s="3" t="s">
        <v>409</v>
      </c>
      <c r="G77" s="3">
        <v>1.43</v>
      </c>
      <c r="H77" s="3">
        <v>1.43</v>
      </c>
      <c r="I77" s="3">
        <v>1.43</v>
      </c>
      <c r="J77" s="3">
        <v>1.43</v>
      </c>
      <c r="K77" s="3">
        <v>1.43</v>
      </c>
      <c r="L77" s="3">
        <v>1.43</v>
      </c>
      <c r="M77" s="3">
        <v>1.43</v>
      </c>
      <c r="N77" s="3">
        <v>1.43</v>
      </c>
      <c r="O77" s="3">
        <v>1.43</v>
      </c>
      <c r="P77" s="3">
        <v>1.43</v>
      </c>
      <c r="Q77" s="3">
        <v>1.43</v>
      </c>
      <c r="R77" s="3">
        <v>1.43</v>
      </c>
      <c r="S77" s="3">
        <v>1.43</v>
      </c>
      <c r="T77" s="3">
        <v>1.43</v>
      </c>
      <c r="U77" s="3">
        <v>1.43</v>
      </c>
      <c r="V77" s="3">
        <v>1.43</v>
      </c>
      <c r="W77" s="3">
        <v>1.43</v>
      </c>
      <c r="X77" s="3">
        <v>1.43</v>
      </c>
      <c r="Y77" s="3">
        <v>1.43</v>
      </c>
      <c r="Z77" s="3">
        <v>1.43</v>
      </c>
      <c r="AA77" s="3">
        <v>1.43</v>
      </c>
      <c r="AB77" s="3">
        <v>1.43</v>
      </c>
      <c r="AC77" s="3">
        <v>1.43</v>
      </c>
      <c r="AD77" s="3">
        <v>1.43</v>
      </c>
      <c r="AE77" s="3">
        <v>1.43</v>
      </c>
      <c r="AF77" s="3">
        <v>1.43</v>
      </c>
      <c r="AG77" s="3">
        <v>1.43</v>
      </c>
      <c r="AH77" s="3">
        <v>1.43</v>
      </c>
      <c r="AI77" s="3">
        <v>1.43</v>
      </c>
      <c r="AJ77" s="3">
        <v>1.43</v>
      </c>
    </row>
    <row r="78" spans="1:36" x14ac:dyDescent="0.45">
      <c r="A78" s="34"/>
      <c r="B78" s="3" t="s">
        <v>131</v>
      </c>
      <c r="C78" s="3" t="s">
        <v>132</v>
      </c>
      <c r="D78" s="3" t="s">
        <v>392</v>
      </c>
      <c r="E78" s="3">
        <v>1.32</v>
      </c>
      <c r="F78" s="3" t="s">
        <v>409</v>
      </c>
      <c r="G78" s="3">
        <v>1.32</v>
      </c>
      <c r="H78" s="3">
        <v>1.32</v>
      </c>
      <c r="I78" s="3">
        <v>1.32</v>
      </c>
      <c r="J78" s="3">
        <v>1.32</v>
      </c>
      <c r="K78" s="3">
        <v>1.32</v>
      </c>
      <c r="L78" s="3">
        <v>1.32</v>
      </c>
      <c r="M78" s="3">
        <v>1.32</v>
      </c>
      <c r="N78" s="3">
        <v>1.32</v>
      </c>
      <c r="O78" s="3">
        <v>1.32</v>
      </c>
      <c r="P78" s="3">
        <v>1.32</v>
      </c>
      <c r="Q78" s="3">
        <v>1.32</v>
      </c>
      <c r="R78" s="3">
        <v>1.32</v>
      </c>
      <c r="S78" s="3">
        <v>1.32</v>
      </c>
      <c r="T78" s="3">
        <v>1.32</v>
      </c>
      <c r="U78" s="3">
        <v>1.32</v>
      </c>
      <c r="V78" s="3">
        <v>1.32</v>
      </c>
      <c r="W78" s="3">
        <v>1.32</v>
      </c>
      <c r="X78" s="3">
        <v>1.32</v>
      </c>
      <c r="Y78" s="3">
        <v>1.32</v>
      </c>
      <c r="Z78" s="3">
        <v>1.32</v>
      </c>
      <c r="AA78" s="3">
        <v>1.32</v>
      </c>
      <c r="AB78" s="3">
        <v>1.32</v>
      </c>
      <c r="AC78" s="3">
        <v>1.32</v>
      </c>
      <c r="AD78" s="3">
        <v>1.32</v>
      </c>
      <c r="AE78" s="3">
        <v>1.32</v>
      </c>
      <c r="AF78" s="3">
        <v>1.32</v>
      </c>
      <c r="AG78" s="3">
        <v>1.32</v>
      </c>
      <c r="AH78" s="3">
        <v>1.32</v>
      </c>
      <c r="AI78" s="3">
        <v>1.32</v>
      </c>
      <c r="AJ78" s="3">
        <v>1.32</v>
      </c>
    </row>
    <row r="79" spans="1:36" x14ac:dyDescent="0.45">
      <c r="A79" s="34"/>
      <c r="B79" s="3" t="s">
        <v>133</v>
      </c>
      <c r="C79" s="3" t="s">
        <v>134</v>
      </c>
      <c r="D79" s="3" t="s">
        <v>392</v>
      </c>
      <c r="E79" s="3">
        <v>1.21</v>
      </c>
      <c r="F79" s="3" t="s">
        <v>409</v>
      </c>
      <c r="G79" s="3">
        <v>1.21</v>
      </c>
      <c r="H79" s="3">
        <v>1.21</v>
      </c>
      <c r="I79" s="3">
        <v>1.21</v>
      </c>
      <c r="J79" s="3">
        <v>1.21</v>
      </c>
      <c r="K79" s="3">
        <v>1.21</v>
      </c>
      <c r="L79" s="3">
        <v>1.21</v>
      </c>
      <c r="M79" s="3">
        <v>1.21</v>
      </c>
      <c r="N79" s="3">
        <v>1.21</v>
      </c>
      <c r="O79" s="3">
        <v>1.21</v>
      </c>
      <c r="P79" s="3">
        <v>1.21</v>
      </c>
      <c r="Q79" s="3">
        <v>1.21</v>
      </c>
      <c r="R79" s="3">
        <v>1.21</v>
      </c>
      <c r="S79" s="3">
        <v>1.21</v>
      </c>
      <c r="T79" s="3">
        <v>1.21</v>
      </c>
      <c r="U79" s="3">
        <v>1.21</v>
      </c>
      <c r="V79" s="3">
        <v>1.21</v>
      </c>
      <c r="W79" s="3">
        <v>1.21</v>
      </c>
      <c r="X79" s="3">
        <v>1.21</v>
      </c>
      <c r="Y79" s="3">
        <v>1.21</v>
      </c>
      <c r="Z79" s="3">
        <v>1.21</v>
      </c>
      <c r="AA79" s="3">
        <v>1.21</v>
      </c>
      <c r="AB79" s="3">
        <v>1.21</v>
      </c>
      <c r="AC79" s="3">
        <v>1.21</v>
      </c>
      <c r="AD79" s="3">
        <v>1.21</v>
      </c>
      <c r="AE79" s="3">
        <v>1.21</v>
      </c>
      <c r="AF79" s="3">
        <v>1.21</v>
      </c>
      <c r="AG79" s="3">
        <v>1.21</v>
      </c>
      <c r="AH79" s="3">
        <v>1.21</v>
      </c>
      <c r="AI79" s="3">
        <v>1.21</v>
      </c>
      <c r="AJ79" s="3">
        <v>1.21</v>
      </c>
    </row>
    <row r="80" spans="1:36" x14ac:dyDescent="0.45">
      <c r="A80" s="34"/>
      <c r="B80" s="3" t="s">
        <v>135</v>
      </c>
      <c r="C80" s="3" t="s">
        <v>136</v>
      </c>
      <c r="D80" s="3" t="s">
        <v>392</v>
      </c>
      <c r="E80" s="3">
        <v>5.97</v>
      </c>
      <c r="F80" s="3" t="s">
        <v>415</v>
      </c>
      <c r="G80" s="3">
        <v>5.97</v>
      </c>
      <c r="H80" s="3">
        <v>5.97</v>
      </c>
      <c r="I80" s="3">
        <v>5.97</v>
      </c>
      <c r="J80" s="3">
        <v>5.97</v>
      </c>
      <c r="K80" s="3">
        <v>5.97</v>
      </c>
      <c r="L80" s="3">
        <v>5.97</v>
      </c>
      <c r="M80" s="3">
        <v>5.97</v>
      </c>
      <c r="N80" s="3">
        <v>5.97</v>
      </c>
      <c r="O80" s="3">
        <v>5.97</v>
      </c>
      <c r="P80" s="3">
        <v>5.97</v>
      </c>
      <c r="Q80" s="3">
        <v>5.97</v>
      </c>
      <c r="R80" s="3">
        <v>5.97</v>
      </c>
      <c r="S80" s="3">
        <v>5.97</v>
      </c>
      <c r="T80" s="3">
        <v>5.97</v>
      </c>
      <c r="U80" s="3">
        <v>5.97</v>
      </c>
      <c r="V80" s="3">
        <v>5.97</v>
      </c>
      <c r="W80" s="3">
        <v>5.97</v>
      </c>
      <c r="X80" s="3">
        <v>5.97</v>
      </c>
      <c r="Y80" s="3">
        <v>5.97</v>
      </c>
      <c r="Z80" s="3">
        <v>5.97</v>
      </c>
      <c r="AA80" s="3">
        <v>5.97</v>
      </c>
      <c r="AB80" s="3">
        <v>5.97</v>
      </c>
      <c r="AC80" s="3">
        <v>5.97</v>
      </c>
      <c r="AD80" s="3">
        <v>5.97</v>
      </c>
      <c r="AE80" s="3">
        <v>5.97</v>
      </c>
      <c r="AF80" s="3">
        <v>5.97</v>
      </c>
      <c r="AG80" s="3">
        <v>5.97</v>
      </c>
      <c r="AH80" s="3">
        <v>5.97</v>
      </c>
      <c r="AI80" s="3">
        <v>5.97</v>
      </c>
      <c r="AJ80" s="3">
        <v>5.97</v>
      </c>
    </row>
    <row r="81" spans="1:36" ht="17.25" customHeight="1" x14ac:dyDescent="0.45">
      <c r="A81" s="34" t="s">
        <v>224</v>
      </c>
      <c r="B81" s="3" t="s">
        <v>137</v>
      </c>
      <c r="C81" s="3" t="s">
        <v>138</v>
      </c>
      <c r="D81" s="3" t="s">
        <v>392</v>
      </c>
      <c r="E81" s="3">
        <v>1.43</v>
      </c>
      <c r="F81" s="3" t="s">
        <v>409</v>
      </c>
      <c r="G81" s="3">
        <v>1.43</v>
      </c>
      <c r="H81" s="3">
        <v>1.43</v>
      </c>
      <c r="I81" s="3">
        <v>1.43</v>
      </c>
      <c r="J81" s="3">
        <v>1.43</v>
      </c>
      <c r="K81" s="3">
        <v>1.43</v>
      </c>
      <c r="L81" s="3">
        <v>1.43</v>
      </c>
      <c r="M81" s="3">
        <v>1.43</v>
      </c>
      <c r="N81" s="3">
        <v>1.43</v>
      </c>
      <c r="O81" s="3">
        <v>1.43</v>
      </c>
      <c r="P81" s="3">
        <v>1.43</v>
      </c>
      <c r="Q81" s="3">
        <v>1.43</v>
      </c>
      <c r="R81" s="3">
        <v>1.43</v>
      </c>
      <c r="S81" s="3">
        <v>1.43</v>
      </c>
      <c r="T81" s="3">
        <v>1.43</v>
      </c>
      <c r="U81" s="3">
        <v>1.43</v>
      </c>
      <c r="V81" s="3">
        <v>1.43</v>
      </c>
      <c r="W81" s="3">
        <v>1.43</v>
      </c>
      <c r="X81" s="3">
        <v>1.43</v>
      </c>
      <c r="Y81" s="3">
        <v>1.43</v>
      </c>
      <c r="Z81" s="3">
        <v>1.43</v>
      </c>
      <c r="AA81" s="3">
        <v>1.43</v>
      </c>
      <c r="AB81" s="3">
        <v>1.43</v>
      </c>
      <c r="AC81" s="3">
        <v>1.43</v>
      </c>
      <c r="AD81" s="3">
        <v>1.43</v>
      </c>
      <c r="AE81" s="3">
        <v>1.43</v>
      </c>
      <c r="AF81" s="3">
        <v>1.43</v>
      </c>
      <c r="AG81" s="3">
        <v>1.43</v>
      </c>
      <c r="AH81" s="3">
        <v>1.43</v>
      </c>
      <c r="AI81" s="3">
        <v>1.43</v>
      </c>
      <c r="AJ81" s="3">
        <v>1.43</v>
      </c>
    </row>
    <row r="82" spans="1:36" x14ac:dyDescent="0.45">
      <c r="A82" s="34"/>
      <c r="B82" s="3" t="s">
        <v>139</v>
      </c>
      <c r="C82" s="3" t="s">
        <v>140</v>
      </c>
      <c r="D82" s="3" t="s">
        <v>392</v>
      </c>
      <c r="E82" s="3">
        <v>1.32</v>
      </c>
      <c r="F82" s="3" t="s">
        <v>409</v>
      </c>
      <c r="G82" s="3">
        <v>1.32</v>
      </c>
      <c r="H82" s="3">
        <v>1.32</v>
      </c>
      <c r="I82" s="3">
        <v>1.32</v>
      </c>
      <c r="J82" s="3">
        <v>1.32</v>
      </c>
      <c r="K82" s="3">
        <v>1.32</v>
      </c>
      <c r="L82" s="3">
        <v>1.32</v>
      </c>
      <c r="M82" s="3">
        <v>1.32</v>
      </c>
      <c r="N82" s="3">
        <v>1.32</v>
      </c>
      <c r="O82" s="3">
        <v>1.32</v>
      </c>
      <c r="P82" s="3">
        <v>1.32</v>
      </c>
      <c r="Q82" s="3">
        <v>1.32</v>
      </c>
      <c r="R82" s="3">
        <v>1.32</v>
      </c>
      <c r="S82" s="3">
        <v>1.32</v>
      </c>
      <c r="T82" s="3">
        <v>1.32</v>
      </c>
      <c r="U82" s="3">
        <v>1.32</v>
      </c>
      <c r="V82" s="3">
        <v>1.32</v>
      </c>
      <c r="W82" s="3">
        <v>1.32</v>
      </c>
      <c r="X82" s="3">
        <v>1.32</v>
      </c>
      <c r="Y82" s="3">
        <v>1.32</v>
      </c>
      <c r="Z82" s="3">
        <v>1.32</v>
      </c>
      <c r="AA82" s="3">
        <v>1.32</v>
      </c>
      <c r="AB82" s="3">
        <v>1.32</v>
      </c>
      <c r="AC82" s="3">
        <v>1.32</v>
      </c>
      <c r="AD82" s="3">
        <v>1.32</v>
      </c>
      <c r="AE82" s="3">
        <v>1.32</v>
      </c>
      <c r="AF82" s="3">
        <v>1.32</v>
      </c>
      <c r="AG82" s="3">
        <v>1.32</v>
      </c>
      <c r="AH82" s="3">
        <v>1.32</v>
      </c>
      <c r="AI82" s="3">
        <v>1.32</v>
      </c>
      <c r="AJ82" s="3">
        <v>1.32</v>
      </c>
    </row>
    <row r="83" spans="1:36" x14ac:dyDescent="0.45">
      <c r="A83" s="34"/>
      <c r="B83" s="3" t="s">
        <v>141</v>
      </c>
      <c r="C83" s="3" t="s">
        <v>142</v>
      </c>
      <c r="D83" s="3" t="s">
        <v>392</v>
      </c>
      <c r="E83" s="3">
        <v>1.21</v>
      </c>
      <c r="F83" s="3" t="s">
        <v>409</v>
      </c>
      <c r="G83" s="3">
        <v>1.21</v>
      </c>
      <c r="H83" s="3">
        <v>1.21</v>
      </c>
      <c r="I83" s="3">
        <v>1.21</v>
      </c>
      <c r="J83" s="3">
        <v>1.21</v>
      </c>
      <c r="K83" s="3">
        <v>1.21</v>
      </c>
      <c r="L83" s="3">
        <v>1.21</v>
      </c>
      <c r="M83" s="3">
        <v>1.21</v>
      </c>
      <c r="N83" s="3">
        <v>1.21</v>
      </c>
      <c r="O83" s="3">
        <v>1.21</v>
      </c>
      <c r="P83" s="3">
        <v>1.21</v>
      </c>
      <c r="Q83" s="3">
        <v>1.21</v>
      </c>
      <c r="R83" s="3">
        <v>1.21</v>
      </c>
      <c r="S83" s="3">
        <v>1.21</v>
      </c>
      <c r="T83" s="3">
        <v>1.21</v>
      </c>
      <c r="U83" s="3">
        <v>1.21</v>
      </c>
      <c r="V83" s="3">
        <v>1.21</v>
      </c>
      <c r="W83" s="3">
        <v>1.21</v>
      </c>
      <c r="X83" s="3">
        <v>1.21</v>
      </c>
      <c r="Y83" s="3">
        <v>1.21</v>
      </c>
      <c r="Z83" s="3">
        <v>1.21</v>
      </c>
      <c r="AA83" s="3">
        <v>1.21</v>
      </c>
      <c r="AB83" s="3">
        <v>1.21</v>
      </c>
      <c r="AC83" s="3">
        <v>1.21</v>
      </c>
      <c r="AD83" s="3">
        <v>1.21</v>
      </c>
      <c r="AE83" s="3">
        <v>1.21</v>
      </c>
      <c r="AF83" s="3">
        <v>1.21</v>
      </c>
      <c r="AG83" s="3">
        <v>1.21</v>
      </c>
      <c r="AH83" s="3">
        <v>1.21</v>
      </c>
      <c r="AI83" s="3">
        <v>1.21</v>
      </c>
      <c r="AJ83" s="3">
        <v>1.21</v>
      </c>
    </row>
    <row r="84" spans="1:36" x14ac:dyDescent="0.45">
      <c r="A84" s="34"/>
      <c r="B84" s="3" t="s">
        <v>143</v>
      </c>
      <c r="C84" s="3" t="s">
        <v>144</v>
      </c>
      <c r="D84" s="3" t="s">
        <v>392</v>
      </c>
      <c r="E84" s="3">
        <v>5.97</v>
      </c>
      <c r="F84" s="3" t="s">
        <v>415</v>
      </c>
      <c r="G84" s="3">
        <v>5.97</v>
      </c>
      <c r="H84" s="3">
        <v>5.97</v>
      </c>
      <c r="I84" s="3">
        <v>5.97</v>
      </c>
      <c r="J84" s="3">
        <v>5.97</v>
      </c>
      <c r="K84" s="3">
        <v>5.97</v>
      </c>
      <c r="L84" s="3">
        <v>5.97</v>
      </c>
      <c r="M84" s="3">
        <v>5.97</v>
      </c>
      <c r="N84" s="3">
        <v>5.97</v>
      </c>
      <c r="O84" s="3">
        <v>5.97</v>
      </c>
      <c r="P84" s="3">
        <v>5.97</v>
      </c>
      <c r="Q84" s="3">
        <v>5.97</v>
      </c>
      <c r="R84" s="3">
        <v>5.97</v>
      </c>
      <c r="S84" s="3">
        <v>5.97</v>
      </c>
      <c r="T84" s="3">
        <v>5.97</v>
      </c>
      <c r="U84" s="3">
        <v>5.97</v>
      </c>
      <c r="V84" s="3">
        <v>5.97</v>
      </c>
      <c r="W84" s="3">
        <v>5.97</v>
      </c>
      <c r="X84" s="3">
        <v>5.97</v>
      </c>
      <c r="Y84" s="3">
        <v>5.97</v>
      </c>
      <c r="Z84" s="3">
        <v>5.97</v>
      </c>
      <c r="AA84" s="3">
        <v>5.97</v>
      </c>
      <c r="AB84" s="3">
        <v>5.97</v>
      </c>
      <c r="AC84" s="3">
        <v>5.97</v>
      </c>
      <c r="AD84" s="3">
        <v>5.97</v>
      </c>
      <c r="AE84" s="3">
        <v>5.97</v>
      </c>
      <c r="AF84" s="3">
        <v>5.97</v>
      </c>
      <c r="AG84" s="3">
        <v>5.97</v>
      </c>
      <c r="AH84" s="3">
        <v>5.97</v>
      </c>
      <c r="AI84" s="3">
        <v>5.97</v>
      </c>
      <c r="AJ84" s="3">
        <v>5.97</v>
      </c>
    </row>
    <row r="85" spans="1:36" ht="17.25" customHeight="1" x14ac:dyDescent="0.45">
      <c r="A85" s="34" t="s">
        <v>225</v>
      </c>
      <c r="B85" s="3" t="s">
        <v>145</v>
      </c>
      <c r="C85" s="3" t="s">
        <v>146</v>
      </c>
      <c r="D85" s="3" t="s">
        <v>392</v>
      </c>
      <c r="E85" s="3">
        <v>0</v>
      </c>
      <c r="F85" s="3" t="s">
        <v>366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</row>
    <row r="86" spans="1:36" x14ac:dyDescent="0.45">
      <c r="A86" s="34"/>
      <c r="B86" s="3" t="s">
        <v>147</v>
      </c>
      <c r="C86" s="3" t="s">
        <v>148</v>
      </c>
      <c r="D86" s="3" t="s">
        <v>392</v>
      </c>
      <c r="E86" s="3">
        <v>0</v>
      </c>
      <c r="F86" s="3" t="s">
        <v>366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</row>
    <row r="87" spans="1:36" x14ac:dyDescent="0.45">
      <c r="A87" s="34"/>
      <c r="B87" s="3" t="s">
        <v>149</v>
      </c>
      <c r="C87" s="3" t="s">
        <v>150</v>
      </c>
      <c r="D87" s="3" t="s">
        <v>392</v>
      </c>
      <c r="E87" s="3">
        <v>0</v>
      </c>
      <c r="F87" s="3" t="s">
        <v>366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</row>
    <row r="88" spans="1:36" x14ac:dyDescent="0.45">
      <c r="A88" s="34"/>
      <c r="B88" s="3" t="s">
        <v>151</v>
      </c>
      <c r="C88" s="3" t="s">
        <v>152</v>
      </c>
      <c r="D88" s="3" t="s">
        <v>392</v>
      </c>
      <c r="E88" s="3">
        <v>0</v>
      </c>
      <c r="F88" s="3" t="s">
        <v>366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</row>
    <row r="89" spans="1:36" x14ac:dyDescent="0.45">
      <c r="A89" s="34" t="s">
        <v>226</v>
      </c>
      <c r="B89" s="3" t="s">
        <v>153</v>
      </c>
      <c r="C89" s="3" t="s">
        <v>154</v>
      </c>
      <c r="D89" s="3" t="s">
        <v>392</v>
      </c>
      <c r="E89" s="3">
        <v>0</v>
      </c>
      <c r="F89" s="3" t="s">
        <v>366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</row>
    <row r="90" spans="1:36" x14ac:dyDescent="0.45">
      <c r="A90" s="34"/>
      <c r="B90" s="3" t="s">
        <v>155</v>
      </c>
      <c r="C90" s="3" t="s">
        <v>156</v>
      </c>
      <c r="D90" s="3" t="s">
        <v>392</v>
      </c>
      <c r="E90" s="3">
        <v>0</v>
      </c>
      <c r="F90" s="3" t="s">
        <v>366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</row>
    <row r="91" spans="1:36" x14ac:dyDescent="0.45">
      <c r="A91" s="34" t="s">
        <v>227</v>
      </c>
      <c r="B91" s="3" t="s">
        <v>157</v>
      </c>
      <c r="C91" s="3" t="s">
        <v>158</v>
      </c>
      <c r="D91" s="3" t="s">
        <v>392</v>
      </c>
      <c r="E91" s="3">
        <v>0</v>
      </c>
      <c r="F91" s="3" t="s">
        <v>366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</row>
    <row r="92" spans="1:36" x14ac:dyDescent="0.45">
      <c r="A92" s="34"/>
      <c r="B92" s="3" t="s">
        <v>159</v>
      </c>
      <c r="C92" s="3" t="s">
        <v>160</v>
      </c>
      <c r="D92" s="3" t="s">
        <v>392</v>
      </c>
      <c r="E92" s="3">
        <v>0</v>
      </c>
      <c r="F92" s="3" t="s">
        <v>366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</row>
    <row r="93" spans="1:36" x14ac:dyDescent="0.45">
      <c r="A93" s="34" t="s">
        <v>228</v>
      </c>
      <c r="B93" s="3" t="s">
        <v>161</v>
      </c>
      <c r="C93" s="3" t="s">
        <v>162</v>
      </c>
      <c r="D93" s="3" t="s">
        <v>392</v>
      </c>
      <c r="E93" s="3">
        <v>0</v>
      </c>
      <c r="F93" s="3" t="s">
        <v>366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</row>
    <row r="94" spans="1:36" x14ac:dyDescent="0.45">
      <c r="A94" s="34"/>
      <c r="B94" s="3" t="s">
        <v>163</v>
      </c>
      <c r="C94" s="3" t="s">
        <v>164</v>
      </c>
      <c r="D94" s="3" t="s">
        <v>392</v>
      </c>
      <c r="E94" s="3">
        <v>0</v>
      </c>
      <c r="F94" s="3" t="s">
        <v>366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</row>
    <row r="95" spans="1:36" x14ac:dyDescent="0.45">
      <c r="A95" s="34" t="s">
        <v>229</v>
      </c>
      <c r="B95" s="3" t="s">
        <v>165</v>
      </c>
      <c r="C95" s="3" t="s">
        <v>166</v>
      </c>
      <c r="D95" s="3" t="s">
        <v>392</v>
      </c>
      <c r="E95" s="3">
        <v>0</v>
      </c>
      <c r="F95" s="3" t="s">
        <v>366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</row>
    <row r="96" spans="1:36" x14ac:dyDescent="0.45">
      <c r="A96" s="34"/>
      <c r="B96" s="3" t="s">
        <v>167</v>
      </c>
      <c r="C96" s="3" t="s">
        <v>168</v>
      </c>
      <c r="D96" s="3" t="s">
        <v>392</v>
      </c>
      <c r="E96" s="3">
        <v>0</v>
      </c>
      <c r="F96" s="3" t="s">
        <v>366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</row>
    <row r="97" spans="1:36" x14ac:dyDescent="0.45">
      <c r="A97" s="34" t="s">
        <v>230</v>
      </c>
      <c r="B97" s="3" t="s">
        <v>169</v>
      </c>
      <c r="C97" s="3" t="s">
        <v>170</v>
      </c>
      <c r="D97" s="3" t="s">
        <v>392</v>
      </c>
      <c r="E97" s="3">
        <v>0</v>
      </c>
      <c r="F97" s="3" t="s">
        <v>366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</row>
    <row r="98" spans="1:36" x14ac:dyDescent="0.45">
      <c r="A98" s="34"/>
      <c r="B98" s="3" t="s">
        <v>171</v>
      </c>
      <c r="C98" s="3" t="s">
        <v>172</v>
      </c>
      <c r="D98" s="3" t="s">
        <v>392</v>
      </c>
      <c r="E98" s="3">
        <v>0</v>
      </c>
      <c r="F98" s="3" t="s">
        <v>366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</row>
    <row r="99" spans="1:36" x14ac:dyDescent="0.45">
      <c r="A99" s="34" t="s">
        <v>231</v>
      </c>
      <c r="B99" s="3" t="s">
        <v>173</v>
      </c>
      <c r="C99" s="3" t="s">
        <v>174</v>
      </c>
      <c r="D99" s="3" t="s">
        <v>392</v>
      </c>
      <c r="E99" s="3">
        <v>0</v>
      </c>
      <c r="F99" s="3" t="s">
        <v>366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</row>
    <row r="100" spans="1:36" x14ac:dyDescent="0.45">
      <c r="A100" s="34"/>
      <c r="B100" s="3" t="s">
        <v>175</v>
      </c>
      <c r="C100" s="3" t="s">
        <v>176</v>
      </c>
      <c r="D100" s="3" t="s">
        <v>392</v>
      </c>
      <c r="E100" s="3">
        <v>0</v>
      </c>
      <c r="F100" s="3" t="s">
        <v>366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</row>
    <row r="101" spans="1:36" x14ac:dyDescent="0.45">
      <c r="A101" s="34" t="s">
        <v>232</v>
      </c>
      <c r="B101" s="3" t="s">
        <v>177</v>
      </c>
      <c r="C101" s="3" t="s">
        <v>547</v>
      </c>
      <c r="D101" s="3" t="s">
        <v>392</v>
      </c>
      <c r="E101" s="3">
        <v>0</v>
      </c>
      <c r="F101" s="3" t="s">
        <v>366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</row>
    <row r="102" spans="1:36" x14ac:dyDescent="0.45">
      <c r="A102" s="34"/>
      <c r="B102" s="3" t="s">
        <v>179</v>
      </c>
      <c r="C102" s="3" t="s">
        <v>548</v>
      </c>
      <c r="D102" s="3" t="s">
        <v>392</v>
      </c>
      <c r="E102" s="3">
        <v>0</v>
      </c>
      <c r="F102" s="3" t="s">
        <v>366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</row>
    <row r="103" spans="1:36" ht="35" x14ac:dyDescent="0.45">
      <c r="A103" s="4" t="s">
        <v>233</v>
      </c>
      <c r="B103" s="3" t="s">
        <v>381</v>
      </c>
      <c r="C103" s="3" t="s">
        <v>181</v>
      </c>
      <c r="D103" s="3" t="s">
        <v>392</v>
      </c>
      <c r="E103" s="3">
        <v>0</v>
      </c>
      <c r="F103" s="3" t="s">
        <v>366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</row>
    <row r="104" spans="1:36" ht="35" x14ac:dyDescent="0.45">
      <c r="A104" s="34" t="s">
        <v>297</v>
      </c>
      <c r="B104" s="3" t="s">
        <v>280</v>
      </c>
      <c r="C104" s="3" t="s">
        <v>325</v>
      </c>
      <c r="D104" s="4" t="s">
        <v>416</v>
      </c>
      <c r="E104" s="21">
        <v>1.7955963636363637E-2</v>
      </c>
      <c r="F104" s="3" t="s">
        <v>429</v>
      </c>
      <c r="G104" s="20">
        <f>$E$104</f>
        <v>1.7955963636363637E-2</v>
      </c>
      <c r="H104" s="20">
        <f t="shared" ref="H104:AJ104" si="22">$E$104</f>
        <v>1.7955963636363637E-2</v>
      </c>
      <c r="I104" s="20">
        <f t="shared" si="22"/>
        <v>1.7955963636363637E-2</v>
      </c>
      <c r="J104" s="20">
        <f t="shared" si="22"/>
        <v>1.7955963636363637E-2</v>
      </c>
      <c r="K104" s="20">
        <f t="shared" si="22"/>
        <v>1.7955963636363637E-2</v>
      </c>
      <c r="L104" s="20">
        <f t="shared" si="22"/>
        <v>1.7955963636363637E-2</v>
      </c>
      <c r="M104" s="20">
        <f t="shared" si="22"/>
        <v>1.7955963636363637E-2</v>
      </c>
      <c r="N104" s="20">
        <f t="shared" si="22"/>
        <v>1.7955963636363637E-2</v>
      </c>
      <c r="O104" s="20">
        <f t="shared" si="22"/>
        <v>1.7955963636363637E-2</v>
      </c>
      <c r="P104" s="20">
        <f t="shared" si="22"/>
        <v>1.7955963636363637E-2</v>
      </c>
      <c r="Q104" s="20">
        <f t="shared" si="22"/>
        <v>1.7955963636363637E-2</v>
      </c>
      <c r="R104" s="20">
        <f t="shared" si="22"/>
        <v>1.7955963636363637E-2</v>
      </c>
      <c r="S104" s="20">
        <f t="shared" si="22"/>
        <v>1.7955963636363637E-2</v>
      </c>
      <c r="T104" s="20">
        <f t="shared" si="22"/>
        <v>1.7955963636363637E-2</v>
      </c>
      <c r="U104" s="20">
        <f t="shared" si="22"/>
        <v>1.7955963636363637E-2</v>
      </c>
      <c r="V104" s="20">
        <f t="shared" si="22"/>
        <v>1.7955963636363637E-2</v>
      </c>
      <c r="W104" s="20">
        <f t="shared" si="22"/>
        <v>1.7955963636363637E-2</v>
      </c>
      <c r="X104" s="20">
        <f t="shared" si="22"/>
        <v>1.7955963636363637E-2</v>
      </c>
      <c r="Y104" s="20">
        <f t="shared" si="22"/>
        <v>1.7955963636363637E-2</v>
      </c>
      <c r="Z104" s="20">
        <f t="shared" si="22"/>
        <v>1.7955963636363637E-2</v>
      </c>
      <c r="AA104" s="20">
        <f t="shared" si="22"/>
        <v>1.7955963636363637E-2</v>
      </c>
      <c r="AB104" s="20">
        <f t="shared" si="22"/>
        <v>1.7955963636363637E-2</v>
      </c>
      <c r="AC104" s="20">
        <f t="shared" si="22"/>
        <v>1.7955963636363637E-2</v>
      </c>
      <c r="AD104" s="20">
        <f t="shared" si="22"/>
        <v>1.7955963636363637E-2</v>
      </c>
      <c r="AE104" s="20">
        <f t="shared" si="22"/>
        <v>1.7955963636363637E-2</v>
      </c>
      <c r="AF104" s="20">
        <f t="shared" si="22"/>
        <v>1.7955963636363637E-2</v>
      </c>
      <c r="AG104" s="20">
        <f t="shared" si="22"/>
        <v>1.7955963636363637E-2</v>
      </c>
      <c r="AH104" s="20">
        <f t="shared" si="22"/>
        <v>1.7955963636363637E-2</v>
      </c>
      <c r="AI104" s="20">
        <f t="shared" si="22"/>
        <v>1.7955963636363637E-2</v>
      </c>
      <c r="AJ104" s="20">
        <f t="shared" si="22"/>
        <v>1.7955963636363637E-2</v>
      </c>
    </row>
    <row r="105" spans="1:36" ht="35" x14ac:dyDescent="0.45">
      <c r="A105" s="34"/>
      <c r="B105" s="3" t="s">
        <v>281</v>
      </c>
      <c r="C105" s="3" t="s">
        <v>326</v>
      </c>
      <c r="D105" s="4" t="s">
        <v>416</v>
      </c>
      <c r="E105" s="21">
        <v>1.9057016666666669E-2</v>
      </c>
      <c r="F105" s="3" t="s">
        <v>429</v>
      </c>
      <c r="G105" s="20">
        <f>$E$105</f>
        <v>1.9057016666666669E-2</v>
      </c>
      <c r="H105" s="20">
        <f t="shared" ref="H105:AJ105" si="23">$E$105</f>
        <v>1.9057016666666669E-2</v>
      </c>
      <c r="I105" s="20">
        <f t="shared" si="23"/>
        <v>1.9057016666666669E-2</v>
      </c>
      <c r="J105" s="20">
        <f t="shared" si="23"/>
        <v>1.9057016666666669E-2</v>
      </c>
      <c r="K105" s="20">
        <f t="shared" si="23"/>
        <v>1.9057016666666669E-2</v>
      </c>
      <c r="L105" s="20">
        <f t="shared" si="23"/>
        <v>1.9057016666666669E-2</v>
      </c>
      <c r="M105" s="20">
        <f t="shared" si="23"/>
        <v>1.9057016666666669E-2</v>
      </c>
      <c r="N105" s="20">
        <f t="shared" si="23"/>
        <v>1.9057016666666669E-2</v>
      </c>
      <c r="O105" s="20">
        <f t="shared" si="23"/>
        <v>1.9057016666666669E-2</v>
      </c>
      <c r="P105" s="20">
        <f t="shared" si="23"/>
        <v>1.9057016666666669E-2</v>
      </c>
      <c r="Q105" s="20">
        <f t="shared" si="23"/>
        <v>1.9057016666666669E-2</v>
      </c>
      <c r="R105" s="20">
        <f t="shared" si="23"/>
        <v>1.9057016666666669E-2</v>
      </c>
      <c r="S105" s="20">
        <f t="shared" si="23"/>
        <v>1.9057016666666669E-2</v>
      </c>
      <c r="T105" s="20">
        <f t="shared" si="23"/>
        <v>1.9057016666666669E-2</v>
      </c>
      <c r="U105" s="20">
        <f t="shared" si="23"/>
        <v>1.9057016666666669E-2</v>
      </c>
      <c r="V105" s="20">
        <f t="shared" si="23"/>
        <v>1.9057016666666669E-2</v>
      </c>
      <c r="W105" s="20">
        <f t="shared" si="23"/>
        <v>1.9057016666666669E-2</v>
      </c>
      <c r="X105" s="20">
        <f t="shared" si="23"/>
        <v>1.9057016666666669E-2</v>
      </c>
      <c r="Y105" s="20">
        <f t="shared" si="23"/>
        <v>1.9057016666666669E-2</v>
      </c>
      <c r="Z105" s="20">
        <f t="shared" si="23"/>
        <v>1.9057016666666669E-2</v>
      </c>
      <c r="AA105" s="20">
        <f t="shared" si="23"/>
        <v>1.9057016666666669E-2</v>
      </c>
      <c r="AB105" s="20">
        <f t="shared" si="23"/>
        <v>1.9057016666666669E-2</v>
      </c>
      <c r="AC105" s="20">
        <f t="shared" si="23"/>
        <v>1.9057016666666669E-2</v>
      </c>
      <c r="AD105" s="20">
        <f t="shared" si="23"/>
        <v>1.9057016666666669E-2</v>
      </c>
      <c r="AE105" s="20">
        <f t="shared" si="23"/>
        <v>1.9057016666666669E-2</v>
      </c>
      <c r="AF105" s="20">
        <f t="shared" si="23"/>
        <v>1.9057016666666669E-2</v>
      </c>
      <c r="AG105" s="20">
        <f t="shared" si="23"/>
        <v>1.9057016666666669E-2</v>
      </c>
      <c r="AH105" s="20">
        <f t="shared" si="23"/>
        <v>1.9057016666666669E-2</v>
      </c>
      <c r="AI105" s="20">
        <f t="shared" si="23"/>
        <v>1.9057016666666669E-2</v>
      </c>
      <c r="AJ105" s="20">
        <f t="shared" si="23"/>
        <v>1.9057016666666669E-2</v>
      </c>
    </row>
    <row r="106" spans="1:36" ht="35" x14ac:dyDescent="0.45">
      <c r="A106" s="34"/>
      <c r="B106" s="3" t="s">
        <v>282</v>
      </c>
      <c r="C106" s="3" t="s">
        <v>327</v>
      </c>
      <c r="D106" s="4" t="s">
        <v>416</v>
      </c>
      <c r="E106" s="21">
        <v>9.0551724137931028E-2</v>
      </c>
      <c r="F106" s="3" t="s">
        <v>429</v>
      </c>
      <c r="G106" s="20">
        <v>8.4930344827586199E-2</v>
      </c>
      <c r="H106" s="20">
        <v>8.0454515655172421E-2</v>
      </c>
      <c r="I106" s="20">
        <v>7.6214562680144829E-2</v>
      </c>
      <c r="J106" s="20">
        <v>7.2198055226901203E-2</v>
      </c>
      <c r="K106" s="20">
        <v>6.8393217716443508E-2</v>
      </c>
      <c r="L106" s="20">
        <v>6.4788895142786934E-2</v>
      </c>
      <c r="M106" s="20">
        <v>6.1374520368762071E-2</v>
      </c>
      <c r="N106" s="20">
        <v>5.8140083145328314E-2</v>
      </c>
      <c r="O106" s="20">
        <v>5.5076100763569509E-2</v>
      </c>
      <c r="P106" s="20">
        <v>5.2173590253329398E-2</v>
      </c>
      <c r="Q106" s="20">
        <v>4.942404204697895E-2</v>
      </c>
      <c r="R106" s="20">
        <v>4.6819395031103155E-2</v>
      </c>
      <c r="S106" s="20">
        <v>4.435201291296402E-2</v>
      </c>
      <c r="T106" s="20">
        <v>4.2014661832450818E-2</v>
      </c>
      <c r="U106" s="20">
        <v>3.9800489153880667E-2</v>
      </c>
      <c r="V106" s="20">
        <v>3.7703003375471153E-2</v>
      </c>
      <c r="W106" s="20">
        <v>3.5716055097583826E-2</v>
      </c>
      <c r="X106" s="20">
        <v>3.383381899394116E-2</v>
      </c>
      <c r="Y106" s="20">
        <v>3.2050776732960466E-2</v>
      </c>
      <c r="Z106" s="20">
        <v>3.0361700799133449E-2</v>
      </c>
      <c r="AA106" s="20">
        <v>2.8761639167019116E-2</v>
      </c>
      <c r="AB106" s="20">
        <v>2.724590078291721E-2</v>
      </c>
      <c r="AC106" s="20">
        <v>2.5810041811657473E-2</v>
      </c>
      <c r="AD106" s="20">
        <v>2.4449852608183126E-2</v>
      </c>
      <c r="AE106" s="20">
        <v>2.3161345375731873E-2</v>
      </c>
      <c r="AF106" s="20">
        <v>2.1940742474430806E-2</v>
      </c>
      <c r="AG106" s="20">
        <v>2.0784465346028305E-2</v>
      </c>
      <c r="AH106" s="20">
        <v>1.9689124022292611E-2</v>
      </c>
      <c r="AI106" s="20">
        <v>1.8651507186317796E-2</v>
      </c>
      <c r="AJ106" s="20">
        <v>1.7668572757598849E-2</v>
      </c>
    </row>
    <row r="107" spans="1:36" ht="35" x14ac:dyDescent="0.45">
      <c r="A107" s="34"/>
      <c r="B107" s="3" t="s">
        <v>283</v>
      </c>
      <c r="C107" s="3" t="s">
        <v>328</v>
      </c>
      <c r="D107" s="4" t="s">
        <v>416</v>
      </c>
      <c r="E107" s="21">
        <v>3.1830303030303028E-2</v>
      </c>
      <c r="F107" s="3" t="s">
        <v>429</v>
      </c>
      <c r="G107" s="20">
        <v>2.9788121212121214E-2</v>
      </c>
      <c r="H107" s="20">
        <v>2.8155732169696971E-2</v>
      </c>
      <c r="I107" s="20">
        <v>2.661279804679758E-2</v>
      </c>
      <c r="J107" s="20">
        <v>2.5154416713833071E-2</v>
      </c>
      <c r="K107" s="20">
        <v>2.3775954677915018E-2</v>
      </c>
      <c r="L107" s="20">
        <v>2.2473032361565278E-2</v>
      </c>
      <c r="M107" s="20">
        <v>2.1241510188151499E-2</v>
      </c>
      <c r="N107" s="20">
        <v>2.0077475429840796E-2</v>
      </c>
      <c r="O107" s="20">
        <v>1.8977229776285524E-2</v>
      </c>
      <c r="P107" s="20">
        <v>1.7937277584545077E-2</v>
      </c>
      <c r="Q107" s="20">
        <v>1.6954314772912007E-2</v>
      </c>
      <c r="R107" s="20">
        <v>1.6025218323356429E-2</v>
      </c>
      <c r="S107" s="20">
        <v>1.5147036359236497E-2</v>
      </c>
      <c r="T107" s="20">
        <v>1.4316978766750338E-2</v>
      </c>
      <c r="U107" s="20">
        <v>1.3532408330332417E-2</v>
      </c>
      <c r="V107" s="20">
        <v>1.2790832353830203E-2</v>
      </c>
      <c r="W107" s="20">
        <v>1.2089894740840308E-2</v>
      </c>
      <c r="X107" s="20">
        <v>1.142736850904226E-2</v>
      </c>
      <c r="Y107" s="20">
        <v>1.0801148714746744E-2</v>
      </c>
      <c r="Z107" s="20">
        <v>1.0209245765178626E-2</v>
      </c>
      <c r="AA107" s="20">
        <v>9.6497790972468345E-3</v>
      </c>
      <c r="AB107" s="20">
        <v>9.1209712027177092E-3</v>
      </c>
      <c r="AC107" s="20">
        <v>8.6211419808087785E-3</v>
      </c>
      <c r="AD107" s="20">
        <v>8.1487034002604569E-3</v>
      </c>
      <c r="AE107" s="20">
        <v>7.702154453926185E-3</v>
      </c>
      <c r="AF107" s="20">
        <v>7.280076389851029E-3</v>
      </c>
      <c r="AG107" s="20">
        <v>6.8811282036871932E-3</v>
      </c>
      <c r="AH107" s="20">
        <v>6.504042378125136E-3</v>
      </c>
      <c r="AI107" s="20">
        <v>6.1476208558038786E-3</v>
      </c>
      <c r="AJ107" s="20">
        <v>5.8107312329058261E-3</v>
      </c>
    </row>
    <row r="108" spans="1:36" ht="35" x14ac:dyDescent="0.45">
      <c r="A108" s="34"/>
      <c r="B108" s="3" t="s">
        <v>284</v>
      </c>
      <c r="C108" s="3" t="s">
        <v>329</v>
      </c>
      <c r="D108" s="4" t="s">
        <v>416</v>
      </c>
      <c r="E108" s="21">
        <v>2.6662775757575759E-2</v>
      </c>
      <c r="F108" s="3" t="s">
        <v>429</v>
      </c>
      <c r="G108" s="20">
        <v>2.5115806787878787E-2</v>
      </c>
      <c r="H108" s="20">
        <v>2.3895178577987883E-2</v>
      </c>
      <c r="I108" s="20">
        <v>2.273387289909767E-2</v>
      </c>
      <c r="J108" s="20">
        <v>2.1629006676201525E-2</v>
      </c>
      <c r="K108" s="20">
        <v>2.0577836951738128E-2</v>
      </c>
      <c r="L108" s="20">
        <v>1.957775407588366E-2</v>
      </c>
      <c r="M108" s="20">
        <v>1.8626275227795714E-2</v>
      </c>
      <c r="N108" s="20">
        <v>1.772103825172484E-2</v>
      </c>
      <c r="O108" s="20">
        <v>1.6859795792691014E-2</v>
      </c>
      <c r="P108" s="20">
        <v>1.6040409717166231E-2</v>
      </c>
      <c r="Q108" s="20">
        <v>1.5260845804911952E-2</v>
      </c>
      <c r="R108" s="20">
        <v>1.4519168698793231E-2</v>
      </c>
      <c r="S108" s="20">
        <v>1.3813537100031879E-2</v>
      </c>
      <c r="T108" s="20">
        <v>1.3142199196970333E-2</v>
      </c>
      <c r="U108" s="20">
        <v>1.2503488315997574E-2</v>
      </c>
      <c r="V108" s="20">
        <v>1.1895818783840091E-2</v>
      </c>
      <c r="W108" s="20">
        <v>1.1317681990945462E-2</v>
      </c>
      <c r="X108" s="20">
        <v>1.0767642646185514E-2</v>
      </c>
      <c r="Y108" s="20">
        <v>1.0244335213580898E-2</v>
      </c>
      <c r="Z108" s="20">
        <v>9.7464605222008661E-3</v>
      </c>
      <c r="AA108" s="20">
        <v>9.2727825408219049E-3</v>
      </c>
      <c r="AB108" s="20">
        <v>8.8221253093379599E-3</v>
      </c>
      <c r="AC108" s="20">
        <v>8.3933700193041354E-3</v>
      </c>
      <c r="AD108" s="20">
        <v>7.9854522363659551E-3</v>
      </c>
      <c r="AE108" s="20">
        <v>7.5973592576785692E-3</v>
      </c>
      <c r="AF108" s="20">
        <v>7.228127597755392E-3</v>
      </c>
      <c r="AG108" s="20">
        <v>6.876840596504479E-3</v>
      </c>
      <c r="AH108" s="20">
        <v>6.5426261435143612E-3</v>
      </c>
      <c r="AI108" s="20">
        <v>6.2246545129395628E-3</v>
      </c>
      <c r="AJ108" s="20">
        <v>5.9221363036107014E-3</v>
      </c>
    </row>
    <row r="109" spans="1:36" ht="35" x14ac:dyDescent="0.45">
      <c r="A109" s="34"/>
      <c r="B109" s="3" t="s">
        <v>291</v>
      </c>
      <c r="C109" s="3" t="s">
        <v>330</v>
      </c>
      <c r="D109" s="4" t="s">
        <v>416</v>
      </c>
      <c r="E109" s="21">
        <v>0.34890909090909089</v>
      </c>
      <c r="F109" s="3" t="s">
        <v>429</v>
      </c>
      <c r="G109" s="20">
        <v>0.31291272727272729</v>
      </c>
      <c r="H109" s="20">
        <v>0.2834363483636364</v>
      </c>
      <c r="I109" s="20">
        <v>0.25673664434778187</v>
      </c>
      <c r="J109" s="20">
        <v>0.23255205245022081</v>
      </c>
      <c r="K109" s="20">
        <v>0.21064564910941003</v>
      </c>
      <c r="L109" s="20">
        <v>0.19080282896330364</v>
      </c>
      <c r="M109" s="20">
        <v>0.17282920247496045</v>
      </c>
      <c r="N109" s="20">
        <v>0.15654869160181917</v>
      </c>
      <c r="O109" s="20">
        <v>0.14180180485292782</v>
      </c>
      <c r="P109" s="20">
        <v>0.12844407483578202</v>
      </c>
      <c r="Q109" s="20">
        <v>0.11634464298625136</v>
      </c>
      <c r="R109" s="20">
        <v>0.10538497761694648</v>
      </c>
      <c r="S109" s="20">
        <v>9.5457712725430147E-2</v>
      </c>
      <c r="T109" s="20">
        <v>8.6465596186694638E-2</v>
      </c>
      <c r="U109" s="20">
        <v>7.8320537025908007E-2</v>
      </c>
      <c r="V109" s="20">
        <v>7.0942742438067474E-2</v>
      </c>
      <c r="W109" s="20">
        <v>6.425993610040151E-2</v>
      </c>
      <c r="X109" s="20">
        <v>5.8206650119743693E-2</v>
      </c>
      <c r="Y109" s="20">
        <v>5.2723583678463838E-2</v>
      </c>
      <c r="Z109" s="20">
        <v>4.7757022095952548E-2</v>
      </c>
      <c r="AA109" s="20">
        <v>4.325831061451383E-2</v>
      </c>
      <c r="AB109" s="20">
        <v>3.9183377754626623E-2</v>
      </c>
      <c r="AC109" s="20">
        <v>3.5492303570140805E-2</v>
      </c>
      <c r="AD109" s="20">
        <v>3.2148928573833536E-2</v>
      </c>
      <c r="AE109" s="20">
        <v>2.9120499502178421E-2</v>
      </c>
      <c r="AF109" s="20">
        <v>2.6377348449073214E-2</v>
      </c>
      <c r="AG109" s="20">
        <v>2.389260222517052E-2</v>
      </c>
      <c r="AH109" s="20">
        <v>2.1641919095559452E-2</v>
      </c>
      <c r="AI109" s="20">
        <v>1.9603250316757758E-2</v>
      </c>
      <c r="AJ109" s="20">
        <v>1.7756624136919176E-2</v>
      </c>
    </row>
    <row r="110" spans="1:36" ht="35" x14ac:dyDescent="0.45">
      <c r="A110" s="34"/>
      <c r="B110" s="3" t="s">
        <v>285</v>
      </c>
      <c r="C110" s="3" t="s">
        <v>331</v>
      </c>
      <c r="D110" s="4" t="s">
        <v>416</v>
      </c>
      <c r="E110" s="21">
        <v>7.5749999999999998E-2</v>
      </c>
      <c r="F110" s="3" t="s">
        <v>429</v>
      </c>
      <c r="G110" s="20">
        <f>$E$110</f>
        <v>7.5749999999999998E-2</v>
      </c>
      <c r="H110" s="20">
        <f t="shared" ref="H110:AJ110" si="24">$E$110</f>
        <v>7.5749999999999998E-2</v>
      </c>
      <c r="I110" s="20">
        <f t="shared" si="24"/>
        <v>7.5749999999999998E-2</v>
      </c>
      <c r="J110" s="20">
        <f t="shared" si="24"/>
        <v>7.5749999999999998E-2</v>
      </c>
      <c r="K110" s="20">
        <f t="shared" si="24"/>
        <v>7.5749999999999998E-2</v>
      </c>
      <c r="L110" s="20">
        <f t="shared" si="24"/>
        <v>7.5749999999999998E-2</v>
      </c>
      <c r="M110" s="20">
        <f t="shared" si="24"/>
        <v>7.5749999999999998E-2</v>
      </c>
      <c r="N110" s="20">
        <f t="shared" si="24"/>
        <v>7.5749999999999998E-2</v>
      </c>
      <c r="O110" s="20">
        <f t="shared" si="24"/>
        <v>7.5749999999999998E-2</v>
      </c>
      <c r="P110" s="20">
        <f t="shared" si="24"/>
        <v>7.5749999999999998E-2</v>
      </c>
      <c r="Q110" s="20">
        <f t="shared" si="24"/>
        <v>7.5749999999999998E-2</v>
      </c>
      <c r="R110" s="20">
        <f t="shared" si="24"/>
        <v>7.5749999999999998E-2</v>
      </c>
      <c r="S110" s="20">
        <f t="shared" si="24"/>
        <v>7.5749999999999998E-2</v>
      </c>
      <c r="T110" s="20">
        <f t="shared" si="24"/>
        <v>7.5749999999999998E-2</v>
      </c>
      <c r="U110" s="20">
        <f t="shared" si="24"/>
        <v>7.5749999999999998E-2</v>
      </c>
      <c r="V110" s="20">
        <f t="shared" si="24"/>
        <v>7.5749999999999998E-2</v>
      </c>
      <c r="W110" s="20">
        <f t="shared" si="24"/>
        <v>7.5749999999999998E-2</v>
      </c>
      <c r="X110" s="20">
        <f t="shared" si="24"/>
        <v>7.5749999999999998E-2</v>
      </c>
      <c r="Y110" s="20">
        <f t="shared" si="24"/>
        <v>7.5749999999999998E-2</v>
      </c>
      <c r="Z110" s="20">
        <f t="shared" si="24"/>
        <v>7.5749999999999998E-2</v>
      </c>
      <c r="AA110" s="20">
        <f t="shared" si="24"/>
        <v>7.5749999999999998E-2</v>
      </c>
      <c r="AB110" s="20">
        <f t="shared" si="24"/>
        <v>7.5749999999999998E-2</v>
      </c>
      <c r="AC110" s="20">
        <f t="shared" si="24"/>
        <v>7.5749999999999998E-2</v>
      </c>
      <c r="AD110" s="20">
        <f t="shared" si="24"/>
        <v>7.5749999999999998E-2</v>
      </c>
      <c r="AE110" s="20">
        <f t="shared" si="24"/>
        <v>7.5749999999999998E-2</v>
      </c>
      <c r="AF110" s="20">
        <f t="shared" si="24"/>
        <v>7.5749999999999998E-2</v>
      </c>
      <c r="AG110" s="20">
        <f t="shared" si="24"/>
        <v>7.5749999999999998E-2</v>
      </c>
      <c r="AH110" s="20">
        <f t="shared" si="24"/>
        <v>7.5749999999999998E-2</v>
      </c>
      <c r="AI110" s="20">
        <f t="shared" si="24"/>
        <v>7.5749999999999998E-2</v>
      </c>
      <c r="AJ110" s="20">
        <f t="shared" si="24"/>
        <v>7.5749999999999998E-2</v>
      </c>
    </row>
    <row r="111" spans="1:36" ht="35" x14ac:dyDescent="0.45">
      <c r="A111" s="34"/>
      <c r="B111" s="3" t="s">
        <v>286</v>
      </c>
      <c r="C111" s="3" t="s">
        <v>332</v>
      </c>
      <c r="D111" s="4" t="s">
        <v>416</v>
      </c>
      <c r="E111" s="21">
        <v>5.8550421428571427E-2</v>
      </c>
      <c r="F111" s="3" t="s">
        <v>429</v>
      </c>
      <c r="G111" s="20">
        <f>$E$111</f>
        <v>5.8550421428571427E-2</v>
      </c>
      <c r="H111" s="20">
        <f t="shared" ref="H111:AJ111" si="25">$E$111</f>
        <v>5.8550421428571427E-2</v>
      </c>
      <c r="I111" s="20">
        <f t="shared" si="25"/>
        <v>5.8550421428571427E-2</v>
      </c>
      <c r="J111" s="20">
        <f t="shared" si="25"/>
        <v>5.8550421428571427E-2</v>
      </c>
      <c r="K111" s="20">
        <f t="shared" si="25"/>
        <v>5.8550421428571427E-2</v>
      </c>
      <c r="L111" s="20">
        <f t="shared" si="25"/>
        <v>5.8550421428571427E-2</v>
      </c>
      <c r="M111" s="20">
        <f t="shared" si="25"/>
        <v>5.8550421428571427E-2</v>
      </c>
      <c r="N111" s="20">
        <f t="shared" si="25"/>
        <v>5.8550421428571427E-2</v>
      </c>
      <c r="O111" s="20">
        <f t="shared" si="25"/>
        <v>5.8550421428571427E-2</v>
      </c>
      <c r="P111" s="20">
        <f t="shared" si="25"/>
        <v>5.8550421428571427E-2</v>
      </c>
      <c r="Q111" s="20">
        <f t="shared" si="25"/>
        <v>5.8550421428571427E-2</v>
      </c>
      <c r="R111" s="20">
        <f t="shared" si="25"/>
        <v>5.8550421428571427E-2</v>
      </c>
      <c r="S111" s="20">
        <f t="shared" si="25"/>
        <v>5.8550421428571427E-2</v>
      </c>
      <c r="T111" s="20">
        <f t="shared" si="25"/>
        <v>5.8550421428571427E-2</v>
      </c>
      <c r="U111" s="20">
        <f t="shared" si="25"/>
        <v>5.8550421428571427E-2</v>
      </c>
      <c r="V111" s="20">
        <f t="shared" si="25"/>
        <v>5.8550421428571427E-2</v>
      </c>
      <c r="W111" s="20">
        <f t="shared" si="25"/>
        <v>5.8550421428571427E-2</v>
      </c>
      <c r="X111" s="20">
        <f t="shared" si="25"/>
        <v>5.8550421428571427E-2</v>
      </c>
      <c r="Y111" s="20">
        <f t="shared" si="25"/>
        <v>5.8550421428571427E-2</v>
      </c>
      <c r="Z111" s="20">
        <f t="shared" si="25"/>
        <v>5.8550421428571427E-2</v>
      </c>
      <c r="AA111" s="20">
        <f t="shared" si="25"/>
        <v>5.8550421428571427E-2</v>
      </c>
      <c r="AB111" s="20">
        <f t="shared" si="25"/>
        <v>5.8550421428571427E-2</v>
      </c>
      <c r="AC111" s="20">
        <f t="shared" si="25"/>
        <v>5.8550421428571427E-2</v>
      </c>
      <c r="AD111" s="20">
        <f t="shared" si="25"/>
        <v>5.8550421428571427E-2</v>
      </c>
      <c r="AE111" s="20">
        <f t="shared" si="25"/>
        <v>5.8550421428571427E-2</v>
      </c>
      <c r="AF111" s="20">
        <f t="shared" si="25"/>
        <v>5.8550421428571427E-2</v>
      </c>
      <c r="AG111" s="20">
        <f t="shared" si="25"/>
        <v>5.8550421428571427E-2</v>
      </c>
      <c r="AH111" s="20">
        <f t="shared" si="25"/>
        <v>5.8550421428571427E-2</v>
      </c>
      <c r="AI111" s="20">
        <f t="shared" si="25"/>
        <v>5.8550421428571427E-2</v>
      </c>
      <c r="AJ111" s="20">
        <f t="shared" si="25"/>
        <v>5.8550421428571427E-2</v>
      </c>
    </row>
    <row r="112" spans="1:36" ht="35" x14ac:dyDescent="0.45">
      <c r="A112" s="34"/>
      <c r="B112" s="3" t="s">
        <v>287</v>
      </c>
      <c r="C112" s="3" t="s">
        <v>333</v>
      </c>
      <c r="D112" s="4" t="s">
        <v>416</v>
      </c>
      <c r="E112" s="21">
        <v>0.25765306122448978</v>
      </c>
      <c r="F112" s="3" t="s">
        <v>429</v>
      </c>
      <c r="G112" s="20">
        <v>0.24280612244897953</v>
      </c>
      <c r="H112" s="20">
        <v>0.23110286734693872</v>
      </c>
      <c r="I112" s="20">
        <v>0.21996370914081628</v>
      </c>
      <c r="J112" s="20">
        <v>0.2093614583602289</v>
      </c>
      <c r="K112" s="20">
        <v>0.19927023606726588</v>
      </c>
      <c r="L112" s="20">
        <v>0.18966541068882367</v>
      </c>
      <c r="M112" s="20">
        <v>0.18052353789362235</v>
      </c>
      <c r="N112" s="20">
        <v>0.17182230336714971</v>
      </c>
      <c r="O112" s="20">
        <v>0.16354046834485314</v>
      </c>
      <c r="P112" s="20">
        <v>0.15565781777063117</v>
      </c>
      <c r="Q112" s="20">
        <v>0.14815511095408676</v>
      </c>
      <c r="R112" s="20">
        <v>0.14101403460609976</v>
      </c>
      <c r="S112" s="20">
        <v>0.13421715813808577</v>
      </c>
      <c r="T112" s="20">
        <v>0.12774789111583001</v>
      </c>
      <c r="U112" s="20">
        <v>0.121590442764047</v>
      </c>
      <c r="V112" s="20">
        <v>0.11572978342281993</v>
      </c>
      <c r="W112" s="20">
        <v>0.11015160786184</v>
      </c>
      <c r="X112" s="20">
        <v>0.10484230036289931</v>
      </c>
      <c r="Y112" s="20">
        <v>9.9788901485407575E-2</v>
      </c>
      <c r="Z112" s="20">
        <v>9.4979076433810913E-2</v>
      </c>
      <c r="AA112" s="20">
        <v>9.0401084949701227E-2</v>
      </c>
      <c r="AB112" s="20">
        <v>8.6043752655125622E-2</v>
      </c>
      <c r="AC112" s="20">
        <v>8.1896443777148553E-2</v>
      </c>
      <c r="AD112" s="20">
        <v>7.7949035187089996E-2</v>
      </c>
      <c r="AE112" s="20">
        <v>7.4191891691072265E-2</v>
      </c>
      <c r="AF112" s="20">
        <v>7.0615842511562568E-2</v>
      </c>
      <c r="AG112" s="20">
        <v>6.7212158902505245E-2</v>
      </c>
      <c r="AH112" s="20">
        <v>6.3972532843404498E-2</v>
      </c>
      <c r="AI112" s="20">
        <v>6.0889056760352403E-2</v>
      </c>
      <c r="AJ112" s="20">
        <v>5.7954204224503411E-2</v>
      </c>
    </row>
    <row r="113" spans="1:36" ht="35" x14ac:dyDescent="0.45">
      <c r="A113" s="34"/>
      <c r="B113" s="3" t="s">
        <v>288</v>
      </c>
      <c r="C113" s="3" t="s">
        <v>334</v>
      </c>
      <c r="D113" s="4" t="s">
        <v>416</v>
      </c>
      <c r="E113" s="21">
        <v>5.4828571428571435E-2</v>
      </c>
      <c r="F113" s="3" t="s">
        <v>429</v>
      </c>
      <c r="G113" s="20">
        <v>5.2450857142857146E-2</v>
      </c>
      <c r="H113" s="20">
        <v>5.0678018171428571E-2</v>
      </c>
      <c r="I113" s="20">
        <v>4.8965101157234278E-2</v>
      </c>
      <c r="J113" s="20">
        <v>4.7310080738119764E-2</v>
      </c>
      <c r="K113" s="20">
        <v>4.5711000009171311E-2</v>
      </c>
      <c r="L113" s="20">
        <v>4.416596820886131E-2</v>
      </c>
      <c r="M113" s="20">
        <v>4.26731584834018E-2</v>
      </c>
      <c r="N113" s="20">
        <v>4.1230805726662816E-2</v>
      </c>
      <c r="O113" s="20">
        <v>3.9837204493101609E-2</v>
      </c>
      <c r="P113" s="20">
        <v>3.8490706981234774E-2</v>
      </c>
      <c r="Q113" s="20">
        <v>3.7189721085269037E-2</v>
      </c>
      <c r="R113" s="20">
        <v>3.5932708512586939E-2</v>
      </c>
      <c r="S113" s="20">
        <v>3.4718182964861503E-2</v>
      </c>
      <c r="T113" s="20">
        <v>3.3544708380649178E-2</v>
      </c>
      <c r="U113" s="20">
        <v>3.2410897237383239E-2</v>
      </c>
      <c r="V113" s="20">
        <v>3.1315408910759679E-2</v>
      </c>
      <c r="W113" s="20">
        <v>3.0256948089575998E-2</v>
      </c>
      <c r="X113" s="20">
        <v>2.923426324414833E-2</v>
      </c>
      <c r="Y113" s="20">
        <v>2.8246145146496114E-2</v>
      </c>
      <c r="Z113" s="20">
        <v>2.729142544054455E-2</v>
      </c>
      <c r="AA113" s="20">
        <v>2.6368975260654137E-2</v>
      </c>
      <c r="AB113" s="20">
        <v>2.5477703896844024E-2</v>
      </c>
      <c r="AC113" s="20">
        <v>2.4616557505130695E-2</v>
      </c>
      <c r="AD113" s="20">
        <v>2.3784517861457279E-2</v>
      </c>
      <c r="AE113" s="20">
        <v>2.2980601157740019E-2</v>
      </c>
      <c r="AF113" s="20">
        <v>2.2203856838608406E-2</v>
      </c>
      <c r="AG113" s="20">
        <v>2.1453366477463442E-2</v>
      </c>
      <c r="AH113" s="20">
        <v>2.0728242690525173E-2</v>
      </c>
      <c r="AI113" s="20">
        <v>2.0027628087585427E-2</v>
      </c>
      <c r="AJ113" s="20">
        <v>1.9350694258225033E-2</v>
      </c>
    </row>
    <row r="114" spans="1:36" ht="35" x14ac:dyDescent="0.45">
      <c r="A114" s="34"/>
      <c r="B114" s="3" t="s">
        <v>289</v>
      </c>
      <c r="C114" s="3" t="s">
        <v>335</v>
      </c>
      <c r="D114" s="4" t="s">
        <v>416</v>
      </c>
      <c r="E114" s="21">
        <v>0.11222254285714285</v>
      </c>
      <c r="F114" s="3" t="s">
        <v>429</v>
      </c>
      <c r="G114" s="20">
        <v>0.10482252171428572</v>
      </c>
      <c r="H114" s="20">
        <v>9.8889566985257138E-2</v>
      </c>
      <c r="I114" s="20">
        <v>9.3292417493891583E-2</v>
      </c>
      <c r="J114" s="20">
        <v>8.8012066663737315E-2</v>
      </c>
      <c r="K114" s="20">
        <v>8.3030583690569787E-2</v>
      </c>
      <c r="L114" s="20">
        <v>7.833105265368355E-2</v>
      </c>
      <c r="M114" s="20">
        <v>7.3897515073485062E-2</v>
      </c>
      <c r="N114" s="20">
        <v>6.9714915720325815E-2</v>
      </c>
      <c r="O114" s="20">
        <v>6.5769051490555383E-2</v>
      </c>
      <c r="P114" s="20">
        <v>6.2046523176189937E-2</v>
      </c>
      <c r="Q114" s="20">
        <v>5.8534689964417588E-2</v>
      </c>
      <c r="R114" s="20">
        <v>5.5221626512431551E-2</v>
      </c>
      <c r="S114" s="20">
        <v>5.2096082451827917E-2</v>
      </c>
      <c r="T114" s="20">
        <v>4.9147444185054463E-2</v>
      </c>
      <c r="U114" s="20">
        <v>4.6365698844180389E-2</v>
      </c>
      <c r="V114" s="20">
        <v>4.3741400289599774E-2</v>
      </c>
      <c r="W114" s="20">
        <v>4.1265637033208437E-2</v>
      </c>
      <c r="X114" s="20">
        <v>3.8930001977128835E-2</v>
      </c>
      <c r="Y114" s="20">
        <v>3.6726563865223341E-2</v>
      </c>
      <c r="Z114" s="20">
        <v>3.4647840350451702E-2</v>
      </c>
      <c r="AA114" s="20">
        <v>3.2686772586616127E-2</v>
      </c>
      <c r="AB114" s="20">
        <v>3.083670125821366E-2</v>
      </c>
      <c r="AC114" s="20">
        <v>2.9091343966998768E-2</v>
      </c>
      <c r="AD114" s="20">
        <v>2.7444773898466637E-2</v>
      </c>
      <c r="AE114" s="20">
        <v>2.589139969581343E-2</v>
      </c>
      <c r="AF114" s="20">
        <v>2.442594647303039E-2</v>
      </c>
      <c r="AG114" s="20">
        <v>2.3043437902656869E-2</v>
      </c>
      <c r="AH114" s="20">
        <v>2.1739179317366488E-2</v>
      </c>
      <c r="AI114" s="20">
        <v>2.0508741768003543E-2</v>
      </c>
      <c r="AJ114" s="20">
        <v>1.9347946983934546E-2</v>
      </c>
    </row>
    <row r="115" spans="1:36" ht="35" x14ac:dyDescent="0.45">
      <c r="A115" s="34"/>
      <c r="B115" s="3" t="s">
        <v>290</v>
      </c>
      <c r="C115" s="3" t="s">
        <v>336</v>
      </c>
      <c r="D115" s="4" t="s">
        <v>416</v>
      </c>
      <c r="E115" s="21">
        <v>0.44151428571428569</v>
      </c>
      <c r="F115" s="3" t="s">
        <v>429</v>
      </c>
      <c r="G115" s="20">
        <v>0.40868485714285707</v>
      </c>
      <c r="H115" s="20">
        <v>0.38207947294285705</v>
      </c>
      <c r="I115" s="20">
        <v>0.35720609925427704</v>
      </c>
      <c r="J115" s="20">
        <v>0.33395198219282368</v>
      </c>
      <c r="K115" s="20">
        <v>0.31221170815207083</v>
      </c>
      <c r="L115" s="20">
        <v>0.291886725951371</v>
      </c>
      <c r="M115" s="20">
        <v>0.27288490009193667</v>
      </c>
      <c r="N115" s="20">
        <v>0.25512009309595163</v>
      </c>
      <c r="O115" s="20">
        <v>0.23851177503540519</v>
      </c>
      <c r="P115" s="20">
        <v>0.22298465848060028</v>
      </c>
      <c r="Q115" s="20">
        <v>0.2084683572135132</v>
      </c>
      <c r="R115" s="20">
        <v>0.19489706715891347</v>
      </c>
      <c r="S115" s="20">
        <v>0.18220926808686821</v>
      </c>
      <c r="T115" s="20">
        <v>0.1703474447344131</v>
      </c>
      <c r="U115" s="20">
        <v>0.15925782608220276</v>
      </c>
      <c r="V115" s="20">
        <v>0.14889014160425137</v>
      </c>
      <c r="W115" s="20">
        <v>0.13919739338581461</v>
      </c>
      <c r="X115" s="20">
        <v>0.13013564307639811</v>
      </c>
      <c r="Y115" s="20">
        <v>0.12166381271212455</v>
      </c>
      <c r="Z115" s="20">
        <v>0.11374349850456525</v>
      </c>
      <c r="AA115" s="20">
        <v>0.10633879675191805</v>
      </c>
      <c r="AB115" s="20">
        <v>9.9416141083368187E-2</v>
      </c>
      <c r="AC115" s="20">
        <v>9.29441502988409E-2</v>
      </c>
      <c r="AD115" s="20">
        <v>8.6893486114386367E-2</v>
      </c>
      <c r="AE115" s="20">
        <v>8.1236720168339813E-2</v>
      </c>
      <c r="AF115" s="20">
        <v>7.594820968538088E-2</v>
      </c>
      <c r="AG115" s="20">
        <v>7.1003981234862582E-2</v>
      </c>
      <c r="AH115" s="20">
        <v>6.6381622056473036E-2</v>
      </c>
      <c r="AI115" s="20">
        <v>6.2060178460596631E-2</v>
      </c>
      <c r="AJ115" s="20">
        <v>5.8020060842811784E-2</v>
      </c>
    </row>
    <row r="116" spans="1:36" ht="35" x14ac:dyDescent="0.45">
      <c r="A116" s="34"/>
      <c r="B116" s="3" t="s">
        <v>292</v>
      </c>
      <c r="C116" s="3" t="s">
        <v>337</v>
      </c>
      <c r="D116" s="4" t="s">
        <v>416</v>
      </c>
      <c r="E116" s="21">
        <v>3.8085416666666662E-3</v>
      </c>
      <c r="F116" s="3" t="s">
        <v>429</v>
      </c>
      <c r="G116" s="20">
        <f>$E$116</f>
        <v>3.8085416666666662E-3</v>
      </c>
      <c r="H116" s="20">
        <f t="shared" ref="H116:AJ116" si="26">$E$116</f>
        <v>3.8085416666666662E-3</v>
      </c>
      <c r="I116" s="20">
        <f t="shared" si="26"/>
        <v>3.8085416666666662E-3</v>
      </c>
      <c r="J116" s="20">
        <f t="shared" si="26"/>
        <v>3.8085416666666662E-3</v>
      </c>
      <c r="K116" s="20">
        <f t="shared" si="26"/>
        <v>3.8085416666666662E-3</v>
      </c>
      <c r="L116" s="20">
        <f t="shared" si="26"/>
        <v>3.8085416666666662E-3</v>
      </c>
      <c r="M116" s="20">
        <f t="shared" si="26"/>
        <v>3.8085416666666662E-3</v>
      </c>
      <c r="N116" s="20">
        <f t="shared" si="26"/>
        <v>3.8085416666666662E-3</v>
      </c>
      <c r="O116" s="20">
        <f t="shared" si="26"/>
        <v>3.8085416666666662E-3</v>
      </c>
      <c r="P116" s="20">
        <f t="shared" si="26"/>
        <v>3.8085416666666662E-3</v>
      </c>
      <c r="Q116" s="20">
        <f t="shared" si="26"/>
        <v>3.8085416666666662E-3</v>
      </c>
      <c r="R116" s="20">
        <f t="shared" si="26"/>
        <v>3.8085416666666662E-3</v>
      </c>
      <c r="S116" s="20">
        <f t="shared" si="26"/>
        <v>3.8085416666666662E-3</v>
      </c>
      <c r="T116" s="20">
        <f t="shared" si="26"/>
        <v>3.8085416666666662E-3</v>
      </c>
      <c r="U116" s="20">
        <f t="shared" si="26"/>
        <v>3.8085416666666662E-3</v>
      </c>
      <c r="V116" s="20">
        <f t="shared" si="26"/>
        <v>3.8085416666666662E-3</v>
      </c>
      <c r="W116" s="20">
        <f t="shared" si="26"/>
        <v>3.8085416666666662E-3</v>
      </c>
      <c r="X116" s="20">
        <f t="shared" si="26"/>
        <v>3.8085416666666662E-3</v>
      </c>
      <c r="Y116" s="20">
        <f t="shared" si="26"/>
        <v>3.8085416666666662E-3</v>
      </c>
      <c r="Z116" s="20">
        <f t="shared" si="26"/>
        <v>3.8085416666666662E-3</v>
      </c>
      <c r="AA116" s="20">
        <f t="shared" si="26"/>
        <v>3.8085416666666662E-3</v>
      </c>
      <c r="AB116" s="20">
        <f t="shared" si="26"/>
        <v>3.8085416666666662E-3</v>
      </c>
      <c r="AC116" s="20">
        <f t="shared" si="26"/>
        <v>3.8085416666666662E-3</v>
      </c>
      <c r="AD116" s="20">
        <f t="shared" si="26"/>
        <v>3.8085416666666662E-3</v>
      </c>
      <c r="AE116" s="20">
        <f t="shared" si="26"/>
        <v>3.8085416666666662E-3</v>
      </c>
      <c r="AF116" s="20">
        <f t="shared" si="26"/>
        <v>3.8085416666666662E-3</v>
      </c>
      <c r="AG116" s="20">
        <f t="shared" si="26"/>
        <v>3.8085416666666662E-3</v>
      </c>
      <c r="AH116" s="20">
        <f t="shared" si="26"/>
        <v>3.8085416666666662E-3</v>
      </c>
      <c r="AI116" s="20">
        <f t="shared" si="26"/>
        <v>3.8085416666666662E-3</v>
      </c>
      <c r="AJ116" s="20">
        <f t="shared" si="26"/>
        <v>3.8085416666666662E-3</v>
      </c>
    </row>
    <row r="117" spans="1:36" ht="35" x14ac:dyDescent="0.45">
      <c r="A117" s="34"/>
      <c r="B117" s="3" t="s">
        <v>293</v>
      </c>
      <c r="C117" s="3" t="s">
        <v>338</v>
      </c>
      <c r="D117" s="4" t="s">
        <v>416</v>
      </c>
      <c r="E117" s="21">
        <v>2.0899230769230769E-3</v>
      </c>
      <c r="F117" s="3" t="s">
        <v>429</v>
      </c>
      <c r="G117" s="20">
        <f>$E$117</f>
        <v>2.0899230769230769E-3</v>
      </c>
      <c r="H117" s="20">
        <f t="shared" ref="H117:AJ117" si="27">$E$117</f>
        <v>2.0899230769230769E-3</v>
      </c>
      <c r="I117" s="20">
        <f t="shared" si="27"/>
        <v>2.0899230769230769E-3</v>
      </c>
      <c r="J117" s="20">
        <f t="shared" si="27"/>
        <v>2.0899230769230769E-3</v>
      </c>
      <c r="K117" s="20">
        <f t="shared" si="27"/>
        <v>2.0899230769230769E-3</v>
      </c>
      <c r="L117" s="20">
        <f t="shared" si="27"/>
        <v>2.0899230769230769E-3</v>
      </c>
      <c r="M117" s="20">
        <f t="shared" si="27"/>
        <v>2.0899230769230769E-3</v>
      </c>
      <c r="N117" s="20">
        <f t="shared" si="27"/>
        <v>2.0899230769230769E-3</v>
      </c>
      <c r="O117" s="20">
        <f t="shared" si="27"/>
        <v>2.0899230769230769E-3</v>
      </c>
      <c r="P117" s="20">
        <f t="shared" si="27"/>
        <v>2.0899230769230769E-3</v>
      </c>
      <c r="Q117" s="20">
        <f t="shared" si="27"/>
        <v>2.0899230769230769E-3</v>
      </c>
      <c r="R117" s="20">
        <f t="shared" si="27"/>
        <v>2.0899230769230769E-3</v>
      </c>
      <c r="S117" s="20">
        <f t="shared" si="27"/>
        <v>2.0899230769230769E-3</v>
      </c>
      <c r="T117" s="20">
        <f t="shared" si="27"/>
        <v>2.0899230769230769E-3</v>
      </c>
      <c r="U117" s="20">
        <f t="shared" si="27"/>
        <v>2.0899230769230769E-3</v>
      </c>
      <c r="V117" s="20">
        <f t="shared" si="27"/>
        <v>2.0899230769230769E-3</v>
      </c>
      <c r="W117" s="20">
        <f t="shared" si="27"/>
        <v>2.0899230769230769E-3</v>
      </c>
      <c r="X117" s="20">
        <f t="shared" si="27"/>
        <v>2.0899230769230769E-3</v>
      </c>
      <c r="Y117" s="20">
        <f t="shared" si="27"/>
        <v>2.0899230769230769E-3</v>
      </c>
      <c r="Z117" s="20">
        <f t="shared" si="27"/>
        <v>2.0899230769230769E-3</v>
      </c>
      <c r="AA117" s="20">
        <f t="shared" si="27"/>
        <v>2.0899230769230769E-3</v>
      </c>
      <c r="AB117" s="20">
        <f t="shared" si="27"/>
        <v>2.0899230769230769E-3</v>
      </c>
      <c r="AC117" s="20">
        <f t="shared" si="27"/>
        <v>2.0899230769230769E-3</v>
      </c>
      <c r="AD117" s="20">
        <f t="shared" si="27"/>
        <v>2.0899230769230769E-3</v>
      </c>
      <c r="AE117" s="20">
        <f t="shared" si="27"/>
        <v>2.0899230769230769E-3</v>
      </c>
      <c r="AF117" s="20">
        <f t="shared" si="27"/>
        <v>2.0899230769230769E-3</v>
      </c>
      <c r="AG117" s="20">
        <f t="shared" si="27"/>
        <v>2.0899230769230769E-3</v>
      </c>
      <c r="AH117" s="20">
        <f t="shared" si="27"/>
        <v>2.0899230769230769E-3</v>
      </c>
      <c r="AI117" s="20">
        <f t="shared" si="27"/>
        <v>2.0899230769230769E-3</v>
      </c>
      <c r="AJ117" s="20">
        <f t="shared" si="27"/>
        <v>2.0899230769230769E-3</v>
      </c>
    </row>
    <row r="118" spans="1:36" ht="35" x14ac:dyDescent="0.45">
      <c r="A118" s="34"/>
      <c r="B118" s="3" t="s">
        <v>294</v>
      </c>
      <c r="C118" s="3" t="s">
        <v>339</v>
      </c>
      <c r="D118" s="4" t="s">
        <v>416</v>
      </c>
      <c r="E118" s="21">
        <v>2.7067999999999997E-3</v>
      </c>
      <c r="F118" s="3" t="s">
        <v>429</v>
      </c>
      <c r="G118" s="20">
        <v>2.6569519999999998E-3</v>
      </c>
      <c r="H118" s="20">
        <v>2.6341022127999996E-3</v>
      </c>
      <c r="I118" s="20">
        <v>2.6114489337699196E-3</v>
      </c>
      <c r="J118" s="20">
        <v>2.5889904729394981E-3</v>
      </c>
      <c r="K118" s="20">
        <v>2.5667251548722185E-3</v>
      </c>
      <c r="L118" s="20">
        <v>2.5446513185403172E-3</v>
      </c>
      <c r="M118" s="20">
        <v>2.5227673172008706E-3</v>
      </c>
      <c r="N118" s="20">
        <v>2.5010715182729429E-3</v>
      </c>
      <c r="O118" s="20">
        <v>2.4795623032157956E-3</v>
      </c>
      <c r="P118" s="20">
        <v>2.4582380674081396E-3</v>
      </c>
      <c r="Q118" s="20">
        <v>2.4370972200284296E-3</v>
      </c>
      <c r="R118" s="20">
        <v>2.4161381839361853E-3</v>
      </c>
      <c r="S118" s="20">
        <v>2.3953593955543342E-3</v>
      </c>
      <c r="T118" s="20">
        <v>2.3747593047525667E-3</v>
      </c>
      <c r="U118" s="20">
        <v>2.3543363747316947E-3</v>
      </c>
      <c r="V118" s="20">
        <v>2.3340890819090018E-3</v>
      </c>
      <c r="W118" s="20">
        <v>2.3140159158045845E-3</v>
      </c>
      <c r="X118" s="20">
        <v>2.2941153789286651E-3</v>
      </c>
      <c r="Y118" s="20">
        <v>2.2743859866698785E-3</v>
      </c>
      <c r="Z118" s="20">
        <v>2.2548262671845177E-3</v>
      </c>
      <c r="AA118" s="20">
        <v>2.2354347612867304E-3</v>
      </c>
      <c r="AB118" s="20">
        <v>2.2162100223396645E-3</v>
      </c>
      <c r="AC118" s="20">
        <v>2.1971506161475433E-3</v>
      </c>
      <c r="AD118" s="20">
        <v>2.1782551208486744E-3</v>
      </c>
      <c r="AE118" s="20">
        <v>2.1595221268093756E-3</v>
      </c>
      <c r="AF118" s="20">
        <v>2.1409502365188149E-3</v>
      </c>
      <c r="AG118" s="20">
        <v>2.1225380644847532E-3</v>
      </c>
      <c r="AH118" s="20">
        <v>2.1042842371301845E-3</v>
      </c>
      <c r="AI118" s="20">
        <v>2.0861873926908648E-3</v>
      </c>
      <c r="AJ118" s="20">
        <v>2.0682461811137231E-3</v>
      </c>
    </row>
    <row r="119" spans="1:36" ht="35" x14ac:dyDescent="0.45">
      <c r="A119" s="34"/>
      <c r="B119" s="3" t="s">
        <v>295</v>
      </c>
      <c r="C119" s="3" t="s">
        <v>340</v>
      </c>
      <c r="D119" s="4" t="s">
        <v>416</v>
      </c>
      <c r="E119" s="21">
        <v>4.3252314814814811E-3</v>
      </c>
      <c r="F119" s="3" t="s">
        <v>429</v>
      </c>
      <c r="G119" s="20">
        <v>4.0297453703703702E-3</v>
      </c>
      <c r="H119" s="20">
        <v>3.791990393518518E-3</v>
      </c>
      <c r="I119" s="20">
        <v>3.5682629603009251E-3</v>
      </c>
      <c r="J119" s="20">
        <v>3.3577354456431701E-3</v>
      </c>
      <c r="K119" s="20">
        <v>3.1596290543502233E-3</v>
      </c>
      <c r="L119" s="20">
        <v>2.9732109401435598E-3</v>
      </c>
      <c r="M119" s="20">
        <v>2.7977914946750895E-3</v>
      </c>
      <c r="N119" s="20">
        <v>2.6327217964892593E-3</v>
      </c>
      <c r="O119" s="20">
        <v>2.4773912104963927E-3</v>
      </c>
      <c r="P119" s="20">
        <v>2.331225129077105E-3</v>
      </c>
      <c r="Q119" s="20">
        <v>2.1936828464615555E-3</v>
      </c>
      <c r="R119" s="20">
        <v>2.0642555585203238E-3</v>
      </c>
      <c r="S119" s="20">
        <v>1.9424644805676244E-3</v>
      </c>
      <c r="T119" s="20">
        <v>1.8278590762141349E-3</v>
      </c>
      <c r="U119" s="20">
        <v>1.7200153907175005E-3</v>
      </c>
      <c r="V119" s="20">
        <v>1.6185344826651676E-3</v>
      </c>
      <c r="W119" s="20">
        <v>1.523040948187923E-3</v>
      </c>
      <c r="X119" s="20">
        <v>1.4331815322448352E-3</v>
      </c>
      <c r="Y119" s="20">
        <v>1.3486238218423897E-3</v>
      </c>
      <c r="Z119" s="20">
        <v>1.2690550163536889E-3</v>
      </c>
      <c r="AA119" s="20">
        <v>1.1941807703888209E-3</v>
      </c>
      <c r="AB119" s="20">
        <v>1.1237241049358805E-3</v>
      </c>
      <c r="AC119" s="20">
        <v>1.0574243827446634E-3</v>
      </c>
      <c r="AD119" s="20">
        <v>9.9503634416272819E-4</v>
      </c>
      <c r="AE119" s="20">
        <v>9.3632919985712712E-4</v>
      </c>
      <c r="AF119" s="20">
        <v>8.8108577706555642E-4</v>
      </c>
      <c r="AG119" s="20">
        <v>8.2910171621868858E-4</v>
      </c>
      <c r="AH119" s="20">
        <v>7.8018471496178591E-4</v>
      </c>
      <c r="AI119" s="20">
        <v>7.3415381677904054E-4</v>
      </c>
      <c r="AJ119" s="20">
        <v>6.9083874158907708E-4</v>
      </c>
    </row>
    <row r="120" spans="1:36" ht="35" x14ac:dyDescent="0.45">
      <c r="A120" s="34"/>
      <c r="B120" s="3" t="s">
        <v>296</v>
      </c>
      <c r="C120" s="3" t="s">
        <v>341</v>
      </c>
      <c r="D120" s="4" t="s">
        <v>416</v>
      </c>
      <c r="E120" s="21">
        <v>4.0329861111111108E-2</v>
      </c>
      <c r="F120" s="3" t="s">
        <v>429</v>
      </c>
      <c r="G120" s="20">
        <v>3.6177083333333339E-2</v>
      </c>
      <c r="H120" s="20">
        <v>3.2776437499999998E-2</v>
      </c>
      <c r="I120" s="20">
        <v>2.9695452375E-2</v>
      </c>
      <c r="J120" s="20">
        <v>2.6904079851750001E-2</v>
      </c>
      <c r="K120" s="20">
        <v>2.4375096345685503E-2</v>
      </c>
      <c r="L120" s="20">
        <v>2.2083837289191065E-2</v>
      </c>
      <c r="M120" s="20">
        <v>2.000795658400711E-2</v>
      </c>
      <c r="N120" s="20">
        <v>1.8127208665110438E-2</v>
      </c>
      <c r="O120" s="20">
        <v>1.642325105059006E-2</v>
      </c>
      <c r="P120" s="20">
        <v>1.487946545183459E-2</v>
      </c>
      <c r="Q120" s="20">
        <v>1.3480795699362141E-2</v>
      </c>
      <c r="R120" s="20">
        <v>1.2213600903622099E-2</v>
      </c>
      <c r="S120" s="20">
        <v>1.1065522418681624E-2</v>
      </c>
      <c r="T120" s="20">
        <v>1.0025363311325551E-2</v>
      </c>
      <c r="U120" s="20">
        <v>9.0829791600609503E-3</v>
      </c>
      <c r="V120" s="20">
        <v>8.2291791190152192E-3</v>
      </c>
      <c r="W120" s="20">
        <v>7.4556362818277893E-3</v>
      </c>
      <c r="X120" s="20">
        <v>6.7548064713359767E-3</v>
      </c>
      <c r="Y120" s="20">
        <v>6.1198546630303954E-3</v>
      </c>
      <c r="Z120" s="20">
        <v>5.544588324705539E-3</v>
      </c>
      <c r="AA120" s="20">
        <v>5.0233970221832186E-3</v>
      </c>
      <c r="AB120" s="20">
        <v>4.5511977020979959E-3</v>
      </c>
      <c r="AC120" s="20">
        <v>4.1233851181007846E-3</v>
      </c>
      <c r="AD120" s="20">
        <v>3.7357869169993112E-3</v>
      </c>
      <c r="AE120" s="20">
        <v>3.3846229468013759E-3</v>
      </c>
      <c r="AF120" s="20">
        <v>3.0664683898020463E-3</v>
      </c>
      <c r="AG120" s="20">
        <v>2.778220361160654E-3</v>
      </c>
      <c r="AH120" s="20">
        <v>2.5170676472115526E-3</v>
      </c>
      <c r="AI120" s="20">
        <v>2.2804632883736669E-3</v>
      </c>
      <c r="AJ120" s="20">
        <v>2.0660997392665417E-3</v>
      </c>
    </row>
    <row r="121" spans="1:36" ht="35" x14ac:dyDescent="0.45">
      <c r="A121" s="34" t="s">
        <v>313</v>
      </c>
      <c r="B121" s="3" t="s">
        <v>298</v>
      </c>
      <c r="C121" s="3" t="s">
        <v>342</v>
      </c>
      <c r="D121" s="4" t="s">
        <v>416</v>
      </c>
      <c r="E121" s="21">
        <v>3.3667431818181818E-3</v>
      </c>
      <c r="F121" s="3" t="s">
        <v>429</v>
      </c>
      <c r="G121" s="20">
        <f>$E$121</f>
        <v>3.3667431818181818E-3</v>
      </c>
      <c r="H121" s="20">
        <f t="shared" ref="H121:AJ121" si="28">$E$121</f>
        <v>3.3667431818181818E-3</v>
      </c>
      <c r="I121" s="20">
        <f t="shared" si="28"/>
        <v>3.3667431818181818E-3</v>
      </c>
      <c r="J121" s="20">
        <f t="shared" si="28"/>
        <v>3.3667431818181818E-3</v>
      </c>
      <c r="K121" s="20">
        <f t="shared" si="28"/>
        <v>3.3667431818181818E-3</v>
      </c>
      <c r="L121" s="20">
        <f t="shared" si="28"/>
        <v>3.3667431818181818E-3</v>
      </c>
      <c r="M121" s="20">
        <f t="shared" si="28"/>
        <v>3.3667431818181818E-3</v>
      </c>
      <c r="N121" s="20">
        <f t="shared" si="28"/>
        <v>3.3667431818181818E-3</v>
      </c>
      <c r="O121" s="20">
        <f t="shared" si="28"/>
        <v>3.3667431818181818E-3</v>
      </c>
      <c r="P121" s="20">
        <f t="shared" si="28"/>
        <v>3.3667431818181818E-3</v>
      </c>
      <c r="Q121" s="20">
        <f t="shared" si="28"/>
        <v>3.3667431818181818E-3</v>
      </c>
      <c r="R121" s="20">
        <f t="shared" si="28"/>
        <v>3.3667431818181818E-3</v>
      </c>
      <c r="S121" s="20">
        <f t="shared" si="28"/>
        <v>3.3667431818181818E-3</v>
      </c>
      <c r="T121" s="20">
        <f t="shared" si="28"/>
        <v>3.3667431818181818E-3</v>
      </c>
      <c r="U121" s="20">
        <f t="shared" si="28"/>
        <v>3.3667431818181818E-3</v>
      </c>
      <c r="V121" s="20">
        <f t="shared" si="28"/>
        <v>3.3667431818181818E-3</v>
      </c>
      <c r="W121" s="20">
        <f t="shared" si="28"/>
        <v>3.3667431818181818E-3</v>
      </c>
      <c r="X121" s="20">
        <f t="shared" si="28"/>
        <v>3.3667431818181818E-3</v>
      </c>
      <c r="Y121" s="20">
        <f t="shared" si="28"/>
        <v>3.3667431818181818E-3</v>
      </c>
      <c r="Z121" s="20">
        <f t="shared" si="28"/>
        <v>3.3667431818181818E-3</v>
      </c>
      <c r="AA121" s="20">
        <f t="shared" si="28"/>
        <v>3.3667431818181818E-3</v>
      </c>
      <c r="AB121" s="20">
        <f t="shared" si="28"/>
        <v>3.3667431818181818E-3</v>
      </c>
      <c r="AC121" s="20">
        <f t="shared" si="28"/>
        <v>3.3667431818181818E-3</v>
      </c>
      <c r="AD121" s="20">
        <f t="shared" si="28"/>
        <v>3.3667431818181818E-3</v>
      </c>
      <c r="AE121" s="20">
        <f t="shared" si="28"/>
        <v>3.3667431818181818E-3</v>
      </c>
      <c r="AF121" s="20">
        <f t="shared" si="28"/>
        <v>3.3667431818181818E-3</v>
      </c>
      <c r="AG121" s="20">
        <f t="shared" si="28"/>
        <v>3.3667431818181818E-3</v>
      </c>
      <c r="AH121" s="20">
        <f t="shared" si="28"/>
        <v>3.3667431818181818E-3</v>
      </c>
      <c r="AI121" s="20">
        <f t="shared" si="28"/>
        <v>3.3667431818181818E-3</v>
      </c>
      <c r="AJ121" s="20">
        <f t="shared" si="28"/>
        <v>3.3667431818181818E-3</v>
      </c>
    </row>
    <row r="122" spans="1:36" ht="35" x14ac:dyDescent="0.45">
      <c r="A122" s="34"/>
      <c r="B122" s="3" t="s">
        <v>299</v>
      </c>
      <c r="C122" s="3" t="s">
        <v>343</v>
      </c>
      <c r="D122" s="4" t="s">
        <v>416</v>
      </c>
      <c r="E122" s="21">
        <v>5.197368181818182E-3</v>
      </c>
      <c r="F122" s="3" t="s">
        <v>429</v>
      </c>
      <c r="G122" s="20">
        <f>$E$122</f>
        <v>5.197368181818182E-3</v>
      </c>
      <c r="H122" s="20">
        <f t="shared" ref="H122:AJ122" si="29">$E$122</f>
        <v>5.197368181818182E-3</v>
      </c>
      <c r="I122" s="20">
        <f t="shared" si="29"/>
        <v>5.197368181818182E-3</v>
      </c>
      <c r="J122" s="20">
        <f t="shared" si="29"/>
        <v>5.197368181818182E-3</v>
      </c>
      <c r="K122" s="20">
        <f t="shared" si="29"/>
        <v>5.197368181818182E-3</v>
      </c>
      <c r="L122" s="20">
        <f t="shared" si="29"/>
        <v>5.197368181818182E-3</v>
      </c>
      <c r="M122" s="20">
        <f t="shared" si="29"/>
        <v>5.197368181818182E-3</v>
      </c>
      <c r="N122" s="20">
        <f t="shared" si="29"/>
        <v>5.197368181818182E-3</v>
      </c>
      <c r="O122" s="20">
        <f t="shared" si="29"/>
        <v>5.197368181818182E-3</v>
      </c>
      <c r="P122" s="20">
        <f t="shared" si="29"/>
        <v>5.197368181818182E-3</v>
      </c>
      <c r="Q122" s="20">
        <f t="shared" si="29"/>
        <v>5.197368181818182E-3</v>
      </c>
      <c r="R122" s="20">
        <f t="shared" si="29"/>
        <v>5.197368181818182E-3</v>
      </c>
      <c r="S122" s="20">
        <f t="shared" si="29"/>
        <v>5.197368181818182E-3</v>
      </c>
      <c r="T122" s="20">
        <f t="shared" si="29"/>
        <v>5.197368181818182E-3</v>
      </c>
      <c r="U122" s="20">
        <f t="shared" si="29"/>
        <v>5.197368181818182E-3</v>
      </c>
      <c r="V122" s="20">
        <f t="shared" si="29"/>
        <v>5.197368181818182E-3</v>
      </c>
      <c r="W122" s="20">
        <f t="shared" si="29"/>
        <v>5.197368181818182E-3</v>
      </c>
      <c r="X122" s="20">
        <f t="shared" si="29"/>
        <v>5.197368181818182E-3</v>
      </c>
      <c r="Y122" s="20">
        <f t="shared" si="29"/>
        <v>5.197368181818182E-3</v>
      </c>
      <c r="Z122" s="20">
        <f t="shared" si="29"/>
        <v>5.197368181818182E-3</v>
      </c>
      <c r="AA122" s="20">
        <f t="shared" si="29"/>
        <v>5.197368181818182E-3</v>
      </c>
      <c r="AB122" s="20">
        <f t="shared" si="29"/>
        <v>5.197368181818182E-3</v>
      </c>
      <c r="AC122" s="20">
        <f t="shared" si="29"/>
        <v>5.197368181818182E-3</v>
      </c>
      <c r="AD122" s="20">
        <f t="shared" si="29"/>
        <v>5.197368181818182E-3</v>
      </c>
      <c r="AE122" s="20">
        <f t="shared" si="29"/>
        <v>5.197368181818182E-3</v>
      </c>
      <c r="AF122" s="20">
        <f t="shared" si="29"/>
        <v>5.197368181818182E-3</v>
      </c>
      <c r="AG122" s="20">
        <f t="shared" si="29"/>
        <v>5.197368181818182E-3</v>
      </c>
      <c r="AH122" s="20">
        <f t="shared" si="29"/>
        <v>5.197368181818182E-3</v>
      </c>
      <c r="AI122" s="20">
        <f t="shared" si="29"/>
        <v>5.197368181818182E-3</v>
      </c>
      <c r="AJ122" s="20">
        <f t="shared" si="29"/>
        <v>5.197368181818182E-3</v>
      </c>
    </row>
    <row r="123" spans="1:36" ht="35" x14ac:dyDescent="0.45">
      <c r="A123" s="34"/>
      <c r="B123" s="3" t="s">
        <v>300</v>
      </c>
      <c r="C123" s="3" t="s">
        <v>344</v>
      </c>
      <c r="D123" s="4" t="s">
        <v>416</v>
      </c>
      <c r="E123" s="21">
        <v>8.231974921630093E-3</v>
      </c>
      <c r="F123" s="3" t="s">
        <v>429</v>
      </c>
      <c r="G123" s="20">
        <v>7.9108463949843239E-3</v>
      </c>
      <c r="H123" s="20">
        <v>7.6782675109717856E-3</v>
      </c>
      <c r="I123" s="20">
        <v>7.4525264461492158E-3</v>
      </c>
      <c r="J123" s="20">
        <v>7.233422168632429E-3</v>
      </c>
      <c r="K123" s="20">
        <v>7.0207595568746355E-3</v>
      </c>
      <c r="L123" s="20">
        <v>6.8143492259025214E-3</v>
      </c>
      <c r="M123" s="20">
        <v>6.6140073586609879E-3</v>
      </c>
      <c r="N123" s="20">
        <v>6.4195555423163554E-3</v>
      </c>
      <c r="O123" s="20">
        <v>6.2308206093722538E-3</v>
      </c>
      <c r="P123" s="20">
        <v>6.0476344834567101E-3</v>
      </c>
      <c r="Q123" s="20">
        <v>5.8698340296430822E-3</v>
      </c>
      <c r="R123" s="20">
        <v>5.6972609091715766E-3</v>
      </c>
      <c r="S123" s="20">
        <v>5.5297614384419323E-3</v>
      </c>
      <c r="T123" s="20">
        <v>5.36718645215174E-3</v>
      </c>
      <c r="U123" s="20">
        <v>5.2093911704584788E-3</v>
      </c>
      <c r="V123" s="20">
        <v>5.0562350700469995E-3</v>
      </c>
      <c r="W123" s="20">
        <v>4.9075817589876169E-3</v>
      </c>
      <c r="X123" s="20">
        <v>4.7632988552733816E-3</v>
      </c>
      <c r="Y123" s="20">
        <v>4.6232578689283446E-3</v>
      </c>
      <c r="Z123" s="20">
        <v>4.4873340875818523E-3</v>
      </c>
      <c r="AA123" s="20">
        <v>4.3554064654069457E-3</v>
      </c>
      <c r="AB123" s="20">
        <v>4.2273575153239807E-3</v>
      </c>
      <c r="AC123" s="20">
        <v>4.1030732043734561E-3</v>
      </c>
      <c r="AD123" s="20">
        <v>3.982442852164877E-3</v>
      </c>
      <c r="AE123" s="20">
        <v>3.8653590323112293E-3</v>
      </c>
      <c r="AF123" s="20">
        <v>3.7517174767612792E-3</v>
      </c>
      <c r="AG123" s="20">
        <v>3.6414169829444977E-3</v>
      </c>
      <c r="AH123" s="20">
        <v>3.5343593236459294E-3</v>
      </c>
      <c r="AI123" s="20">
        <v>3.4304491595307392E-3</v>
      </c>
      <c r="AJ123" s="20">
        <v>3.329593954240536E-3</v>
      </c>
    </row>
    <row r="124" spans="1:36" ht="35" x14ac:dyDescent="0.45">
      <c r="A124" s="34"/>
      <c r="B124" s="3" t="s">
        <v>301</v>
      </c>
      <c r="C124" s="3" t="s">
        <v>345</v>
      </c>
      <c r="D124" s="4" t="s">
        <v>416</v>
      </c>
      <c r="E124" s="21">
        <v>5.9681818181818178E-3</v>
      </c>
      <c r="F124" s="3" t="s">
        <v>429</v>
      </c>
      <c r="G124" s="20">
        <v>5.5888181818181818E-3</v>
      </c>
      <c r="H124" s="20">
        <v>5.2859042363636371E-3</v>
      </c>
      <c r="I124" s="20">
        <v>4.9994082267527272E-3</v>
      </c>
      <c r="J124" s="20">
        <v>4.7284403008627284E-3</v>
      </c>
      <c r="K124" s="20">
        <v>4.472158836555969E-3</v>
      </c>
      <c r="L124" s="20">
        <v>4.2297678276146354E-3</v>
      </c>
      <c r="M124" s="20">
        <v>4.0005144113579218E-3</v>
      </c>
      <c r="N124" s="20">
        <v>3.783686530262322E-3</v>
      </c>
      <c r="O124" s="20">
        <v>3.5786107203221039E-3</v>
      </c>
      <c r="P124" s="20">
        <v>3.3846500192806456E-3</v>
      </c>
      <c r="Q124" s="20">
        <v>3.2012019882356347E-3</v>
      </c>
      <c r="R124" s="20">
        <v>3.0276968404732629E-3</v>
      </c>
      <c r="S124" s="20">
        <v>2.8635956717196123E-3</v>
      </c>
      <c r="T124" s="20">
        <v>2.7083887863124092E-3</v>
      </c>
      <c r="U124" s="20">
        <v>2.5615941140942761E-3</v>
      </c>
      <c r="V124" s="20">
        <v>2.4227557131103663E-3</v>
      </c>
      <c r="W124" s="20">
        <v>2.2914423534597843E-3</v>
      </c>
      <c r="X124" s="20">
        <v>2.1672461779022635E-3</v>
      </c>
      <c r="Y124" s="20">
        <v>2.0497814350599612E-3</v>
      </c>
      <c r="Z124" s="20">
        <v>1.938683281279711E-3</v>
      </c>
      <c r="AA124" s="20">
        <v>1.8336066474343505E-3</v>
      </c>
      <c r="AB124" s="20">
        <v>1.7342251671434088E-3</v>
      </c>
      <c r="AC124" s="20">
        <v>1.6402301630842359E-3</v>
      </c>
      <c r="AD124" s="20">
        <v>1.5513296882450703E-3</v>
      </c>
      <c r="AE124" s="20">
        <v>1.467247619142187E-3</v>
      </c>
      <c r="AF124" s="20">
        <v>1.3877227981846808E-3</v>
      </c>
      <c r="AG124" s="20">
        <v>1.3125082225230709E-3</v>
      </c>
      <c r="AH124" s="20">
        <v>1.2413702768623205E-3</v>
      </c>
      <c r="AI124" s="20">
        <v>1.1740880078563826E-3</v>
      </c>
      <c r="AJ124" s="20">
        <v>1.1104524378305668E-3</v>
      </c>
    </row>
    <row r="125" spans="1:36" ht="35" x14ac:dyDescent="0.45">
      <c r="A125" s="34"/>
      <c r="B125" s="3" t="s">
        <v>302</v>
      </c>
      <c r="C125" s="3" t="s">
        <v>346</v>
      </c>
      <c r="D125" s="4" t="s">
        <v>416</v>
      </c>
      <c r="E125" s="21">
        <v>4.987793181818182E-3</v>
      </c>
      <c r="F125" s="3" t="s">
        <v>429</v>
      </c>
      <c r="G125" s="20">
        <v>4.69889625E-3</v>
      </c>
      <c r="H125" s="20">
        <v>4.4709997818750003E-3</v>
      </c>
      <c r="I125" s="20">
        <v>4.254156292454063E-3</v>
      </c>
      <c r="J125" s="20">
        <v>4.04782971227004E-3</v>
      </c>
      <c r="K125" s="20">
        <v>3.8515099712249437E-3</v>
      </c>
      <c r="L125" s="20">
        <v>3.6647117376205334E-3</v>
      </c>
      <c r="M125" s="20">
        <v>3.4869732183459372E-3</v>
      </c>
      <c r="N125" s="20">
        <v>3.3178550172561594E-3</v>
      </c>
      <c r="O125" s="20">
        <v>3.1569390489192355E-3</v>
      </c>
      <c r="P125" s="20">
        <v>3.0038275050466522E-3</v>
      </c>
      <c r="Q125" s="20">
        <v>2.8581418710518897E-3</v>
      </c>
      <c r="R125" s="20">
        <v>2.7195219903058732E-3</v>
      </c>
      <c r="S125" s="20">
        <v>2.5876251737760379E-3</v>
      </c>
      <c r="T125" s="20">
        <v>2.4621253528479001E-3</v>
      </c>
      <c r="U125" s="20">
        <v>2.3427122732347771E-3</v>
      </c>
      <c r="V125" s="20">
        <v>2.2290907279828905E-3</v>
      </c>
      <c r="W125" s="20">
        <v>2.1209798276757199E-3</v>
      </c>
      <c r="X125" s="20">
        <v>2.0181123060334476E-3</v>
      </c>
      <c r="Y125" s="20">
        <v>1.9202338591908256E-3</v>
      </c>
      <c r="Z125" s="20">
        <v>1.8271025170200704E-3</v>
      </c>
      <c r="AA125" s="20">
        <v>1.7384880449445969E-3</v>
      </c>
      <c r="AB125" s="20">
        <v>1.6541713747647842E-3</v>
      </c>
      <c r="AC125" s="20">
        <v>1.5739440630886919E-3</v>
      </c>
      <c r="AD125" s="20">
        <v>1.49760777602889E-3</v>
      </c>
      <c r="AE125" s="20">
        <v>1.4249737988914889E-3</v>
      </c>
      <c r="AF125" s="20">
        <v>1.3558625696452518E-3</v>
      </c>
      <c r="AG125" s="20">
        <v>1.2901032350174568E-3</v>
      </c>
      <c r="AH125" s="20">
        <v>1.2275332281191102E-3</v>
      </c>
      <c r="AI125" s="20">
        <v>1.1679978665553332E-3</v>
      </c>
      <c r="AJ125" s="20">
        <v>1.1113499700273995E-3</v>
      </c>
    </row>
    <row r="126" spans="1:36" ht="35" x14ac:dyDescent="0.45">
      <c r="A126" s="34"/>
      <c r="B126" s="3" t="s">
        <v>303</v>
      </c>
      <c r="C126" s="3" t="s">
        <v>347</v>
      </c>
      <c r="D126" s="4" t="s">
        <v>416</v>
      </c>
      <c r="E126" s="21">
        <v>6.5420454545454546E-2</v>
      </c>
      <c r="F126" s="3" t="s">
        <v>429</v>
      </c>
      <c r="G126" s="20">
        <v>5.867113636363637E-2</v>
      </c>
      <c r="H126" s="20">
        <v>5.3144315318181826E-2</v>
      </c>
      <c r="I126" s="20">
        <v>4.8138120815209101E-2</v>
      </c>
      <c r="J126" s="20">
        <v>4.3603509834416403E-2</v>
      </c>
      <c r="K126" s="20">
        <v>3.9496059208014384E-2</v>
      </c>
      <c r="L126" s="20">
        <v>3.5775530430619429E-2</v>
      </c>
      <c r="M126" s="20">
        <v>3.2405475464055082E-2</v>
      </c>
      <c r="N126" s="20">
        <v>2.9352879675341094E-2</v>
      </c>
      <c r="O126" s="20">
        <v>2.6587838409923965E-2</v>
      </c>
      <c r="P126" s="20">
        <v>2.4083264031709128E-2</v>
      </c>
      <c r="Q126" s="20">
        <v>2.1814620559922129E-2</v>
      </c>
      <c r="R126" s="20">
        <v>1.9759683303177466E-2</v>
      </c>
      <c r="S126" s="20">
        <v>1.789832113601815E-2</v>
      </c>
      <c r="T126" s="20">
        <v>1.6212299285005241E-2</v>
      </c>
      <c r="U126" s="20">
        <v>1.4685100692357749E-2</v>
      </c>
      <c r="V126" s="20">
        <v>1.330176420713765E-2</v>
      </c>
      <c r="W126" s="20">
        <v>1.2048738018825285E-2</v>
      </c>
      <c r="X126" s="20">
        <v>1.0913746897451943E-2</v>
      </c>
      <c r="Y126" s="20">
        <v>9.8856719397119701E-3</v>
      </c>
      <c r="Z126" s="20">
        <v>8.9544416429911036E-3</v>
      </c>
      <c r="AA126" s="20">
        <v>8.1109332402213418E-3</v>
      </c>
      <c r="AB126" s="20">
        <v>7.3468833289924923E-3</v>
      </c>
      <c r="AC126" s="20">
        <v>6.6548069194013997E-3</v>
      </c>
      <c r="AD126" s="20">
        <v>6.0279241075937877E-3</v>
      </c>
      <c r="AE126" s="20">
        <v>5.4600936566584542E-3</v>
      </c>
      <c r="AF126" s="20">
        <v>4.9457528342012275E-3</v>
      </c>
      <c r="AG126" s="20">
        <v>4.4798629172194725E-3</v>
      </c>
      <c r="AH126" s="20">
        <v>4.0578598304173976E-3</v>
      </c>
      <c r="AI126" s="20">
        <v>3.6756094343920794E-3</v>
      </c>
      <c r="AJ126" s="20">
        <v>3.3293670256723459E-3</v>
      </c>
    </row>
    <row r="127" spans="1:36" ht="35" x14ac:dyDescent="0.45">
      <c r="A127" s="34"/>
      <c r="B127" s="3" t="s">
        <v>304</v>
      </c>
      <c r="C127" s="3" t="s">
        <v>348</v>
      </c>
      <c r="D127" s="4" t="s">
        <v>416</v>
      </c>
      <c r="E127" s="21">
        <v>1.1211371323529411E-2</v>
      </c>
      <c r="F127" s="3" t="s">
        <v>429</v>
      </c>
      <c r="G127" s="20">
        <f>$E$127</f>
        <v>1.1211371323529411E-2</v>
      </c>
      <c r="H127" s="20">
        <f t="shared" ref="H127:AJ127" si="30">$E$127</f>
        <v>1.1211371323529411E-2</v>
      </c>
      <c r="I127" s="20">
        <f t="shared" si="30"/>
        <v>1.1211371323529411E-2</v>
      </c>
      <c r="J127" s="20">
        <f t="shared" si="30"/>
        <v>1.1211371323529411E-2</v>
      </c>
      <c r="K127" s="20">
        <f t="shared" si="30"/>
        <v>1.1211371323529411E-2</v>
      </c>
      <c r="L127" s="20">
        <f t="shared" si="30"/>
        <v>1.1211371323529411E-2</v>
      </c>
      <c r="M127" s="20">
        <f t="shared" si="30"/>
        <v>1.1211371323529411E-2</v>
      </c>
      <c r="N127" s="20">
        <f t="shared" si="30"/>
        <v>1.1211371323529411E-2</v>
      </c>
      <c r="O127" s="20">
        <f t="shared" si="30"/>
        <v>1.1211371323529411E-2</v>
      </c>
      <c r="P127" s="20">
        <f t="shared" si="30"/>
        <v>1.1211371323529411E-2</v>
      </c>
      <c r="Q127" s="20">
        <f t="shared" si="30"/>
        <v>1.1211371323529411E-2</v>
      </c>
      <c r="R127" s="20">
        <f t="shared" si="30"/>
        <v>1.1211371323529411E-2</v>
      </c>
      <c r="S127" s="20">
        <f t="shared" si="30"/>
        <v>1.1211371323529411E-2</v>
      </c>
      <c r="T127" s="20">
        <f t="shared" si="30"/>
        <v>1.1211371323529411E-2</v>
      </c>
      <c r="U127" s="20">
        <f t="shared" si="30"/>
        <v>1.1211371323529411E-2</v>
      </c>
      <c r="V127" s="20">
        <f t="shared" si="30"/>
        <v>1.1211371323529411E-2</v>
      </c>
      <c r="W127" s="20">
        <f t="shared" si="30"/>
        <v>1.1211371323529411E-2</v>
      </c>
      <c r="X127" s="20">
        <f t="shared" si="30"/>
        <v>1.1211371323529411E-2</v>
      </c>
      <c r="Y127" s="20">
        <f t="shared" si="30"/>
        <v>1.1211371323529411E-2</v>
      </c>
      <c r="Z127" s="20">
        <f t="shared" si="30"/>
        <v>1.1211371323529411E-2</v>
      </c>
      <c r="AA127" s="20">
        <f t="shared" si="30"/>
        <v>1.1211371323529411E-2</v>
      </c>
      <c r="AB127" s="20">
        <f t="shared" si="30"/>
        <v>1.1211371323529411E-2</v>
      </c>
      <c r="AC127" s="20">
        <f t="shared" si="30"/>
        <v>1.1211371323529411E-2</v>
      </c>
      <c r="AD127" s="20">
        <f t="shared" si="30"/>
        <v>1.1211371323529411E-2</v>
      </c>
      <c r="AE127" s="20">
        <f t="shared" si="30"/>
        <v>1.1211371323529411E-2</v>
      </c>
      <c r="AF127" s="20">
        <f t="shared" si="30"/>
        <v>1.1211371323529411E-2</v>
      </c>
      <c r="AG127" s="20">
        <f t="shared" si="30"/>
        <v>1.1211371323529411E-2</v>
      </c>
      <c r="AH127" s="20">
        <f t="shared" si="30"/>
        <v>1.1211371323529411E-2</v>
      </c>
      <c r="AI127" s="20">
        <f t="shared" si="30"/>
        <v>1.1211371323529411E-2</v>
      </c>
      <c r="AJ127" s="20">
        <f t="shared" si="30"/>
        <v>1.1211371323529411E-2</v>
      </c>
    </row>
    <row r="128" spans="1:36" ht="35" x14ac:dyDescent="0.45">
      <c r="A128" s="34"/>
      <c r="B128" s="3" t="s">
        <v>305</v>
      </c>
      <c r="C128" s="3" t="s">
        <v>349</v>
      </c>
      <c r="D128" s="4" t="s">
        <v>416</v>
      </c>
      <c r="E128" s="21">
        <v>1.0309591503267974E-3</v>
      </c>
      <c r="F128" s="3" t="s">
        <v>429</v>
      </c>
      <c r="G128" s="20">
        <f>$E$128</f>
        <v>1.0309591503267974E-3</v>
      </c>
      <c r="H128" s="20">
        <f t="shared" ref="H128:AJ128" si="31">$E$128</f>
        <v>1.0309591503267974E-3</v>
      </c>
      <c r="I128" s="20">
        <f t="shared" si="31"/>
        <v>1.0309591503267974E-3</v>
      </c>
      <c r="J128" s="20">
        <f t="shared" si="31"/>
        <v>1.0309591503267974E-3</v>
      </c>
      <c r="K128" s="20">
        <f t="shared" si="31"/>
        <v>1.0309591503267974E-3</v>
      </c>
      <c r="L128" s="20">
        <f t="shared" si="31"/>
        <v>1.0309591503267974E-3</v>
      </c>
      <c r="M128" s="20">
        <f t="shared" si="31"/>
        <v>1.0309591503267974E-3</v>
      </c>
      <c r="N128" s="20">
        <f t="shared" si="31"/>
        <v>1.0309591503267974E-3</v>
      </c>
      <c r="O128" s="20">
        <f t="shared" si="31"/>
        <v>1.0309591503267974E-3</v>
      </c>
      <c r="P128" s="20">
        <f t="shared" si="31"/>
        <v>1.0309591503267974E-3</v>
      </c>
      <c r="Q128" s="20">
        <f t="shared" si="31"/>
        <v>1.0309591503267974E-3</v>
      </c>
      <c r="R128" s="20">
        <f t="shared" si="31"/>
        <v>1.0309591503267974E-3</v>
      </c>
      <c r="S128" s="20">
        <f t="shared" si="31"/>
        <v>1.0309591503267974E-3</v>
      </c>
      <c r="T128" s="20">
        <f t="shared" si="31"/>
        <v>1.0309591503267974E-3</v>
      </c>
      <c r="U128" s="20">
        <f t="shared" si="31"/>
        <v>1.0309591503267974E-3</v>
      </c>
      <c r="V128" s="20">
        <f t="shared" si="31"/>
        <v>1.0309591503267974E-3</v>
      </c>
      <c r="W128" s="20">
        <f t="shared" si="31"/>
        <v>1.0309591503267974E-3</v>
      </c>
      <c r="X128" s="20">
        <f t="shared" si="31"/>
        <v>1.0309591503267974E-3</v>
      </c>
      <c r="Y128" s="20">
        <f t="shared" si="31"/>
        <v>1.0309591503267974E-3</v>
      </c>
      <c r="Z128" s="20">
        <f t="shared" si="31"/>
        <v>1.0309591503267974E-3</v>
      </c>
      <c r="AA128" s="20">
        <f t="shared" si="31"/>
        <v>1.0309591503267974E-3</v>
      </c>
      <c r="AB128" s="20">
        <f t="shared" si="31"/>
        <v>1.0309591503267974E-3</v>
      </c>
      <c r="AC128" s="20">
        <f t="shared" si="31"/>
        <v>1.0309591503267974E-3</v>
      </c>
      <c r="AD128" s="20">
        <f t="shared" si="31"/>
        <v>1.0309591503267974E-3</v>
      </c>
      <c r="AE128" s="20">
        <f t="shared" si="31"/>
        <v>1.0309591503267974E-3</v>
      </c>
      <c r="AF128" s="20">
        <f t="shared" si="31"/>
        <v>1.0309591503267974E-3</v>
      </c>
      <c r="AG128" s="20">
        <f t="shared" si="31"/>
        <v>1.0309591503267974E-3</v>
      </c>
      <c r="AH128" s="20">
        <f t="shared" si="31"/>
        <v>1.0309591503267974E-3</v>
      </c>
      <c r="AI128" s="20">
        <f t="shared" si="31"/>
        <v>1.0309591503267974E-3</v>
      </c>
      <c r="AJ128" s="20">
        <f t="shared" si="31"/>
        <v>1.0309591503267974E-3</v>
      </c>
    </row>
    <row r="129" spans="1:36" ht="35" x14ac:dyDescent="0.45">
      <c r="A129" s="34"/>
      <c r="B129" s="3" t="s">
        <v>306</v>
      </c>
      <c r="C129" s="3" t="s">
        <v>350</v>
      </c>
      <c r="D129" s="4" t="s">
        <v>416</v>
      </c>
      <c r="E129" s="21">
        <v>5.198529411764706E-3</v>
      </c>
      <c r="F129" s="3" t="s">
        <v>429</v>
      </c>
      <c r="G129" s="20">
        <v>4.8768382352941172E-3</v>
      </c>
      <c r="H129" s="20">
        <v>4.6208042279411764E-3</v>
      </c>
      <c r="I129" s="20">
        <v>4.3782120059742647E-3</v>
      </c>
      <c r="J129" s="20">
        <v>4.1483558756606163E-3</v>
      </c>
      <c r="K129" s="20">
        <v>3.9305671921884338E-3</v>
      </c>
      <c r="L129" s="20">
        <v>3.724212414598541E-3</v>
      </c>
      <c r="M129" s="20">
        <v>3.5286912628321172E-3</v>
      </c>
      <c r="N129" s="20">
        <v>3.3434349715334316E-3</v>
      </c>
      <c r="O129" s="20">
        <v>3.1679046355279263E-3</v>
      </c>
      <c r="P129" s="20">
        <v>3.0015896421627104E-3</v>
      </c>
      <c r="Q129" s="20">
        <v>2.844006185949168E-3</v>
      </c>
      <c r="R129" s="20">
        <v>2.6946958611868367E-3</v>
      </c>
      <c r="S129" s="20">
        <v>2.5532243284745282E-3</v>
      </c>
      <c r="T129" s="20">
        <v>2.4191800512296155E-3</v>
      </c>
      <c r="U129" s="20">
        <v>2.2921730985400604E-3</v>
      </c>
      <c r="V129" s="20">
        <v>2.1718340108667074E-3</v>
      </c>
      <c r="W129" s="20">
        <v>2.0578127252962055E-3</v>
      </c>
      <c r="X129" s="20">
        <v>1.9497775572181544E-3</v>
      </c>
      <c r="Y129" s="20">
        <v>1.8474142354642014E-3</v>
      </c>
      <c r="Z129" s="20">
        <v>1.7504249881023311E-3</v>
      </c>
      <c r="AA129" s="20">
        <v>1.6585276762269589E-3</v>
      </c>
      <c r="AB129" s="20">
        <v>1.5714549732250436E-3</v>
      </c>
      <c r="AC129" s="20">
        <v>1.4889535871307287E-3</v>
      </c>
      <c r="AD129" s="20">
        <v>1.4107835238063653E-3</v>
      </c>
      <c r="AE129" s="20">
        <v>1.3367173888065313E-3</v>
      </c>
      <c r="AF129" s="20">
        <v>1.2665397258941886E-3</v>
      </c>
      <c r="AG129" s="20">
        <v>1.2000463902847435E-3</v>
      </c>
      <c r="AH129" s="20">
        <v>1.1370439547947944E-3</v>
      </c>
      <c r="AI129" s="20">
        <v>1.0773491471680679E-3</v>
      </c>
      <c r="AJ129" s="20">
        <v>1.0207883169417445E-3</v>
      </c>
    </row>
    <row r="130" spans="1:36" ht="35" x14ac:dyDescent="0.45">
      <c r="A130" s="34"/>
      <c r="B130" s="3" t="s">
        <v>311</v>
      </c>
      <c r="C130" s="3" t="s">
        <v>351</v>
      </c>
      <c r="D130" s="4" t="s">
        <v>416</v>
      </c>
      <c r="E130" s="21">
        <v>5.198529411764706E-3</v>
      </c>
      <c r="F130" s="3" t="s">
        <v>429</v>
      </c>
      <c r="G130" s="20">
        <v>4.8768382352941172E-3</v>
      </c>
      <c r="H130" s="20">
        <v>4.6208042279411764E-3</v>
      </c>
      <c r="I130" s="20">
        <v>4.3782120059742647E-3</v>
      </c>
      <c r="J130" s="20">
        <v>4.1483558756606163E-3</v>
      </c>
      <c r="K130" s="20">
        <v>3.9305671921884338E-3</v>
      </c>
      <c r="L130" s="20">
        <v>3.724212414598541E-3</v>
      </c>
      <c r="M130" s="20">
        <v>3.5286912628321172E-3</v>
      </c>
      <c r="N130" s="20">
        <v>3.3434349715334316E-3</v>
      </c>
      <c r="O130" s="20">
        <v>3.1679046355279263E-3</v>
      </c>
      <c r="P130" s="20">
        <v>3.0015896421627104E-3</v>
      </c>
      <c r="Q130" s="20">
        <v>2.844006185949168E-3</v>
      </c>
      <c r="R130" s="20">
        <v>2.6946958611868367E-3</v>
      </c>
      <c r="S130" s="20">
        <v>2.5532243284745282E-3</v>
      </c>
      <c r="T130" s="20">
        <v>2.4191800512296155E-3</v>
      </c>
      <c r="U130" s="20">
        <v>2.2921730985400604E-3</v>
      </c>
      <c r="V130" s="20">
        <v>2.1718340108667074E-3</v>
      </c>
      <c r="W130" s="20">
        <v>2.0578127252962055E-3</v>
      </c>
      <c r="X130" s="20">
        <v>1.9497775572181544E-3</v>
      </c>
      <c r="Y130" s="20">
        <v>1.8474142354642014E-3</v>
      </c>
      <c r="Z130" s="20">
        <v>1.7504249881023311E-3</v>
      </c>
      <c r="AA130" s="20">
        <v>1.6585276762269589E-3</v>
      </c>
      <c r="AB130" s="20">
        <v>1.5714549732250436E-3</v>
      </c>
      <c r="AC130" s="20">
        <v>1.4889535871307287E-3</v>
      </c>
      <c r="AD130" s="20">
        <v>1.4107835238063653E-3</v>
      </c>
      <c r="AE130" s="20">
        <v>1.3367173888065313E-3</v>
      </c>
      <c r="AF130" s="20">
        <v>1.2665397258941886E-3</v>
      </c>
      <c r="AG130" s="20">
        <v>1.2000463902847435E-3</v>
      </c>
      <c r="AH130" s="20">
        <v>1.1370439547947944E-3</v>
      </c>
      <c r="AI130" s="20">
        <v>1.0773491471680679E-3</v>
      </c>
      <c r="AJ130" s="20">
        <v>1.0207883169417445E-3</v>
      </c>
    </row>
    <row r="131" spans="1:36" ht="35" x14ac:dyDescent="0.45">
      <c r="A131" s="34"/>
      <c r="B131" s="3" t="s">
        <v>307</v>
      </c>
      <c r="C131" s="3" t="s">
        <v>352</v>
      </c>
      <c r="D131" s="4" t="s">
        <v>416</v>
      </c>
      <c r="E131" s="21">
        <v>1.7675E-2</v>
      </c>
      <c r="F131" s="3" t="s">
        <v>429</v>
      </c>
      <c r="G131" s="20">
        <v>1.5917999999999998E-2</v>
      </c>
      <c r="H131" s="20">
        <v>1.44790128E-2</v>
      </c>
      <c r="I131" s="20">
        <v>1.3170110042879999E-2</v>
      </c>
      <c r="J131" s="20">
        <v>1.1979532095003647E-2</v>
      </c>
      <c r="K131" s="20">
        <v>1.0896582393615318E-2</v>
      </c>
      <c r="L131" s="20">
        <v>9.9115313452324914E-3</v>
      </c>
      <c r="M131" s="20">
        <v>9.0155289116234747E-3</v>
      </c>
      <c r="N131" s="20">
        <v>8.2005250980127127E-3</v>
      </c>
      <c r="O131" s="20">
        <v>7.459197629152362E-3</v>
      </c>
      <c r="P131" s="20">
        <v>6.7848861634769875E-3</v>
      </c>
      <c r="Q131" s="20">
        <v>6.1715324542986685E-3</v>
      </c>
      <c r="R131" s="20">
        <v>5.6136259204300687E-3</v>
      </c>
      <c r="S131" s="20">
        <v>5.106154137223191E-3</v>
      </c>
      <c r="T131" s="20">
        <v>4.6445578032182138E-3</v>
      </c>
      <c r="U131" s="20">
        <v>4.2246897778072875E-3</v>
      </c>
      <c r="V131" s="20">
        <v>3.8427778218935085E-3</v>
      </c>
      <c r="W131" s="20">
        <v>3.4953907067943346E-3</v>
      </c>
      <c r="X131" s="20">
        <v>3.1794073869001274E-3</v>
      </c>
      <c r="Y131" s="20">
        <v>2.8919889591243553E-3</v>
      </c>
      <c r="Z131" s="20">
        <v>2.6305531572195133E-3</v>
      </c>
      <c r="AA131" s="20">
        <v>2.3927511518068694E-3</v>
      </c>
      <c r="AB131" s="20">
        <v>2.1764464476835281E-3</v>
      </c>
      <c r="AC131" s="20">
        <v>1.9796956888129373E-3</v>
      </c>
      <c r="AD131" s="20">
        <v>1.8007311985442475E-3</v>
      </c>
      <c r="AE131" s="20">
        <v>1.6379450981958477E-3</v>
      </c>
      <c r="AF131" s="20">
        <v>1.4898748613189428E-3</v>
      </c>
      <c r="AG131" s="20">
        <v>1.3551901738557105E-3</v>
      </c>
      <c r="AH131" s="20">
        <v>1.2326809821391542E-3</v>
      </c>
      <c r="AI131" s="20">
        <v>1.1212466213537749E-3</v>
      </c>
      <c r="AJ131" s="20">
        <v>1.0198859267833934E-3</v>
      </c>
    </row>
    <row r="132" spans="1:36" ht="35" x14ac:dyDescent="0.45">
      <c r="A132" s="34"/>
      <c r="B132" s="3" t="s">
        <v>367</v>
      </c>
      <c r="C132" s="3" t="s">
        <v>184</v>
      </c>
      <c r="D132" s="4" t="s">
        <v>416</v>
      </c>
      <c r="E132" s="21">
        <v>5.1851368715083801E-3</v>
      </c>
      <c r="F132" s="3" t="s">
        <v>429</v>
      </c>
      <c r="G132" s="20">
        <f>$E$132</f>
        <v>5.1851368715083801E-3</v>
      </c>
      <c r="H132" s="20">
        <f t="shared" ref="H132:AJ132" si="32">$E$132</f>
        <v>5.1851368715083801E-3</v>
      </c>
      <c r="I132" s="20">
        <f t="shared" si="32"/>
        <v>5.1851368715083801E-3</v>
      </c>
      <c r="J132" s="20">
        <f t="shared" si="32"/>
        <v>5.1851368715083801E-3</v>
      </c>
      <c r="K132" s="20">
        <f t="shared" si="32"/>
        <v>5.1851368715083801E-3</v>
      </c>
      <c r="L132" s="20">
        <f t="shared" si="32"/>
        <v>5.1851368715083801E-3</v>
      </c>
      <c r="M132" s="20">
        <f t="shared" si="32"/>
        <v>5.1851368715083801E-3</v>
      </c>
      <c r="N132" s="20">
        <f t="shared" si="32"/>
        <v>5.1851368715083801E-3</v>
      </c>
      <c r="O132" s="20">
        <f t="shared" si="32"/>
        <v>5.1851368715083801E-3</v>
      </c>
      <c r="P132" s="20">
        <f t="shared" si="32"/>
        <v>5.1851368715083801E-3</v>
      </c>
      <c r="Q132" s="20">
        <f t="shared" si="32"/>
        <v>5.1851368715083801E-3</v>
      </c>
      <c r="R132" s="20">
        <f t="shared" si="32"/>
        <v>5.1851368715083801E-3</v>
      </c>
      <c r="S132" s="20">
        <f t="shared" si="32"/>
        <v>5.1851368715083801E-3</v>
      </c>
      <c r="T132" s="20">
        <f t="shared" si="32"/>
        <v>5.1851368715083801E-3</v>
      </c>
      <c r="U132" s="20">
        <f t="shared" si="32"/>
        <v>5.1851368715083801E-3</v>
      </c>
      <c r="V132" s="20">
        <f t="shared" si="32"/>
        <v>5.1851368715083801E-3</v>
      </c>
      <c r="W132" s="20">
        <f t="shared" si="32"/>
        <v>5.1851368715083801E-3</v>
      </c>
      <c r="X132" s="20">
        <f t="shared" si="32"/>
        <v>5.1851368715083801E-3</v>
      </c>
      <c r="Y132" s="20">
        <f t="shared" si="32"/>
        <v>5.1851368715083801E-3</v>
      </c>
      <c r="Z132" s="20">
        <f t="shared" si="32"/>
        <v>5.1851368715083801E-3</v>
      </c>
      <c r="AA132" s="20">
        <f t="shared" si="32"/>
        <v>5.1851368715083801E-3</v>
      </c>
      <c r="AB132" s="20">
        <f t="shared" si="32"/>
        <v>5.1851368715083801E-3</v>
      </c>
      <c r="AC132" s="20">
        <f t="shared" si="32"/>
        <v>5.1851368715083801E-3</v>
      </c>
      <c r="AD132" s="20">
        <f t="shared" si="32"/>
        <v>5.1851368715083801E-3</v>
      </c>
      <c r="AE132" s="20">
        <f t="shared" si="32"/>
        <v>5.1851368715083801E-3</v>
      </c>
      <c r="AF132" s="20">
        <f t="shared" si="32"/>
        <v>5.1851368715083801E-3</v>
      </c>
      <c r="AG132" s="20">
        <f t="shared" si="32"/>
        <v>5.1851368715083801E-3</v>
      </c>
      <c r="AH132" s="20">
        <f t="shared" si="32"/>
        <v>5.1851368715083801E-3</v>
      </c>
      <c r="AI132" s="20">
        <f t="shared" si="32"/>
        <v>5.1851368715083801E-3</v>
      </c>
      <c r="AJ132" s="20">
        <f t="shared" si="32"/>
        <v>5.1851368715083801E-3</v>
      </c>
    </row>
    <row r="133" spans="1:36" ht="35" x14ac:dyDescent="0.45">
      <c r="A133" s="34"/>
      <c r="B133" s="3" t="s">
        <v>308</v>
      </c>
      <c r="C133" s="3" t="s">
        <v>182</v>
      </c>
      <c r="D133" s="4" t="s">
        <v>416</v>
      </c>
      <c r="E133" s="21">
        <v>1.5893446099731018E-4</v>
      </c>
      <c r="F133" s="3" t="s">
        <v>429</v>
      </c>
      <c r="G133" s="20">
        <f>$E$133</f>
        <v>1.5893446099731018E-4</v>
      </c>
      <c r="H133" s="20">
        <f t="shared" ref="H133:AJ133" si="33">$E$133</f>
        <v>1.5893446099731018E-4</v>
      </c>
      <c r="I133" s="20">
        <f t="shared" si="33"/>
        <v>1.5893446099731018E-4</v>
      </c>
      <c r="J133" s="20">
        <f t="shared" si="33"/>
        <v>1.5893446099731018E-4</v>
      </c>
      <c r="K133" s="20">
        <f t="shared" si="33"/>
        <v>1.5893446099731018E-4</v>
      </c>
      <c r="L133" s="20">
        <f t="shared" si="33"/>
        <v>1.5893446099731018E-4</v>
      </c>
      <c r="M133" s="20">
        <f t="shared" si="33"/>
        <v>1.5893446099731018E-4</v>
      </c>
      <c r="N133" s="20">
        <f t="shared" si="33"/>
        <v>1.5893446099731018E-4</v>
      </c>
      <c r="O133" s="20">
        <f t="shared" si="33"/>
        <v>1.5893446099731018E-4</v>
      </c>
      <c r="P133" s="20">
        <f t="shared" si="33"/>
        <v>1.5893446099731018E-4</v>
      </c>
      <c r="Q133" s="20">
        <f t="shared" si="33"/>
        <v>1.5893446099731018E-4</v>
      </c>
      <c r="R133" s="20">
        <f t="shared" si="33"/>
        <v>1.5893446099731018E-4</v>
      </c>
      <c r="S133" s="20">
        <f t="shared" si="33"/>
        <v>1.5893446099731018E-4</v>
      </c>
      <c r="T133" s="20">
        <f t="shared" si="33"/>
        <v>1.5893446099731018E-4</v>
      </c>
      <c r="U133" s="20">
        <f t="shared" si="33"/>
        <v>1.5893446099731018E-4</v>
      </c>
      <c r="V133" s="20">
        <f t="shared" si="33"/>
        <v>1.5893446099731018E-4</v>
      </c>
      <c r="W133" s="20">
        <f t="shared" si="33"/>
        <v>1.5893446099731018E-4</v>
      </c>
      <c r="X133" s="20">
        <f t="shared" si="33"/>
        <v>1.5893446099731018E-4</v>
      </c>
      <c r="Y133" s="20">
        <f t="shared" si="33"/>
        <v>1.5893446099731018E-4</v>
      </c>
      <c r="Z133" s="20">
        <f t="shared" si="33"/>
        <v>1.5893446099731018E-4</v>
      </c>
      <c r="AA133" s="20">
        <f t="shared" si="33"/>
        <v>1.5893446099731018E-4</v>
      </c>
      <c r="AB133" s="20">
        <f t="shared" si="33"/>
        <v>1.5893446099731018E-4</v>
      </c>
      <c r="AC133" s="20">
        <f t="shared" si="33"/>
        <v>1.5893446099731018E-4</v>
      </c>
      <c r="AD133" s="20">
        <f t="shared" si="33"/>
        <v>1.5893446099731018E-4</v>
      </c>
      <c r="AE133" s="20">
        <f t="shared" si="33"/>
        <v>1.5893446099731018E-4</v>
      </c>
      <c r="AF133" s="20">
        <f t="shared" si="33"/>
        <v>1.5893446099731018E-4</v>
      </c>
      <c r="AG133" s="20">
        <f t="shared" si="33"/>
        <v>1.5893446099731018E-4</v>
      </c>
      <c r="AH133" s="20">
        <f t="shared" si="33"/>
        <v>1.5893446099731018E-4</v>
      </c>
      <c r="AI133" s="20">
        <f t="shared" si="33"/>
        <v>1.5893446099731018E-4</v>
      </c>
      <c r="AJ133" s="20">
        <f t="shared" si="33"/>
        <v>1.5893446099731018E-4</v>
      </c>
    </row>
    <row r="134" spans="1:36" ht="35" x14ac:dyDescent="0.45">
      <c r="A134" s="34"/>
      <c r="B134" s="3" t="s">
        <v>309</v>
      </c>
      <c r="C134" s="3" t="s">
        <v>353</v>
      </c>
      <c r="D134" s="4" t="s">
        <v>416</v>
      </c>
      <c r="E134" s="21">
        <v>1.1911855990068283E-3</v>
      </c>
      <c r="F134" s="3" t="s">
        <v>429</v>
      </c>
      <c r="G134" s="20">
        <v>1.1028491620111735E-3</v>
      </c>
      <c r="H134" s="20">
        <v>1.0312742513966483E-3</v>
      </c>
      <c r="I134" s="20">
        <v>9.6434455248100583E-4</v>
      </c>
      <c r="J134" s="20">
        <v>9.0175859102498872E-4</v>
      </c>
      <c r="K134" s="20">
        <v>8.43234458467467E-4</v>
      </c>
      <c r="L134" s="20">
        <v>7.8850854211292849E-4</v>
      </c>
      <c r="M134" s="20">
        <v>7.373343377297995E-4</v>
      </c>
      <c r="N134" s="20">
        <v>6.8948133921113556E-4</v>
      </c>
      <c r="O134" s="20">
        <v>6.4473400029633283E-4</v>
      </c>
      <c r="P134" s="20">
        <v>6.0289076367710086E-4</v>
      </c>
      <c r="Q134" s="20">
        <v>5.637631531144571E-4</v>
      </c>
      <c r="R134" s="20">
        <v>5.2717492447732883E-4</v>
      </c>
      <c r="S134" s="20">
        <v>4.9296127187875029E-4</v>
      </c>
      <c r="T134" s="20">
        <v>4.6096808533381935E-4</v>
      </c>
      <c r="U134" s="20">
        <v>4.3105125659565461E-4</v>
      </c>
      <c r="V134" s="20">
        <v>4.0307603004259654E-4</v>
      </c>
      <c r="W134" s="20">
        <v>3.7691639569283205E-4</v>
      </c>
      <c r="X134" s="20">
        <v>3.5245452161236727E-4</v>
      </c>
      <c r="Y134" s="20">
        <v>3.2958022315972469E-4</v>
      </c>
      <c r="Z134" s="20">
        <v>3.0819046667665854E-4</v>
      </c>
      <c r="AA134" s="20">
        <v>2.8818890538934345E-4</v>
      </c>
      <c r="AB134" s="20">
        <v>2.6948544542957503E-4</v>
      </c>
      <c r="AC134" s="20">
        <v>2.519958400211957E-4</v>
      </c>
      <c r="AD134" s="20">
        <v>2.3564131000382009E-4</v>
      </c>
      <c r="AE134" s="20">
        <v>2.2034818898457217E-4</v>
      </c>
      <c r="AF134" s="20">
        <v>2.0604759151947349E-4</v>
      </c>
      <c r="AG134" s="20">
        <v>1.9267510282985963E-4</v>
      </c>
      <c r="AH134" s="20">
        <v>1.8017048865620177E-4</v>
      </c>
      <c r="AI134" s="20">
        <v>1.6847742394241432E-4</v>
      </c>
      <c r="AJ134" s="20">
        <v>1.575432391285516E-4</v>
      </c>
    </row>
    <row r="135" spans="1:36" ht="35" x14ac:dyDescent="0.45">
      <c r="A135" s="34"/>
      <c r="B135" s="3" t="s">
        <v>312</v>
      </c>
      <c r="C135" s="3" t="s">
        <v>183</v>
      </c>
      <c r="D135" s="4" t="s">
        <v>416</v>
      </c>
      <c r="E135" s="21">
        <v>1.8808193668528868E-3</v>
      </c>
      <c r="F135" s="3" t="s">
        <v>429</v>
      </c>
      <c r="G135" s="20">
        <v>1.7148975791433897E-3</v>
      </c>
      <c r="H135" s="20">
        <v>1.5792491806331473E-3</v>
      </c>
      <c r="I135" s="20">
        <v>1.4543305704450655E-3</v>
      </c>
      <c r="J135" s="20">
        <v>1.3392930223228611E-3</v>
      </c>
      <c r="K135" s="20">
        <v>1.2333549442571229E-3</v>
      </c>
      <c r="L135" s="20">
        <v>1.1357965681663845E-3</v>
      </c>
      <c r="M135" s="20">
        <v>1.0459550596244236E-3</v>
      </c>
      <c r="N135" s="20">
        <v>9.6322001440813179E-4</v>
      </c>
      <c r="O135" s="20">
        <v>8.8702931126844863E-4</v>
      </c>
      <c r="P135" s="20">
        <v>8.1686529274711426E-4</v>
      </c>
      <c r="Q135" s="20">
        <v>7.5225124809081753E-4</v>
      </c>
      <c r="R135" s="20">
        <v>6.9274817436683399E-4</v>
      </c>
      <c r="S135" s="20">
        <v>6.379517937744175E-4</v>
      </c>
      <c r="T135" s="20">
        <v>5.874898068868611E-4</v>
      </c>
      <c r="U135" s="20">
        <v>5.4101936316211052E-4</v>
      </c>
      <c r="V135" s="20">
        <v>4.9822473153598762E-4</v>
      </c>
      <c r="W135" s="20">
        <v>4.5881515527149098E-4</v>
      </c>
      <c r="X135" s="20">
        <v>4.2252287648951616E-4</v>
      </c>
      <c r="Y135" s="20">
        <v>3.8910131695919537E-4</v>
      </c>
      <c r="Z135" s="20">
        <v>3.5832340278772306E-4</v>
      </c>
      <c r="AA135" s="20">
        <v>3.2998002162721419E-4</v>
      </c>
      <c r="AB135" s="20">
        <v>3.0387860191650155E-4</v>
      </c>
      <c r="AC135" s="20">
        <v>2.7984180450490629E-4</v>
      </c>
      <c r="AD135" s="20">
        <v>2.5770631776856826E-4</v>
      </c>
      <c r="AE135" s="20">
        <v>2.3732174803307453E-4</v>
      </c>
      <c r="AF135" s="20">
        <v>2.1854959776365833E-4</v>
      </c>
      <c r="AG135" s="20">
        <v>2.0126232458055296E-4</v>
      </c>
      <c r="AH135" s="20">
        <v>1.8534247470623123E-4</v>
      </c>
      <c r="AI135" s="20">
        <v>1.7068188495696836E-4</v>
      </c>
      <c r="AJ135" s="20">
        <v>1.5718094785687218E-4</v>
      </c>
    </row>
    <row r="136" spans="1:36" ht="35" x14ac:dyDescent="0.45">
      <c r="A136" s="34"/>
      <c r="B136" s="3" t="s">
        <v>310</v>
      </c>
      <c r="C136" s="3" t="s">
        <v>185</v>
      </c>
      <c r="D136" s="4" t="s">
        <v>416</v>
      </c>
      <c r="E136" s="21">
        <v>2.7000206910821438E-3</v>
      </c>
      <c r="F136" s="3" t="s">
        <v>429</v>
      </c>
      <c r="G136" s="20">
        <v>2.4324245810055868E-3</v>
      </c>
      <c r="H136" s="20">
        <v>2.2132631262569836E-3</v>
      </c>
      <c r="I136" s="20">
        <v>2.0138481185812294E-3</v>
      </c>
      <c r="J136" s="20">
        <v>1.8324004030970608E-3</v>
      </c>
      <c r="K136" s="20">
        <v>1.6673011267780158E-3</v>
      </c>
      <c r="L136" s="20">
        <v>1.5170772952553166E-3</v>
      </c>
      <c r="M136" s="20">
        <v>1.3803886309528123E-3</v>
      </c>
      <c r="N136" s="20">
        <v>1.2560156153039643E-3</v>
      </c>
      <c r="O136" s="20">
        <v>1.1428486083650772E-3</v>
      </c>
      <c r="P136" s="20">
        <v>1.0398779487513837E-3</v>
      </c>
      <c r="Q136" s="20">
        <v>9.4618494556888413E-4</v>
      </c>
      <c r="R136" s="20">
        <v>8.6093368197312752E-4</v>
      </c>
      <c r="S136" s="20">
        <v>7.8336355722734893E-4</v>
      </c>
      <c r="T136" s="20">
        <v>7.1278250072116464E-4</v>
      </c>
      <c r="U136" s="20">
        <v>6.485607974061877E-4</v>
      </c>
      <c r="V136" s="20">
        <v>5.9012546955989037E-4</v>
      </c>
      <c r="W136" s="20">
        <v>5.3695516475254417E-4</v>
      </c>
      <c r="X136" s="20">
        <v>4.8857550440833996E-4</v>
      </c>
      <c r="Y136" s="20">
        <v>4.4455485146114855E-4</v>
      </c>
      <c r="Z136" s="20">
        <v>4.0450045934449909E-4</v>
      </c>
      <c r="AA136" s="20">
        <v>3.6805496795755974E-4</v>
      </c>
      <c r="AB136" s="20">
        <v>3.3489321534458364E-4</v>
      </c>
      <c r="AC136" s="20">
        <v>3.0471933664203663E-4</v>
      </c>
      <c r="AD136" s="20">
        <v>2.7726412441058914E-4</v>
      </c>
      <c r="AE136" s="20">
        <v>2.5228262680119509E-4</v>
      </c>
      <c r="AF136" s="20">
        <v>2.2955196212640742E-4</v>
      </c>
      <c r="AG136" s="20">
        <v>2.088693303388181E-4</v>
      </c>
      <c r="AH136" s="20">
        <v>1.9005020367529059E-4</v>
      </c>
      <c r="AI136" s="20">
        <v>1.7292668032414696E-4</v>
      </c>
      <c r="AJ136" s="20">
        <v>1.573459864269413E-4</v>
      </c>
    </row>
    <row r="137" spans="1:36" ht="35" x14ac:dyDescent="0.45">
      <c r="A137" s="34" t="s">
        <v>324</v>
      </c>
      <c r="B137" s="3" t="s">
        <v>316</v>
      </c>
      <c r="C137" s="3" t="s">
        <v>354</v>
      </c>
      <c r="D137" s="4" t="s">
        <v>417</v>
      </c>
      <c r="E137" s="21">
        <v>4.011940363636364E-2</v>
      </c>
      <c r="F137" s="3" t="s">
        <v>429</v>
      </c>
      <c r="G137" s="20">
        <f>$E$137</f>
        <v>4.011940363636364E-2</v>
      </c>
      <c r="H137" s="20">
        <f t="shared" ref="H137:AJ137" si="34">$E$137</f>
        <v>4.011940363636364E-2</v>
      </c>
      <c r="I137" s="20">
        <f t="shared" si="34"/>
        <v>4.011940363636364E-2</v>
      </c>
      <c r="J137" s="20">
        <f t="shared" si="34"/>
        <v>4.011940363636364E-2</v>
      </c>
      <c r="K137" s="20">
        <f t="shared" si="34"/>
        <v>4.011940363636364E-2</v>
      </c>
      <c r="L137" s="20">
        <f t="shared" si="34"/>
        <v>4.011940363636364E-2</v>
      </c>
      <c r="M137" s="20">
        <f t="shared" si="34"/>
        <v>4.011940363636364E-2</v>
      </c>
      <c r="N137" s="20">
        <f t="shared" si="34"/>
        <v>4.011940363636364E-2</v>
      </c>
      <c r="O137" s="20">
        <f t="shared" si="34"/>
        <v>4.011940363636364E-2</v>
      </c>
      <c r="P137" s="20">
        <f t="shared" si="34"/>
        <v>4.011940363636364E-2</v>
      </c>
      <c r="Q137" s="20">
        <f t="shared" si="34"/>
        <v>4.011940363636364E-2</v>
      </c>
      <c r="R137" s="20">
        <f t="shared" si="34"/>
        <v>4.011940363636364E-2</v>
      </c>
      <c r="S137" s="20">
        <f t="shared" si="34"/>
        <v>4.011940363636364E-2</v>
      </c>
      <c r="T137" s="20">
        <f t="shared" si="34"/>
        <v>4.011940363636364E-2</v>
      </c>
      <c r="U137" s="20">
        <f t="shared" si="34"/>
        <v>4.011940363636364E-2</v>
      </c>
      <c r="V137" s="20">
        <f t="shared" si="34"/>
        <v>4.011940363636364E-2</v>
      </c>
      <c r="W137" s="20">
        <f t="shared" si="34"/>
        <v>4.011940363636364E-2</v>
      </c>
      <c r="X137" s="20">
        <f t="shared" si="34"/>
        <v>4.011940363636364E-2</v>
      </c>
      <c r="Y137" s="20">
        <f t="shared" si="34"/>
        <v>4.011940363636364E-2</v>
      </c>
      <c r="Z137" s="20">
        <f t="shared" si="34"/>
        <v>4.011940363636364E-2</v>
      </c>
      <c r="AA137" s="20">
        <f t="shared" si="34"/>
        <v>4.011940363636364E-2</v>
      </c>
      <c r="AB137" s="20">
        <f t="shared" si="34"/>
        <v>4.011940363636364E-2</v>
      </c>
      <c r="AC137" s="20">
        <f t="shared" si="34"/>
        <v>4.011940363636364E-2</v>
      </c>
      <c r="AD137" s="20">
        <f t="shared" si="34"/>
        <v>4.011940363636364E-2</v>
      </c>
      <c r="AE137" s="20">
        <f t="shared" si="34"/>
        <v>4.011940363636364E-2</v>
      </c>
      <c r="AF137" s="20">
        <f t="shared" si="34"/>
        <v>4.011940363636364E-2</v>
      </c>
      <c r="AG137" s="20">
        <f t="shared" si="34"/>
        <v>4.011940363636364E-2</v>
      </c>
      <c r="AH137" s="20">
        <f t="shared" si="34"/>
        <v>4.011940363636364E-2</v>
      </c>
      <c r="AI137" s="20">
        <f t="shared" si="34"/>
        <v>4.011940363636364E-2</v>
      </c>
      <c r="AJ137" s="20">
        <f t="shared" si="34"/>
        <v>4.011940363636364E-2</v>
      </c>
    </row>
    <row r="138" spans="1:36" ht="35" x14ac:dyDescent="0.45">
      <c r="A138" s="34"/>
      <c r="B138" s="3" t="s">
        <v>314</v>
      </c>
      <c r="C138" s="3" t="s">
        <v>355</v>
      </c>
      <c r="D138" s="4" t="s">
        <v>417</v>
      </c>
      <c r="E138" s="21">
        <v>3.4582400000000004E-3</v>
      </c>
      <c r="F138" s="3" t="s">
        <v>429</v>
      </c>
      <c r="G138" s="20">
        <f>$E$138</f>
        <v>3.4582400000000004E-3</v>
      </c>
      <c r="H138" s="20">
        <f t="shared" ref="H138:AJ138" si="35">$E$138</f>
        <v>3.4582400000000004E-3</v>
      </c>
      <c r="I138" s="20">
        <f t="shared" si="35"/>
        <v>3.4582400000000004E-3</v>
      </c>
      <c r="J138" s="20">
        <f t="shared" si="35"/>
        <v>3.4582400000000004E-3</v>
      </c>
      <c r="K138" s="20">
        <f t="shared" si="35"/>
        <v>3.4582400000000004E-3</v>
      </c>
      <c r="L138" s="20">
        <f t="shared" si="35"/>
        <v>3.4582400000000004E-3</v>
      </c>
      <c r="M138" s="20">
        <f t="shared" si="35"/>
        <v>3.4582400000000004E-3</v>
      </c>
      <c r="N138" s="20">
        <f t="shared" si="35"/>
        <v>3.4582400000000004E-3</v>
      </c>
      <c r="O138" s="20">
        <f t="shared" si="35"/>
        <v>3.4582400000000004E-3</v>
      </c>
      <c r="P138" s="20">
        <f t="shared" si="35"/>
        <v>3.4582400000000004E-3</v>
      </c>
      <c r="Q138" s="20">
        <f t="shared" si="35"/>
        <v>3.4582400000000004E-3</v>
      </c>
      <c r="R138" s="20">
        <f t="shared" si="35"/>
        <v>3.4582400000000004E-3</v>
      </c>
      <c r="S138" s="20">
        <f t="shared" si="35"/>
        <v>3.4582400000000004E-3</v>
      </c>
      <c r="T138" s="20">
        <f t="shared" si="35"/>
        <v>3.4582400000000004E-3</v>
      </c>
      <c r="U138" s="20">
        <f t="shared" si="35"/>
        <v>3.4582400000000004E-3</v>
      </c>
      <c r="V138" s="20">
        <f t="shared" si="35"/>
        <v>3.4582400000000004E-3</v>
      </c>
      <c r="W138" s="20">
        <f t="shared" si="35"/>
        <v>3.4582400000000004E-3</v>
      </c>
      <c r="X138" s="20">
        <f t="shared" si="35"/>
        <v>3.4582400000000004E-3</v>
      </c>
      <c r="Y138" s="20">
        <f t="shared" si="35"/>
        <v>3.4582400000000004E-3</v>
      </c>
      <c r="Z138" s="20">
        <f t="shared" si="35"/>
        <v>3.4582400000000004E-3</v>
      </c>
      <c r="AA138" s="20">
        <f t="shared" si="35"/>
        <v>3.4582400000000004E-3</v>
      </c>
      <c r="AB138" s="20">
        <f t="shared" si="35"/>
        <v>3.4582400000000004E-3</v>
      </c>
      <c r="AC138" s="20">
        <f t="shared" si="35"/>
        <v>3.4582400000000004E-3</v>
      </c>
      <c r="AD138" s="20">
        <f t="shared" si="35"/>
        <v>3.4582400000000004E-3</v>
      </c>
      <c r="AE138" s="20">
        <f t="shared" si="35"/>
        <v>3.4582400000000004E-3</v>
      </c>
      <c r="AF138" s="20">
        <f t="shared" si="35"/>
        <v>3.4582400000000004E-3</v>
      </c>
      <c r="AG138" s="20">
        <f t="shared" si="35"/>
        <v>3.4582400000000004E-3</v>
      </c>
      <c r="AH138" s="20">
        <f t="shared" si="35"/>
        <v>3.4582400000000004E-3</v>
      </c>
      <c r="AI138" s="20">
        <f t="shared" si="35"/>
        <v>3.4582400000000004E-3</v>
      </c>
      <c r="AJ138" s="20">
        <f t="shared" si="35"/>
        <v>3.4582400000000004E-3</v>
      </c>
    </row>
    <row r="139" spans="1:36" ht="35" x14ac:dyDescent="0.45">
      <c r="A139" s="34"/>
      <c r="B139" s="3" t="s">
        <v>315</v>
      </c>
      <c r="C139" s="3" t="s">
        <v>356</v>
      </c>
      <c r="D139" s="4" t="s">
        <v>417</v>
      </c>
      <c r="E139" s="21">
        <v>2.1118181818181817E-2</v>
      </c>
      <c r="F139" s="3" t="s">
        <v>429</v>
      </c>
      <c r="G139" s="20">
        <v>1.9685909090909091E-2</v>
      </c>
      <c r="H139" s="20">
        <v>1.8534283409090909E-2</v>
      </c>
      <c r="I139" s="20">
        <v>1.7450027829659091E-2</v>
      </c>
      <c r="J139" s="20">
        <v>1.6429201201624031E-2</v>
      </c>
      <c r="K139" s="20">
        <v>1.5468092931329027E-2</v>
      </c>
      <c r="L139" s="20">
        <v>1.4563209494846279E-2</v>
      </c>
      <c r="M139" s="20">
        <v>1.3711261739397769E-2</v>
      </c>
      <c r="N139" s="20">
        <v>1.2909152927642999E-2</v>
      </c>
      <c r="O139" s="20">
        <v>1.2153967481375883E-2</v>
      </c>
      <c r="P139" s="20">
        <v>1.1442960383715393E-2</v>
      </c>
      <c r="Q139" s="20">
        <v>1.0773547201268044E-2</v>
      </c>
      <c r="R139" s="20">
        <v>1.0143294689993863E-2</v>
      </c>
      <c r="S139" s="20">
        <v>9.5499119506292224E-3</v>
      </c>
      <c r="T139" s="20">
        <v>8.9912421015174125E-3</v>
      </c>
      <c r="U139" s="20">
        <v>8.4652544385786423E-3</v>
      </c>
      <c r="V139" s="20">
        <v>7.9700370539217916E-3</v>
      </c>
      <c r="W139" s="20">
        <v>7.5037898862673671E-3</v>
      </c>
      <c r="X139" s="20">
        <v>7.0648181779207255E-3</v>
      </c>
      <c r="Y139" s="20">
        <v>6.6515263145123628E-3</v>
      </c>
      <c r="Z139" s="20">
        <v>6.2624120251133899E-3</v>
      </c>
      <c r="AA139" s="20">
        <v>5.8960609216442564E-3</v>
      </c>
      <c r="AB139" s="20">
        <v>5.5511413577280675E-3</v>
      </c>
      <c r="AC139" s="20">
        <v>5.2263995883009753E-3</v>
      </c>
      <c r="AD139" s="20">
        <v>4.9206552123853674E-3</v>
      </c>
      <c r="AE139" s="20">
        <v>4.632796882460823E-3</v>
      </c>
      <c r="AF139" s="20">
        <v>4.3617782648368644E-3</v>
      </c>
      <c r="AG139" s="20">
        <v>4.1066142363439086E-3</v>
      </c>
      <c r="AH139" s="20">
        <v>3.8663773035177897E-3</v>
      </c>
      <c r="AI139" s="20">
        <v>3.6401942312619989E-3</v>
      </c>
      <c r="AJ139" s="20">
        <v>3.4272428687331718E-3</v>
      </c>
    </row>
    <row r="140" spans="1:36" ht="35" x14ac:dyDescent="0.45">
      <c r="A140" s="34"/>
      <c r="B140" s="3" t="s">
        <v>317</v>
      </c>
      <c r="C140" s="3" t="s">
        <v>357</v>
      </c>
      <c r="D140" s="4" t="s">
        <v>417</v>
      </c>
      <c r="E140" s="21">
        <v>1.1018181818181818E-2</v>
      </c>
      <c r="F140" s="3" t="s">
        <v>429</v>
      </c>
      <c r="G140" s="20">
        <v>1.0495636363636363E-2</v>
      </c>
      <c r="H140" s="20">
        <v>1.0097851745454545E-2</v>
      </c>
      <c r="I140" s="20">
        <v>9.7151431643018159E-3</v>
      </c>
      <c r="J140" s="20">
        <v>9.3469392383747768E-3</v>
      </c>
      <c r="K140" s="20">
        <v>8.9926902412403725E-3</v>
      </c>
      <c r="L140" s="20">
        <v>8.651867281097363E-3</v>
      </c>
      <c r="M140" s="20">
        <v>8.3239615111437727E-3</v>
      </c>
      <c r="N140" s="20">
        <v>8.0084833698714237E-3</v>
      </c>
      <c r="O140" s="20">
        <v>7.7049618501532973E-3</v>
      </c>
      <c r="P140" s="20">
        <v>7.4129437960324873E-3</v>
      </c>
      <c r="Q140" s="20">
        <v>7.1319932261628563E-3</v>
      </c>
      <c r="R140" s="20">
        <v>6.8616906828912827E-3</v>
      </c>
      <c r="S140" s="20">
        <v>6.601632606009703E-3</v>
      </c>
      <c r="T140" s="20">
        <v>6.3514307302419346E-3</v>
      </c>
      <c r="U140" s="20">
        <v>6.1107115055657659E-3</v>
      </c>
      <c r="V140" s="20">
        <v>5.8791155395048235E-3</v>
      </c>
      <c r="W140" s="20">
        <v>5.6562970605575904E-3</v>
      </c>
      <c r="X140" s="20">
        <v>5.4419234019624577E-3</v>
      </c>
      <c r="Y140" s="20">
        <v>5.235674505028081E-3</v>
      </c>
      <c r="Z140" s="20">
        <v>5.037242441287516E-3</v>
      </c>
      <c r="AA140" s="20">
        <v>4.8463309527627188E-3</v>
      </c>
      <c r="AB140" s="20">
        <v>4.6626550096530127E-3</v>
      </c>
      <c r="AC140" s="20">
        <v>4.485940384787163E-3</v>
      </c>
      <c r="AD140" s="20">
        <v>4.3159232442037294E-3</v>
      </c>
      <c r="AE140" s="20">
        <v>4.1523497532484086E-3</v>
      </c>
      <c r="AF140" s="20">
        <v>3.9949756976002931E-3</v>
      </c>
      <c r="AG140" s="20">
        <v>3.8435661186612419E-3</v>
      </c>
      <c r="AH140" s="20">
        <v>3.6978949627639807E-3</v>
      </c>
      <c r="AI140" s="20">
        <v>3.5577447436752263E-3</v>
      </c>
      <c r="AJ140" s="20">
        <v>3.4229062178899347E-3</v>
      </c>
    </row>
    <row r="141" spans="1:36" ht="35" x14ac:dyDescent="0.45">
      <c r="A141" s="34"/>
      <c r="B141" s="3" t="s">
        <v>318</v>
      </c>
      <c r="C141" s="3" t="s">
        <v>358</v>
      </c>
      <c r="D141" s="4" t="s">
        <v>417</v>
      </c>
      <c r="E141" s="21">
        <v>3.8294303030303033E-2</v>
      </c>
      <c r="F141" s="3" t="s">
        <v>429</v>
      </c>
      <c r="G141" s="20">
        <v>3.4995684848484851E-2</v>
      </c>
      <c r="H141" s="20">
        <v>3.2301017115151515E-2</v>
      </c>
      <c r="I141" s="20">
        <v>2.9813838797284855E-2</v>
      </c>
      <c r="J141" s="20">
        <v>2.7518173209893918E-2</v>
      </c>
      <c r="K141" s="20">
        <v>2.5399273872732091E-2</v>
      </c>
      <c r="L141" s="20">
        <v>2.3443529784531715E-2</v>
      </c>
      <c r="M141" s="20">
        <v>2.1638377991122781E-2</v>
      </c>
      <c r="N141" s="20">
        <v>1.9972222885806325E-2</v>
      </c>
      <c r="O141" s="20">
        <v>1.8434361723599239E-2</v>
      </c>
      <c r="P141" s="20">
        <v>1.7014915870882098E-2</v>
      </c>
      <c r="Q141" s="20">
        <v>1.5704767348824176E-2</v>
      </c>
      <c r="R141" s="20">
        <v>1.4495500262964716E-2</v>
      </c>
      <c r="S141" s="20">
        <v>1.3379346742716434E-2</v>
      </c>
      <c r="T141" s="20">
        <v>1.2349137043527268E-2</v>
      </c>
      <c r="U141" s="20">
        <v>1.1398253491175672E-2</v>
      </c>
      <c r="V141" s="20">
        <v>1.0520587972355142E-2</v>
      </c>
      <c r="W141" s="20">
        <v>9.7105026984837979E-3</v>
      </c>
      <c r="X141" s="20">
        <v>8.9627939907005443E-3</v>
      </c>
      <c r="Y141" s="20">
        <v>8.2726588534166035E-3</v>
      </c>
      <c r="Z141" s="20">
        <v>7.6356641217035252E-3</v>
      </c>
      <c r="AA141" s="20">
        <v>7.0477179843323546E-3</v>
      </c>
      <c r="AB141" s="20">
        <v>6.5050436995387631E-3</v>
      </c>
      <c r="AC141" s="20">
        <v>6.0041553346742793E-3</v>
      </c>
      <c r="AD141" s="20">
        <v>5.541835373904359E-3</v>
      </c>
      <c r="AE141" s="20">
        <v>5.1151140501137235E-3</v>
      </c>
      <c r="AF141" s="20">
        <v>4.7212502682549683E-3</v>
      </c>
      <c r="AG141" s="20">
        <v>4.3577139975993348E-3</v>
      </c>
      <c r="AH141" s="20">
        <v>4.0221700197841867E-3</v>
      </c>
      <c r="AI141" s="20">
        <v>3.7124629282608047E-3</v>
      </c>
      <c r="AJ141" s="20">
        <v>3.4266032827847221E-3</v>
      </c>
    </row>
    <row r="142" spans="1:36" ht="35" x14ac:dyDescent="0.45">
      <c r="A142" s="34"/>
      <c r="B142" s="3" t="s">
        <v>321</v>
      </c>
      <c r="C142" s="3" t="s">
        <v>359</v>
      </c>
      <c r="D142" s="4" t="s">
        <v>417</v>
      </c>
      <c r="E142" s="21">
        <v>1.9653494527363185E-2</v>
      </c>
      <c r="F142" s="3" t="s">
        <v>429</v>
      </c>
      <c r="G142" s="20">
        <f>$E$142</f>
        <v>1.9653494527363185E-2</v>
      </c>
      <c r="H142" s="20">
        <f t="shared" ref="H142:AJ142" si="36">$E$142</f>
        <v>1.9653494527363185E-2</v>
      </c>
      <c r="I142" s="20">
        <f t="shared" si="36"/>
        <v>1.9653494527363185E-2</v>
      </c>
      <c r="J142" s="20">
        <f t="shared" si="36"/>
        <v>1.9653494527363185E-2</v>
      </c>
      <c r="K142" s="20">
        <f t="shared" si="36"/>
        <v>1.9653494527363185E-2</v>
      </c>
      <c r="L142" s="20">
        <f t="shared" si="36"/>
        <v>1.9653494527363185E-2</v>
      </c>
      <c r="M142" s="20">
        <f t="shared" si="36"/>
        <v>1.9653494527363185E-2</v>
      </c>
      <c r="N142" s="20">
        <f t="shared" si="36"/>
        <v>1.9653494527363185E-2</v>
      </c>
      <c r="O142" s="20">
        <f t="shared" si="36"/>
        <v>1.9653494527363185E-2</v>
      </c>
      <c r="P142" s="20">
        <f t="shared" si="36"/>
        <v>1.9653494527363185E-2</v>
      </c>
      <c r="Q142" s="20">
        <f t="shared" si="36"/>
        <v>1.9653494527363185E-2</v>
      </c>
      <c r="R142" s="20">
        <f t="shared" si="36"/>
        <v>1.9653494527363185E-2</v>
      </c>
      <c r="S142" s="20">
        <f t="shared" si="36"/>
        <v>1.9653494527363185E-2</v>
      </c>
      <c r="T142" s="20">
        <f t="shared" si="36"/>
        <v>1.9653494527363185E-2</v>
      </c>
      <c r="U142" s="20">
        <f t="shared" si="36"/>
        <v>1.9653494527363185E-2</v>
      </c>
      <c r="V142" s="20">
        <f t="shared" si="36"/>
        <v>1.9653494527363185E-2</v>
      </c>
      <c r="W142" s="20">
        <f t="shared" si="36"/>
        <v>1.9653494527363185E-2</v>
      </c>
      <c r="X142" s="20">
        <f t="shared" si="36"/>
        <v>1.9653494527363185E-2</v>
      </c>
      <c r="Y142" s="20">
        <f t="shared" si="36"/>
        <v>1.9653494527363185E-2</v>
      </c>
      <c r="Z142" s="20">
        <f t="shared" si="36"/>
        <v>1.9653494527363185E-2</v>
      </c>
      <c r="AA142" s="20">
        <f t="shared" si="36"/>
        <v>1.9653494527363185E-2</v>
      </c>
      <c r="AB142" s="20">
        <f t="shared" si="36"/>
        <v>1.9653494527363185E-2</v>
      </c>
      <c r="AC142" s="20">
        <f t="shared" si="36"/>
        <v>1.9653494527363185E-2</v>
      </c>
      <c r="AD142" s="20">
        <f t="shared" si="36"/>
        <v>1.9653494527363185E-2</v>
      </c>
      <c r="AE142" s="20">
        <f t="shared" si="36"/>
        <v>1.9653494527363185E-2</v>
      </c>
      <c r="AF142" s="20">
        <f t="shared" si="36"/>
        <v>1.9653494527363185E-2</v>
      </c>
      <c r="AG142" s="20">
        <f t="shared" si="36"/>
        <v>1.9653494527363185E-2</v>
      </c>
      <c r="AH142" s="20">
        <f t="shared" si="36"/>
        <v>1.9653494527363185E-2</v>
      </c>
      <c r="AI142" s="20">
        <f t="shared" si="36"/>
        <v>1.9653494527363185E-2</v>
      </c>
      <c r="AJ142" s="20">
        <f t="shared" si="36"/>
        <v>1.9653494527363185E-2</v>
      </c>
    </row>
    <row r="143" spans="1:36" ht="35" x14ac:dyDescent="0.45">
      <c r="A143" s="34"/>
      <c r="B143" s="3" t="s">
        <v>319</v>
      </c>
      <c r="C143" s="3" t="s">
        <v>360</v>
      </c>
      <c r="D143" s="4" t="s">
        <v>417</v>
      </c>
      <c r="E143" s="21">
        <v>1.5597997027847774E-3</v>
      </c>
      <c r="F143" s="3" t="s">
        <v>429</v>
      </c>
      <c r="G143" s="20">
        <f>$E$143</f>
        <v>1.5597997027847774E-3</v>
      </c>
      <c r="H143" s="20">
        <f t="shared" ref="H143:AJ143" si="37">$E$143</f>
        <v>1.5597997027847774E-3</v>
      </c>
      <c r="I143" s="20">
        <f t="shared" si="37"/>
        <v>1.5597997027847774E-3</v>
      </c>
      <c r="J143" s="20">
        <f t="shared" si="37"/>
        <v>1.5597997027847774E-3</v>
      </c>
      <c r="K143" s="20">
        <f t="shared" si="37"/>
        <v>1.5597997027847774E-3</v>
      </c>
      <c r="L143" s="20">
        <f t="shared" si="37"/>
        <v>1.5597997027847774E-3</v>
      </c>
      <c r="M143" s="20">
        <f t="shared" si="37"/>
        <v>1.5597997027847774E-3</v>
      </c>
      <c r="N143" s="20">
        <f t="shared" si="37"/>
        <v>1.5597997027847774E-3</v>
      </c>
      <c r="O143" s="20">
        <f t="shared" si="37"/>
        <v>1.5597997027847774E-3</v>
      </c>
      <c r="P143" s="20">
        <f t="shared" si="37"/>
        <v>1.5597997027847774E-3</v>
      </c>
      <c r="Q143" s="20">
        <f t="shared" si="37"/>
        <v>1.5597997027847774E-3</v>
      </c>
      <c r="R143" s="20">
        <f t="shared" si="37"/>
        <v>1.5597997027847774E-3</v>
      </c>
      <c r="S143" s="20">
        <f t="shared" si="37"/>
        <v>1.5597997027847774E-3</v>
      </c>
      <c r="T143" s="20">
        <f t="shared" si="37"/>
        <v>1.5597997027847774E-3</v>
      </c>
      <c r="U143" s="20">
        <f t="shared" si="37"/>
        <v>1.5597997027847774E-3</v>
      </c>
      <c r="V143" s="20">
        <f t="shared" si="37"/>
        <v>1.5597997027847774E-3</v>
      </c>
      <c r="W143" s="20">
        <f t="shared" si="37"/>
        <v>1.5597997027847774E-3</v>
      </c>
      <c r="X143" s="20">
        <f t="shared" si="37"/>
        <v>1.5597997027847774E-3</v>
      </c>
      <c r="Y143" s="20">
        <f t="shared" si="37"/>
        <v>1.5597997027847774E-3</v>
      </c>
      <c r="Z143" s="20">
        <f t="shared" si="37"/>
        <v>1.5597997027847774E-3</v>
      </c>
      <c r="AA143" s="20">
        <f t="shared" si="37"/>
        <v>1.5597997027847774E-3</v>
      </c>
      <c r="AB143" s="20">
        <f t="shared" si="37"/>
        <v>1.5597997027847774E-3</v>
      </c>
      <c r="AC143" s="20">
        <f t="shared" si="37"/>
        <v>1.5597997027847774E-3</v>
      </c>
      <c r="AD143" s="20">
        <f t="shared" si="37"/>
        <v>1.5597997027847774E-3</v>
      </c>
      <c r="AE143" s="20">
        <f t="shared" si="37"/>
        <v>1.5597997027847774E-3</v>
      </c>
      <c r="AF143" s="20">
        <f t="shared" si="37"/>
        <v>1.5597997027847774E-3</v>
      </c>
      <c r="AG143" s="20">
        <f t="shared" si="37"/>
        <v>1.5597997027847774E-3</v>
      </c>
      <c r="AH143" s="20">
        <f t="shared" si="37"/>
        <v>1.5597997027847774E-3</v>
      </c>
      <c r="AI143" s="20">
        <f t="shared" si="37"/>
        <v>1.5597997027847774E-3</v>
      </c>
      <c r="AJ143" s="20">
        <f t="shared" si="37"/>
        <v>1.5597997027847774E-3</v>
      </c>
    </row>
    <row r="144" spans="1:36" ht="35" x14ac:dyDescent="0.45">
      <c r="A144" s="34"/>
      <c r="B144" s="3" t="s">
        <v>320</v>
      </c>
      <c r="C144" s="3" t="s">
        <v>361</v>
      </c>
      <c r="D144" s="4" t="s">
        <v>417</v>
      </c>
      <c r="E144" s="21">
        <v>6.1926284072594774E-3</v>
      </c>
      <c r="F144" s="3" t="s">
        <v>429</v>
      </c>
      <c r="G144" s="20">
        <v>5.8554060682502974E-3</v>
      </c>
      <c r="H144" s="20">
        <v>5.5919127951790347E-3</v>
      </c>
      <c r="I144" s="20">
        <v>5.3402767193959774E-3</v>
      </c>
      <c r="J144" s="20">
        <v>5.099964267023159E-3</v>
      </c>
      <c r="K144" s="20">
        <v>4.8704658750071163E-3</v>
      </c>
      <c r="L144" s="20">
        <v>4.6512949106317968E-3</v>
      </c>
      <c r="M144" s="20">
        <v>4.4419866396533652E-3</v>
      </c>
      <c r="N144" s="20">
        <v>4.2420972408689639E-3</v>
      </c>
      <c r="O144" s="20">
        <v>4.0512028650298605E-3</v>
      </c>
      <c r="P144" s="20">
        <v>3.8688987361035171E-3</v>
      </c>
      <c r="Q144" s="20">
        <v>3.6947982929788586E-3</v>
      </c>
      <c r="R144" s="20">
        <v>3.5285323697948098E-3</v>
      </c>
      <c r="S144" s="20">
        <v>3.3697484131540436E-3</v>
      </c>
      <c r="T144" s="20">
        <v>3.2181097345621115E-3</v>
      </c>
      <c r="U144" s="20">
        <v>3.0732947965068161E-3</v>
      </c>
      <c r="V144" s="20">
        <v>2.9349965306640093E-3</v>
      </c>
      <c r="W144" s="20">
        <v>2.802921686784129E-3</v>
      </c>
      <c r="X144" s="20">
        <v>2.6767902108788427E-3</v>
      </c>
      <c r="Y144" s="20">
        <v>2.5563346513892953E-3</v>
      </c>
      <c r="Z144" s="20">
        <v>2.441299592076777E-3</v>
      </c>
      <c r="AA144" s="20">
        <v>2.3314411104333218E-3</v>
      </c>
      <c r="AB144" s="20">
        <v>2.2265262604638223E-3</v>
      </c>
      <c r="AC144" s="20">
        <v>2.1263325787429501E-3</v>
      </c>
      <c r="AD144" s="20">
        <v>2.0306476126995174E-3</v>
      </c>
      <c r="AE144" s="20">
        <v>1.9392684701280392E-3</v>
      </c>
      <c r="AF144" s="20">
        <v>1.8520013889722772E-3</v>
      </c>
      <c r="AG144" s="20">
        <v>1.7686613264685247E-3</v>
      </c>
      <c r="AH144" s="20">
        <v>1.6890715667774415E-3</v>
      </c>
      <c r="AI144" s="20">
        <v>1.6130633462724565E-3</v>
      </c>
      <c r="AJ144" s="20">
        <v>1.5404754956901958E-3</v>
      </c>
    </row>
    <row r="145" spans="1:36" ht="35" x14ac:dyDescent="0.45">
      <c r="A145" s="34"/>
      <c r="B145" s="3" t="s">
        <v>322</v>
      </c>
      <c r="C145" s="3" t="s">
        <v>362</v>
      </c>
      <c r="D145" s="4" t="s">
        <v>417</v>
      </c>
      <c r="E145" s="21">
        <v>4.816049622019771E-3</v>
      </c>
      <c r="F145" s="3" t="s">
        <v>429</v>
      </c>
      <c r="G145" s="20">
        <v>4.5924132583834076E-3</v>
      </c>
      <c r="H145" s="20">
        <v>4.4229532091490595E-3</v>
      </c>
      <c r="I145" s="20">
        <v>4.2597462357314587E-3</v>
      </c>
      <c r="J145" s="20">
        <v>4.1025615996329676E-3</v>
      </c>
      <c r="K145" s="20">
        <v>3.9511770766065112E-3</v>
      </c>
      <c r="L145" s="20">
        <v>3.8053786424797312E-3</v>
      </c>
      <c r="M145" s="20">
        <v>3.6649601705722283E-3</v>
      </c>
      <c r="N145" s="20">
        <v>3.529723140278114E-3</v>
      </c>
      <c r="O145" s="20">
        <v>3.399476356401851E-3</v>
      </c>
      <c r="P145" s="20">
        <v>3.2740356788506226E-3</v>
      </c>
      <c r="Q145" s="20">
        <v>3.1532237623010341E-3</v>
      </c>
      <c r="R145" s="20">
        <v>3.0368698054721263E-3</v>
      </c>
      <c r="S145" s="20">
        <v>2.9248093096502044E-3</v>
      </c>
      <c r="T145" s="20">
        <v>2.8168838461241118E-3</v>
      </c>
      <c r="U145" s="20">
        <v>2.7129408322021319E-3</v>
      </c>
      <c r="V145" s="20">
        <v>2.6128333154938738E-3</v>
      </c>
      <c r="W145" s="20">
        <v>2.5164197661521497E-3</v>
      </c>
      <c r="X145" s="20">
        <v>2.4235638767811352E-3</v>
      </c>
      <c r="Y145" s="20">
        <v>2.3341343697279113E-3</v>
      </c>
      <c r="Z145" s="20">
        <v>2.2480048114849513E-3</v>
      </c>
      <c r="AA145" s="20">
        <v>2.1650534339411566E-3</v>
      </c>
      <c r="AB145" s="20">
        <v>2.0851629622287279E-3</v>
      </c>
      <c r="AC145" s="20">
        <v>2.0082204489224875E-3</v>
      </c>
      <c r="AD145" s="20">
        <v>1.9341171143572478E-3</v>
      </c>
      <c r="AE145" s="20">
        <v>1.8627481928374654E-3</v>
      </c>
      <c r="AF145" s="20">
        <v>1.7940127845217629E-3</v>
      </c>
      <c r="AG145" s="20">
        <v>1.7278137127729096E-3</v>
      </c>
      <c r="AH145" s="20">
        <v>1.6640573867715892E-3</v>
      </c>
      <c r="AI145" s="20">
        <v>1.6026536691997172E-3</v>
      </c>
      <c r="AJ145" s="20">
        <v>1.5435157488062476E-3</v>
      </c>
    </row>
    <row r="146" spans="1:36" ht="35" x14ac:dyDescent="0.45">
      <c r="A146" s="34"/>
      <c r="B146" s="3" t="s">
        <v>323</v>
      </c>
      <c r="C146" s="3" t="s">
        <v>363</v>
      </c>
      <c r="D146" s="4" t="s">
        <v>417</v>
      </c>
      <c r="E146" s="21">
        <v>6.2125734961555861E-3</v>
      </c>
      <c r="F146" s="3" t="s">
        <v>429</v>
      </c>
      <c r="G146" s="20">
        <v>5.874265038444142E-3</v>
      </c>
      <c r="H146" s="20">
        <v>5.6099231117141555E-3</v>
      </c>
      <c r="I146" s="20">
        <v>5.3574765716870188E-3</v>
      </c>
      <c r="J146" s="20">
        <v>5.1163901259611037E-3</v>
      </c>
      <c r="K146" s="20">
        <v>4.8861525702928532E-3</v>
      </c>
      <c r="L146" s="20">
        <v>4.666275704629675E-3</v>
      </c>
      <c r="M146" s="20">
        <v>4.4562932979213396E-3</v>
      </c>
      <c r="N146" s="20">
        <v>4.2557600995148789E-3</v>
      </c>
      <c r="O146" s="20">
        <v>4.064250895036709E-3</v>
      </c>
      <c r="P146" s="20">
        <v>3.881359604760058E-3</v>
      </c>
      <c r="Q146" s="20">
        <v>3.7066984225458551E-3</v>
      </c>
      <c r="R146" s="20">
        <v>3.5398969935312914E-3</v>
      </c>
      <c r="S146" s="20">
        <v>3.3806016288223835E-3</v>
      </c>
      <c r="T146" s="20">
        <v>3.228474555525376E-3</v>
      </c>
      <c r="U146" s="20">
        <v>3.0831932005267338E-3</v>
      </c>
      <c r="V146" s="20">
        <v>2.9444495065030309E-3</v>
      </c>
      <c r="W146" s="20">
        <v>2.8119492787103944E-3</v>
      </c>
      <c r="X146" s="20">
        <v>2.6854115611684264E-3</v>
      </c>
      <c r="Y146" s="20">
        <v>2.5645680409158477E-3</v>
      </c>
      <c r="Z146" s="20">
        <v>2.4491624790746345E-3</v>
      </c>
      <c r="AA146" s="20">
        <v>2.3389501675162754E-3</v>
      </c>
      <c r="AB146" s="20">
        <v>2.2336974099780435E-3</v>
      </c>
      <c r="AC146" s="20">
        <v>2.1331810265290312E-3</v>
      </c>
      <c r="AD146" s="20">
        <v>2.0371878803352246E-3</v>
      </c>
      <c r="AE146" s="20">
        <v>1.9455144257201397E-3</v>
      </c>
      <c r="AF146" s="20">
        <v>1.8579662765627334E-3</v>
      </c>
      <c r="AG146" s="20">
        <v>1.7743577941174101E-3</v>
      </c>
      <c r="AH146" s="20">
        <v>1.694511693382127E-3</v>
      </c>
      <c r="AI146" s="20">
        <v>1.6182586671799313E-3</v>
      </c>
      <c r="AJ146" s="20">
        <v>1.5454370271568343E-3</v>
      </c>
    </row>
    <row r="147" spans="1:36" ht="52.5" x14ac:dyDescent="0.45">
      <c r="A147" s="4" t="s">
        <v>236</v>
      </c>
      <c r="B147" s="3" t="s">
        <v>186</v>
      </c>
      <c r="C147" s="3" t="s">
        <v>187</v>
      </c>
      <c r="D147" s="4" t="s">
        <v>416</v>
      </c>
      <c r="E147" s="21">
        <v>0.19028571428571434</v>
      </c>
      <c r="F147" s="3" t="s">
        <v>429</v>
      </c>
      <c r="G147" s="20">
        <f>$E$147</f>
        <v>0.19028571428571434</v>
      </c>
      <c r="H147" s="20">
        <f t="shared" ref="H147:AJ147" si="38">$E$147</f>
        <v>0.19028571428571434</v>
      </c>
      <c r="I147" s="20">
        <f t="shared" si="38"/>
        <v>0.19028571428571434</v>
      </c>
      <c r="J147" s="20">
        <f t="shared" si="38"/>
        <v>0.19028571428571434</v>
      </c>
      <c r="K147" s="20">
        <f t="shared" si="38"/>
        <v>0.19028571428571434</v>
      </c>
      <c r="L147" s="20">
        <f t="shared" si="38"/>
        <v>0.19028571428571434</v>
      </c>
      <c r="M147" s="20">
        <f t="shared" si="38"/>
        <v>0.19028571428571434</v>
      </c>
      <c r="N147" s="20">
        <f t="shared" si="38"/>
        <v>0.19028571428571434</v>
      </c>
      <c r="O147" s="20">
        <f t="shared" si="38"/>
        <v>0.19028571428571434</v>
      </c>
      <c r="P147" s="20">
        <f t="shared" si="38"/>
        <v>0.19028571428571434</v>
      </c>
      <c r="Q147" s="20">
        <f t="shared" si="38"/>
        <v>0.19028571428571434</v>
      </c>
      <c r="R147" s="20">
        <f t="shared" si="38"/>
        <v>0.19028571428571434</v>
      </c>
      <c r="S147" s="20">
        <f t="shared" si="38"/>
        <v>0.19028571428571434</v>
      </c>
      <c r="T147" s="20">
        <f t="shared" si="38"/>
        <v>0.19028571428571434</v>
      </c>
      <c r="U147" s="20">
        <f t="shared" si="38"/>
        <v>0.19028571428571434</v>
      </c>
      <c r="V147" s="20">
        <f t="shared" si="38"/>
        <v>0.19028571428571434</v>
      </c>
      <c r="W147" s="20">
        <f t="shared" si="38"/>
        <v>0.19028571428571434</v>
      </c>
      <c r="X147" s="20">
        <f t="shared" si="38"/>
        <v>0.19028571428571434</v>
      </c>
      <c r="Y147" s="20">
        <f t="shared" si="38"/>
        <v>0.19028571428571434</v>
      </c>
      <c r="Z147" s="20">
        <f t="shared" si="38"/>
        <v>0.19028571428571434</v>
      </c>
      <c r="AA147" s="20">
        <f t="shared" si="38"/>
        <v>0.19028571428571434</v>
      </c>
      <c r="AB147" s="20">
        <f t="shared" si="38"/>
        <v>0.19028571428571434</v>
      </c>
      <c r="AC147" s="20">
        <f t="shared" si="38"/>
        <v>0.19028571428571434</v>
      </c>
      <c r="AD147" s="20">
        <f t="shared" si="38"/>
        <v>0.19028571428571434</v>
      </c>
      <c r="AE147" s="20">
        <f t="shared" si="38"/>
        <v>0.19028571428571434</v>
      </c>
      <c r="AF147" s="20">
        <f t="shared" si="38"/>
        <v>0.19028571428571434</v>
      </c>
      <c r="AG147" s="20">
        <f t="shared" si="38"/>
        <v>0.19028571428571434</v>
      </c>
      <c r="AH147" s="20">
        <f t="shared" si="38"/>
        <v>0.19028571428571434</v>
      </c>
      <c r="AI147" s="20">
        <f t="shared" si="38"/>
        <v>0.19028571428571434</v>
      </c>
      <c r="AJ147" s="20">
        <f t="shared" si="38"/>
        <v>0.19028571428571434</v>
      </c>
    </row>
    <row r="148" spans="1:36" ht="52.5" x14ac:dyDescent="0.45">
      <c r="A148" s="4" t="s">
        <v>237</v>
      </c>
      <c r="B148" s="3" t="s">
        <v>188</v>
      </c>
      <c r="C148" s="3" t="s">
        <v>189</v>
      </c>
      <c r="D148" s="4" t="s">
        <v>417</v>
      </c>
      <c r="E148" s="21">
        <v>0.13676785714285716</v>
      </c>
      <c r="F148" s="3" t="s">
        <v>429</v>
      </c>
      <c r="G148" s="20">
        <f>$E$148</f>
        <v>0.13676785714285716</v>
      </c>
      <c r="H148" s="20">
        <f t="shared" ref="H148:AJ148" si="39">$E$148</f>
        <v>0.13676785714285716</v>
      </c>
      <c r="I148" s="20">
        <f t="shared" si="39"/>
        <v>0.13676785714285716</v>
      </c>
      <c r="J148" s="20">
        <f t="shared" si="39"/>
        <v>0.13676785714285716</v>
      </c>
      <c r="K148" s="20">
        <f t="shared" si="39"/>
        <v>0.13676785714285716</v>
      </c>
      <c r="L148" s="20">
        <f t="shared" si="39"/>
        <v>0.13676785714285716</v>
      </c>
      <c r="M148" s="20">
        <f t="shared" si="39"/>
        <v>0.13676785714285716</v>
      </c>
      <c r="N148" s="20">
        <f t="shared" si="39"/>
        <v>0.13676785714285716</v>
      </c>
      <c r="O148" s="20">
        <f t="shared" si="39"/>
        <v>0.13676785714285716</v>
      </c>
      <c r="P148" s="20">
        <f t="shared" si="39"/>
        <v>0.13676785714285716</v>
      </c>
      <c r="Q148" s="20">
        <f t="shared" si="39"/>
        <v>0.13676785714285716</v>
      </c>
      <c r="R148" s="20">
        <f t="shared" si="39"/>
        <v>0.13676785714285716</v>
      </c>
      <c r="S148" s="20">
        <f t="shared" si="39"/>
        <v>0.13676785714285716</v>
      </c>
      <c r="T148" s="20">
        <f t="shared" si="39"/>
        <v>0.13676785714285716</v>
      </c>
      <c r="U148" s="20">
        <f t="shared" si="39"/>
        <v>0.13676785714285716</v>
      </c>
      <c r="V148" s="20">
        <f t="shared" si="39"/>
        <v>0.13676785714285716</v>
      </c>
      <c r="W148" s="20">
        <f t="shared" si="39"/>
        <v>0.13676785714285716</v>
      </c>
      <c r="X148" s="20">
        <f t="shared" si="39"/>
        <v>0.13676785714285716</v>
      </c>
      <c r="Y148" s="20">
        <f t="shared" si="39"/>
        <v>0.13676785714285716</v>
      </c>
      <c r="Z148" s="20">
        <f t="shared" si="39"/>
        <v>0.13676785714285716</v>
      </c>
      <c r="AA148" s="20">
        <f t="shared" si="39"/>
        <v>0.13676785714285716</v>
      </c>
      <c r="AB148" s="20">
        <f t="shared" si="39"/>
        <v>0.13676785714285716</v>
      </c>
      <c r="AC148" s="20">
        <f t="shared" si="39"/>
        <v>0.13676785714285716</v>
      </c>
      <c r="AD148" s="20">
        <f t="shared" si="39"/>
        <v>0.13676785714285716</v>
      </c>
      <c r="AE148" s="20">
        <f t="shared" si="39"/>
        <v>0.13676785714285716</v>
      </c>
      <c r="AF148" s="20">
        <f t="shared" si="39"/>
        <v>0.13676785714285716</v>
      </c>
      <c r="AG148" s="20">
        <f t="shared" si="39"/>
        <v>0.13676785714285716</v>
      </c>
      <c r="AH148" s="20">
        <f t="shared" si="39"/>
        <v>0.13676785714285716</v>
      </c>
      <c r="AI148" s="20">
        <f t="shared" si="39"/>
        <v>0.13676785714285716</v>
      </c>
      <c r="AJ148" s="20">
        <f t="shared" si="39"/>
        <v>0.13676785714285716</v>
      </c>
    </row>
    <row r="149" spans="1:36" ht="52.5" x14ac:dyDescent="0.45">
      <c r="A149" s="4" t="s">
        <v>238</v>
      </c>
      <c r="B149" s="3" t="s">
        <v>190</v>
      </c>
      <c r="C149" s="3" t="s">
        <v>191</v>
      </c>
      <c r="D149" s="4" t="s">
        <v>416</v>
      </c>
      <c r="E149" s="21">
        <v>2.1774839743589746E-3</v>
      </c>
      <c r="F149" s="3" t="s">
        <v>429</v>
      </c>
      <c r="G149" s="20">
        <f>$E$149</f>
        <v>2.1774839743589746E-3</v>
      </c>
      <c r="H149" s="20">
        <f t="shared" ref="H149:AJ149" si="40">$E$149</f>
        <v>2.1774839743589746E-3</v>
      </c>
      <c r="I149" s="20">
        <f t="shared" si="40"/>
        <v>2.1774839743589746E-3</v>
      </c>
      <c r="J149" s="20">
        <f t="shared" si="40"/>
        <v>2.1774839743589746E-3</v>
      </c>
      <c r="K149" s="20">
        <f t="shared" si="40"/>
        <v>2.1774839743589746E-3</v>
      </c>
      <c r="L149" s="20">
        <f t="shared" si="40"/>
        <v>2.1774839743589746E-3</v>
      </c>
      <c r="M149" s="20">
        <f t="shared" si="40"/>
        <v>2.1774839743589746E-3</v>
      </c>
      <c r="N149" s="20">
        <f t="shared" si="40"/>
        <v>2.1774839743589746E-3</v>
      </c>
      <c r="O149" s="20">
        <f t="shared" si="40"/>
        <v>2.1774839743589746E-3</v>
      </c>
      <c r="P149" s="20">
        <f t="shared" si="40"/>
        <v>2.1774839743589746E-3</v>
      </c>
      <c r="Q149" s="20">
        <f t="shared" si="40"/>
        <v>2.1774839743589746E-3</v>
      </c>
      <c r="R149" s="20">
        <f t="shared" si="40"/>
        <v>2.1774839743589746E-3</v>
      </c>
      <c r="S149" s="20">
        <f t="shared" si="40"/>
        <v>2.1774839743589746E-3</v>
      </c>
      <c r="T149" s="20">
        <f t="shared" si="40"/>
        <v>2.1774839743589746E-3</v>
      </c>
      <c r="U149" s="20">
        <f t="shared" si="40"/>
        <v>2.1774839743589746E-3</v>
      </c>
      <c r="V149" s="20">
        <f t="shared" si="40"/>
        <v>2.1774839743589746E-3</v>
      </c>
      <c r="W149" s="20">
        <f t="shared" si="40"/>
        <v>2.1774839743589746E-3</v>
      </c>
      <c r="X149" s="20">
        <f t="shared" si="40"/>
        <v>2.1774839743589746E-3</v>
      </c>
      <c r="Y149" s="20">
        <f t="shared" si="40"/>
        <v>2.1774839743589746E-3</v>
      </c>
      <c r="Z149" s="20">
        <f t="shared" si="40"/>
        <v>2.1774839743589746E-3</v>
      </c>
      <c r="AA149" s="20">
        <f t="shared" si="40"/>
        <v>2.1774839743589746E-3</v>
      </c>
      <c r="AB149" s="20">
        <f t="shared" si="40"/>
        <v>2.1774839743589746E-3</v>
      </c>
      <c r="AC149" s="20">
        <f t="shared" si="40"/>
        <v>2.1774839743589746E-3</v>
      </c>
      <c r="AD149" s="20">
        <f t="shared" si="40"/>
        <v>2.1774839743589746E-3</v>
      </c>
      <c r="AE149" s="20">
        <f t="shared" si="40"/>
        <v>2.1774839743589746E-3</v>
      </c>
      <c r="AF149" s="20">
        <f t="shared" si="40"/>
        <v>2.1774839743589746E-3</v>
      </c>
      <c r="AG149" s="20">
        <f t="shared" si="40"/>
        <v>2.1774839743589746E-3</v>
      </c>
      <c r="AH149" s="20">
        <f t="shared" si="40"/>
        <v>2.1774839743589746E-3</v>
      </c>
      <c r="AI149" s="20">
        <f t="shared" si="40"/>
        <v>2.1774839743589746E-3</v>
      </c>
      <c r="AJ149" s="20">
        <f t="shared" si="40"/>
        <v>2.1774839743589746E-3</v>
      </c>
    </row>
    <row r="150" spans="1:36" x14ac:dyDescent="0.45">
      <c r="A150" s="34" t="s">
        <v>224</v>
      </c>
      <c r="B150" s="3" t="s">
        <v>192</v>
      </c>
      <c r="C150" s="3" t="s">
        <v>193</v>
      </c>
      <c r="D150" s="3" t="s">
        <v>392</v>
      </c>
      <c r="E150" s="3">
        <v>1.32</v>
      </c>
      <c r="F150" s="3" t="s">
        <v>409</v>
      </c>
      <c r="G150" s="3">
        <v>1.32</v>
      </c>
      <c r="H150" s="3">
        <v>1.32</v>
      </c>
      <c r="I150" s="3">
        <v>1.32</v>
      </c>
      <c r="J150" s="3">
        <v>1.32</v>
      </c>
      <c r="K150" s="3">
        <v>1.32</v>
      </c>
      <c r="L150" s="3">
        <v>1.32</v>
      </c>
      <c r="M150" s="3">
        <v>1.32</v>
      </c>
      <c r="N150" s="3">
        <v>1.32</v>
      </c>
      <c r="O150" s="3">
        <v>1.32</v>
      </c>
      <c r="P150" s="3">
        <v>1.32</v>
      </c>
      <c r="Q150" s="3">
        <v>1.32</v>
      </c>
      <c r="R150" s="3">
        <v>1.32</v>
      </c>
      <c r="S150" s="3">
        <v>1.32</v>
      </c>
      <c r="T150" s="3">
        <v>1.32</v>
      </c>
      <c r="U150" s="3">
        <v>1.32</v>
      </c>
      <c r="V150" s="3">
        <v>1.32</v>
      </c>
      <c r="W150" s="3">
        <v>1.32</v>
      </c>
      <c r="X150" s="3">
        <v>1.32</v>
      </c>
      <c r="Y150" s="3">
        <v>1.32</v>
      </c>
      <c r="Z150" s="3">
        <v>1.32</v>
      </c>
      <c r="AA150" s="3">
        <v>1.32</v>
      </c>
      <c r="AB150" s="3">
        <v>1.32</v>
      </c>
      <c r="AC150" s="3">
        <v>1.32</v>
      </c>
      <c r="AD150" s="3">
        <v>1.32</v>
      </c>
      <c r="AE150" s="3">
        <v>1.32</v>
      </c>
      <c r="AF150" s="3">
        <v>1.32</v>
      </c>
      <c r="AG150" s="3">
        <v>1.32</v>
      </c>
      <c r="AH150" s="3">
        <v>1.32</v>
      </c>
      <c r="AI150" s="3">
        <v>1.32</v>
      </c>
      <c r="AJ150" s="3">
        <v>1.32</v>
      </c>
    </row>
    <row r="151" spans="1:36" x14ac:dyDescent="0.45">
      <c r="A151" s="34"/>
      <c r="B151" s="3" t="s">
        <v>194</v>
      </c>
      <c r="C151" s="3" t="s">
        <v>195</v>
      </c>
      <c r="D151" s="3" t="s">
        <v>392</v>
      </c>
      <c r="E151" s="3">
        <v>1.43</v>
      </c>
      <c r="F151" s="3" t="s">
        <v>410</v>
      </c>
      <c r="G151" s="3">
        <v>1.43</v>
      </c>
      <c r="H151" s="3">
        <v>1.43</v>
      </c>
      <c r="I151" s="3">
        <v>1.43</v>
      </c>
      <c r="J151" s="3">
        <v>1.43</v>
      </c>
      <c r="K151" s="3">
        <v>1.43</v>
      </c>
      <c r="L151" s="3">
        <v>1.43</v>
      </c>
      <c r="M151" s="3">
        <v>1.43</v>
      </c>
      <c r="N151" s="3">
        <v>1.43</v>
      </c>
      <c r="O151" s="3">
        <v>1.43</v>
      </c>
      <c r="P151" s="3">
        <v>1.43</v>
      </c>
      <c r="Q151" s="3">
        <v>1.43</v>
      </c>
      <c r="R151" s="3">
        <v>1.43</v>
      </c>
      <c r="S151" s="3">
        <v>1.43</v>
      </c>
      <c r="T151" s="3">
        <v>1.43</v>
      </c>
      <c r="U151" s="3">
        <v>1.43</v>
      </c>
      <c r="V151" s="3">
        <v>1.43</v>
      </c>
      <c r="W151" s="3">
        <v>1.43</v>
      </c>
      <c r="X151" s="3">
        <v>1.43</v>
      </c>
      <c r="Y151" s="3">
        <v>1.43</v>
      </c>
      <c r="Z151" s="3">
        <v>1.43</v>
      </c>
      <c r="AA151" s="3">
        <v>1.43</v>
      </c>
      <c r="AB151" s="3">
        <v>1.43</v>
      </c>
      <c r="AC151" s="3">
        <v>1.43</v>
      </c>
      <c r="AD151" s="3">
        <v>1.43</v>
      </c>
      <c r="AE151" s="3">
        <v>1.43</v>
      </c>
      <c r="AF151" s="3">
        <v>1.43</v>
      </c>
      <c r="AG151" s="3">
        <v>1.43</v>
      </c>
      <c r="AH151" s="3">
        <v>1.43</v>
      </c>
      <c r="AI151" s="3">
        <v>1.43</v>
      </c>
      <c r="AJ151" s="3">
        <v>1.43</v>
      </c>
    </row>
    <row r="152" spans="1:36" x14ac:dyDescent="0.45">
      <c r="A152" s="34"/>
      <c r="B152" s="3" t="s">
        <v>196</v>
      </c>
      <c r="C152" s="3" t="s">
        <v>197</v>
      </c>
      <c r="D152" s="3" t="s">
        <v>392</v>
      </c>
      <c r="E152" s="3">
        <v>1.43</v>
      </c>
      <c r="F152" s="3" t="s">
        <v>411</v>
      </c>
      <c r="G152" s="3">
        <v>1.43</v>
      </c>
      <c r="H152" s="3">
        <v>1.43</v>
      </c>
      <c r="I152" s="3">
        <v>1.43</v>
      </c>
      <c r="J152" s="3">
        <v>1.43</v>
      </c>
      <c r="K152" s="3">
        <v>1.43</v>
      </c>
      <c r="L152" s="3">
        <v>1.43</v>
      </c>
      <c r="M152" s="3">
        <v>1.43</v>
      </c>
      <c r="N152" s="3">
        <v>1.43</v>
      </c>
      <c r="O152" s="3">
        <v>1.43</v>
      </c>
      <c r="P152" s="3">
        <v>1.43</v>
      </c>
      <c r="Q152" s="3">
        <v>1.43</v>
      </c>
      <c r="R152" s="3">
        <v>1.43</v>
      </c>
      <c r="S152" s="3">
        <v>1.43</v>
      </c>
      <c r="T152" s="3">
        <v>1.43</v>
      </c>
      <c r="U152" s="3">
        <v>1.43</v>
      </c>
      <c r="V152" s="3">
        <v>1.43</v>
      </c>
      <c r="W152" s="3">
        <v>1.43</v>
      </c>
      <c r="X152" s="3">
        <v>1.43</v>
      </c>
      <c r="Y152" s="3">
        <v>1.43</v>
      </c>
      <c r="Z152" s="3">
        <v>1.43</v>
      </c>
      <c r="AA152" s="3">
        <v>1.43</v>
      </c>
      <c r="AB152" s="3">
        <v>1.43</v>
      </c>
      <c r="AC152" s="3">
        <v>1.43</v>
      </c>
      <c r="AD152" s="3">
        <v>1.43</v>
      </c>
      <c r="AE152" s="3">
        <v>1.43</v>
      </c>
      <c r="AF152" s="3">
        <v>1.43</v>
      </c>
      <c r="AG152" s="3">
        <v>1.43</v>
      </c>
      <c r="AH152" s="3">
        <v>1.43</v>
      </c>
      <c r="AI152" s="3">
        <v>1.43</v>
      </c>
      <c r="AJ152" s="3">
        <v>1.43</v>
      </c>
    </row>
    <row r="153" spans="1:36" x14ac:dyDescent="0.45">
      <c r="A153" s="34"/>
      <c r="B153" s="3" t="s">
        <v>198</v>
      </c>
      <c r="C153" s="3" t="s">
        <v>199</v>
      </c>
      <c r="D153" s="3" t="s">
        <v>392</v>
      </c>
      <c r="E153" s="3">
        <v>1.21</v>
      </c>
      <c r="F153" s="3" t="s">
        <v>412</v>
      </c>
      <c r="G153" s="3">
        <v>1.21</v>
      </c>
      <c r="H153" s="3">
        <v>1.21</v>
      </c>
      <c r="I153" s="3">
        <v>1.21</v>
      </c>
      <c r="J153" s="3">
        <v>1.21</v>
      </c>
      <c r="K153" s="3">
        <v>1.21</v>
      </c>
      <c r="L153" s="3">
        <v>1.21</v>
      </c>
      <c r="M153" s="3">
        <v>1.21</v>
      </c>
      <c r="N153" s="3">
        <v>1.21</v>
      </c>
      <c r="O153" s="3">
        <v>1.21</v>
      </c>
      <c r="P153" s="3">
        <v>1.21</v>
      </c>
      <c r="Q153" s="3">
        <v>1.21</v>
      </c>
      <c r="R153" s="3">
        <v>1.21</v>
      </c>
      <c r="S153" s="3">
        <v>1.21</v>
      </c>
      <c r="T153" s="3">
        <v>1.21</v>
      </c>
      <c r="U153" s="3">
        <v>1.21</v>
      </c>
      <c r="V153" s="3">
        <v>1.21</v>
      </c>
      <c r="W153" s="3">
        <v>1.21</v>
      </c>
      <c r="X153" s="3">
        <v>1.21</v>
      </c>
      <c r="Y153" s="3">
        <v>1.21</v>
      </c>
      <c r="Z153" s="3">
        <v>1.21</v>
      </c>
      <c r="AA153" s="3">
        <v>1.21</v>
      </c>
      <c r="AB153" s="3">
        <v>1.21</v>
      </c>
      <c r="AC153" s="3">
        <v>1.21</v>
      </c>
      <c r="AD153" s="3">
        <v>1.21</v>
      </c>
      <c r="AE153" s="3">
        <v>1.21</v>
      </c>
      <c r="AF153" s="3">
        <v>1.21</v>
      </c>
      <c r="AG153" s="3">
        <v>1.21</v>
      </c>
      <c r="AH153" s="3">
        <v>1.21</v>
      </c>
      <c r="AI153" s="3">
        <v>1.21</v>
      </c>
      <c r="AJ153" s="3">
        <v>1.21</v>
      </c>
    </row>
    <row r="154" spans="1:36" x14ac:dyDescent="0.45">
      <c r="A154" s="34"/>
      <c r="B154" s="3" t="s">
        <v>200</v>
      </c>
      <c r="C154" s="3" t="s">
        <v>201</v>
      </c>
      <c r="D154" s="3" t="s">
        <v>392</v>
      </c>
      <c r="E154" s="3">
        <v>1.43</v>
      </c>
      <c r="F154" s="3" t="s">
        <v>413</v>
      </c>
      <c r="G154" s="3">
        <v>1.43</v>
      </c>
      <c r="H154" s="3">
        <v>1.43</v>
      </c>
      <c r="I154" s="3">
        <v>1.43</v>
      </c>
      <c r="J154" s="3">
        <v>1.43</v>
      </c>
      <c r="K154" s="3">
        <v>1.43</v>
      </c>
      <c r="L154" s="3">
        <v>1.43</v>
      </c>
      <c r="M154" s="3">
        <v>1.43</v>
      </c>
      <c r="N154" s="3">
        <v>1.43</v>
      </c>
      <c r="O154" s="3">
        <v>1.43</v>
      </c>
      <c r="P154" s="3">
        <v>1.43</v>
      </c>
      <c r="Q154" s="3">
        <v>1.43</v>
      </c>
      <c r="R154" s="3">
        <v>1.43</v>
      </c>
      <c r="S154" s="3">
        <v>1.43</v>
      </c>
      <c r="T154" s="3">
        <v>1.43</v>
      </c>
      <c r="U154" s="3">
        <v>1.43</v>
      </c>
      <c r="V154" s="3">
        <v>1.43</v>
      </c>
      <c r="W154" s="3">
        <v>1.43</v>
      </c>
      <c r="X154" s="3">
        <v>1.43</v>
      </c>
      <c r="Y154" s="3">
        <v>1.43</v>
      </c>
      <c r="Z154" s="3">
        <v>1.43</v>
      </c>
      <c r="AA154" s="3">
        <v>1.43</v>
      </c>
      <c r="AB154" s="3">
        <v>1.43</v>
      </c>
      <c r="AC154" s="3">
        <v>1.43</v>
      </c>
      <c r="AD154" s="3">
        <v>1.43</v>
      </c>
      <c r="AE154" s="3">
        <v>1.43</v>
      </c>
      <c r="AF154" s="3">
        <v>1.43</v>
      </c>
      <c r="AG154" s="3">
        <v>1.43</v>
      </c>
      <c r="AH154" s="3">
        <v>1.43</v>
      </c>
      <c r="AI154" s="3">
        <v>1.43</v>
      </c>
      <c r="AJ154" s="3">
        <v>1.43</v>
      </c>
    </row>
    <row r="155" spans="1:36" x14ac:dyDescent="0.45">
      <c r="A155" s="34"/>
      <c r="B155" s="3" t="s">
        <v>202</v>
      </c>
      <c r="C155" s="3" t="s">
        <v>203</v>
      </c>
      <c r="D155" s="3" t="s">
        <v>392</v>
      </c>
      <c r="E155" s="3">
        <v>1.43</v>
      </c>
      <c r="F155" s="3" t="s">
        <v>414</v>
      </c>
      <c r="G155" s="3">
        <v>1.43</v>
      </c>
      <c r="H155" s="3">
        <v>1.43</v>
      </c>
      <c r="I155" s="3">
        <v>1.43</v>
      </c>
      <c r="J155" s="3">
        <v>1.43</v>
      </c>
      <c r="K155" s="3">
        <v>1.43</v>
      </c>
      <c r="L155" s="3">
        <v>1.43</v>
      </c>
      <c r="M155" s="3">
        <v>1.43</v>
      </c>
      <c r="N155" s="3">
        <v>1.43</v>
      </c>
      <c r="O155" s="3">
        <v>1.43</v>
      </c>
      <c r="P155" s="3">
        <v>1.43</v>
      </c>
      <c r="Q155" s="3">
        <v>1.43</v>
      </c>
      <c r="R155" s="3">
        <v>1.43</v>
      </c>
      <c r="S155" s="3">
        <v>1.43</v>
      </c>
      <c r="T155" s="3">
        <v>1.43</v>
      </c>
      <c r="U155" s="3">
        <v>1.43</v>
      </c>
      <c r="V155" s="3">
        <v>1.43</v>
      </c>
      <c r="W155" s="3">
        <v>1.43</v>
      </c>
      <c r="X155" s="3">
        <v>1.43</v>
      </c>
      <c r="Y155" s="3">
        <v>1.43</v>
      </c>
      <c r="Z155" s="3">
        <v>1.43</v>
      </c>
      <c r="AA155" s="3">
        <v>1.43</v>
      </c>
      <c r="AB155" s="3">
        <v>1.43</v>
      </c>
      <c r="AC155" s="3">
        <v>1.43</v>
      </c>
      <c r="AD155" s="3">
        <v>1.43</v>
      </c>
      <c r="AE155" s="3">
        <v>1.43</v>
      </c>
      <c r="AF155" s="3">
        <v>1.43</v>
      </c>
      <c r="AG155" s="3">
        <v>1.43</v>
      </c>
      <c r="AH155" s="3">
        <v>1.43</v>
      </c>
      <c r="AI155" s="3">
        <v>1.43</v>
      </c>
      <c r="AJ155" s="3">
        <v>1.43</v>
      </c>
    </row>
  </sheetData>
  <mergeCells count="25">
    <mergeCell ref="A58:A59"/>
    <mergeCell ref="A2:A18"/>
    <mergeCell ref="A19:A25"/>
    <mergeCell ref="A26:A46"/>
    <mergeCell ref="A55:A57"/>
    <mergeCell ref="A47:A54"/>
    <mergeCell ref="A95:A96"/>
    <mergeCell ref="A60:A64"/>
    <mergeCell ref="A65:A67"/>
    <mergeCell ref="A68:A69"/>
    <mergeCell ref="A70:A73"/>
    <mergeCell ref="A74:A75"/>
    <mergeCell ref="A76:A80"/>
    <mergeCell ref="A81:A84"/>
    <mergeCell ref="A85:A88"/>
    <mergeCell ref="A89:A90"/>
    <mergeCell ref="A91:A92"/>
    <mergeCell ref="A93:A94"/>
    <mergeCell ref="A150:A155"/>
    <mergeCell ref="A97:A98"/>
    <mergeCell ref="A99:A100"/>
    <mergeCell ref="A101:A102"/>
    <mergeCell ref="A104:A120"/>
    <mergeCell ref="A121:A136"/>
    <mergeCell ref="A137:A1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C888-EA1E-43F3-BEEF-EEE829E8D278}">
  <dimension ref="A1:AJ155"/>
  <sheetViews>
    <sheetView zoomScale="80" zoomScaleNormal="80" workbookViewId="0">
      <selection activeCell="AM1" sqref="AM1:BV1048576"/>
    </sheetView>
  </sheetViews>
  <sheetFormatPr baseColWidth="10" defaultRowHeight="17.5" x14ac:dyDescent="0.45"/>
  <cols>
    <col min="2" max="2" width="40.53515625" bestFit="1" customWidth="1"/>
    <col min="5" max="5" width="13.69140625" bestFit="1" customWidth="1"/>
    <col min="6" max="6" width="16.3046875" customWidth="1"/>
  </cols>
  <sheetData>
    <row r="1" spans="1:36" s="1" customFormat="1" ht="35" x14ac:dyDescent="0.45">
      <c r="A1" s="12"/>
      <c r="B1" s="12" t="s">
        <v>204</v>
      </c>
      <c r="C1" s="12" t="s">
        <v>205</v>
      </c>
      <c r="D1" s="12" t="s">
        <v>239</v>
      </c>
      <c r="E1" s="12">
        <v>2020</v>
      </c>
      <c r="F1" s="12" t="s">
        <v>240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</row>
    <row r="2" spans="1:36" x14ac:dyDescent="0.45">
      <c r="A2" s="34" t="s">
        <v>207</v>
      </c>
      <c r="B2" s="4" t="s">
        <v>0</v>
      </c>
      <c r="C2" s="5" t="s">
        <v>1</v>
      </c>
      <c r="D2" s="4" t="s">
        <v>404</v>
      </c>
      <c r="E2" s="4">
        <v>37</v>
      </c>
      <c r="F2" s="4" t="s">
        <v>405</v>
      </c>
      <c r="G2" s="4">
        <v>37</v>
      </c>
      <c r="H2" s="4">
        <v>37</v>
      </c>
      <c r="I2" s="4">
        <v>37</v>
      </c>
      <c r="J2" s="4">
        <v>37</v>
      </c>
      <c r="K2" s="4">
        <v>37</v>
      </c>
      <c r="L2" s="4">
        <v>37</v>
      </c>
      <c r="M2" s="4">
        <v>37</v>
      </c>
      <c r="N2" s="4">
        <v>37</v>
      </c>
      <c r="O2" s="4">
        <v>37</v>
      </c>
      <c r="P2" s="4">
        <v>37</v>
      </c>
      <c r="Q2" s="4">
        <v>37</v>
      </c>
      <c r="R2" s="4">
        <v>37</v>
      </c>
      <c r="S2" s="4">
        <v>37</v>
      </c>
      <c r="T2" s="4">
        <v>37</v>
      </c>
      <c r="U2" s="4">
        <v>37</v>
      </c>
      <c r="V2" s="4">
        <v>37</v>
      </c>
      <c r="W2" s="4">
        <v>37</v>
      </c>
      <c r="X2" s="4">
        <v>37</v>
      </c>
      <c r="Y2" s="4">
        <v>37</v>
      </c>
      <c r="Z2" s="4">
        <v>37</v>
      </c>
      <c r="AA2" s="4">
        <v>37</v>
      </c>
      <c r="AB2" s="4">
        <v>37</v>
      </c>
      <c r="AC2" s="4">
        <v>37</v>
      </c>
      <c r="AD2" s="4">
        <v>37</v>
      </c>
      <c r="AE2" s="4">
        <v>37</v>
      </c>
      <c r="AF2" s="4">
        <v>37</v>
      </c>
      <c r="AG2" s="4">
        <v>37</v>
      </c>
      <c r="AH2" s="4">
        <v>37</v>
      </c>
      <c r="AI2" s="4">
        <v>37</v>
      </c>
      <c r="AJ2" s="4">
        <v>37</v>
      </c>
    </row>
    <row r="3" spans="1:36" x14ac:dyDescent="0.45">
      <c r="A3" s="34"/>
      <c r="B3" s="4" t="s">
        <v>2</v>
      </c>
      <c r="C3" s="5" t="s">
        <v>3</v>
      </c>
      <c r="D3" s="4" t="s">
        <v>406</v>
      </c>
      <c r="E3" s="4">
        <v>17.87</v>
      </c>
      <c r="F3" s="4" t="s">
        <v>407</v>
      </c>
      <c r="G3" s="4">
        <v>17.87</v>
      </c>
      <c r="H3" s="4">
        <v>17.87</v>
      </c>
      <c r="I3" s="4">
        <v>17.87</v>
      </c>
      <c r="J3" s="4">
        <v>17.87</v>
      </c>
      <c r="K3" s="4">
        <v>17.87</v>
      </c>
      <c r="L3" s="4">
        <v>17.87</v>
      </c>
      <c r="M3" s="4">
        <v>17.87</v>
      </c>
      <c r="N3" s="4">
        <v>17.87</v>
      </c>
      <c r="O3" s="4">
        <v>17.87</v>
      </c>
      <c r="P3" s="4">
        <v>17.87</v>
      </c>
      <c r="Q3" s="4">
        <v>17.87</v>
      </c>
      <c r="R3" s="4">
        <v>17.87</v>
      </c>
      <c r="S3" s="4">
        <v>17.87</v>
      </c>
      <c r="T3" s="4">
        <v>17.87</v>
      </c>
      <c r="U3" s="4">
        <v>17.87</v>
      </c>
      <c r="V3" s="4">
        <v>17.87</v>
      </c>
      <c r="W3" s="4">
        <v>17.87</v>
      </c>
      <c r="X3" s="4">
        <v>17.87</v>
      </c>
      <c r="Y3" s="4">
        <v>17.87</v>
      </c>
      <c r="Z3" s="4">
        <v>17.87</v>
      </c>
      <c r="AA3" s="4">
        <v>17.87</v>
      </c>
      <c r="AB3" s="4">
        <v>17.87</v>
      </c>
      <c r="AC3" s="4">
        <v>17.87</v>
      </c>
      <c r="AD3" s="4">
        <v>17.87</v>
      </c>
      <c r="AE3" s="4">
        <v>17.87</v>
      </c>
      <c r="AF3" s="4">
        <v>17.87</v>
      </c>
      <c r="AG3" s="4">
        <v>17.87</v>
      </c>
      <c r="AH3" s="4">
        <v>17.87</v>
      </c>
      <c r="AI3" s="4">
        <v>17.87</v>
      </c>
      <c r="AJ3" s="4">
        <v>17.87</v>
      </c>
    </row>
    <row r="4" spans="1:36" x14ac:dyDescent="0.45">
      <c r="A4" s="34"/>
      <c r="B4" s="4" t="s">
        <v>6</v>
      </c>
      <c r="C4" s="5" t="s">
        <v>7</v>
      </c>
      <c r="D4" s="4" t="s">
        <v>398</v>
      </c>
      <c r="E4" s="4">
        <v>4.2</v>
      </c>
      <c r="F4" s="4" t="s">
        <v>248</v>
      </c>
      <c r="G4" s="4">
        <v>4.2</v>
      </c>
      <c r="H4" s="4">
        <v>4.2</v>
      </c>
      <c r="I4" s="4">
        <v>4.2</v>
      </c>
      <c r="J4" s="4">
        <v>4.2</v>
      </c>
      <c r="K4" s="4">
        <v>4.2</v>
      </c>
      <c r="L4" s="4">
        <v>4.2</v>
      </c>
      <c r="M4" s="4">
        <v>4.2</v>
      </c>
      <c r="N4" s="4">
        <v>4.2</v>
      </c>
      <c r="O4" s="4">
        <v>4.2</v>
      </c>
      <c r="P4" s="4">
        <v>4.2</v>
      </c>
      <c r="Q4" s="4">
        <v>4.2</v>
      </c>
      <c r="R4" s="4">
        <v>4.2</v>
      </c>
      <c r="S4" s="4">
        <v>4.2</v>
      </c>
      <c r="T4" s="4">
        <v>4.2</v>
      </c>
      <c r="U4" s="4">
        <v>4.2</v>
      </c>
      <c r="V4" s="4">
        <v>4.2</v>
      </c>
      <c r="W4" s="4">
        <v>4.2</v>
      </c>
      <c r="X4" s="4">
        <v>4.2</v>
      </c>
      <c r="Y4" s="4">
        <v>4.2</v>
      </c>
      <c r="Z4" s="4">
        <v>4.2</v>
      </c>
      <c r="AA4" s="4">
        <v>4.2</v>
      </c>
      <c r="AB4" s="4">
        <v>4.2</v>
      </c>
      <c r="AC4" s="4">
        <v>4.2</v>
      </c>
      <c r="AD4" s="4">
        <v>4.2</v>
      </c>
      <c r="AE4" s="4">
        <v>4.2</v>
      </c>
      <c r="AF4" s="4">
        <v>4.2</v>
      </c>
      <c r="AG4" s="4">
        <v>4.2</v>
      </c>
      <c r="AH4" s="4">
        <v>4.2</v>
      </c>
      <c r="AI4" s="4">
        <v>4.2</v>
      </c>
      <c r="AJ4" s="4">
        <v>4.2</v>
      </c>
    </row>
    <row r="5" spans="1:36" x14ac:dyDescent="0.45">
      <c r="A5" s="34"/>
      <c r="B5" s="4" t="s">
        <v>10</v>
      </c>
      <c r="C5" s="5" t="s">
        <v>11</v>
      </c>
      <c r="D5" s="4" t="s">
        <v>398</v>
      </c>
      <c r="E5" s="4">
        <v>2.5499999999999998</v>
      </c>
      <c r="F5" s="4" t="s">
        <v>420</v>
      </c>
      <c r="G5" s="4">
        <v>2.5499999999999998</v>
      </c>
      <c r="H5" s="4">
        <v>2.5499999999999998</v>
      </c>
      <c r="I5" s="4">
        <v>2.5499999999999998</v>
      </c>
      <c r="J5" s="4">
        <v>2.5499999999999998</v>
      </c>
      <c r="K5" s="4">
        <v>2.5499999999999998</v>
      </c>
      <c r="L5" s="4">
        <v>2.5499999999999998</v>
      </c>
      <c r="M5" s="4">
        <v>2.5499999999999998</v>
      </c>
      <c r="N5" s="4">
        <v>2.5499999999999998</v>
      </c>
      <c r="O5" s="4">
        <v>2.5499999999999998</v>
      </c>
      <c r="P5" s="4">
        <v>2.5499999999999998</v>
      </c>
      <c r="Q5" s="4">
        <v>2.5499999999999998</v>
      </c>
      <c r="R5" s="4">
        <v>2.5499999999999998</v>
      </c>
      <c r="S5" s="4">
        <v>2.5499999999999998</v>
      </c>
      <c r="T5" s="4">
        <v>2.5499999999999998</v>
      </c>
      <c r="U5" s="4">
        <v>2.5499999999999998</v>
      </c>
      <c r="V5" s="4">
        <v>2.5499999999999998</v>
      </c>
      <c r="W5" s="4">
        <v>2.5499999999999998</v>
      </c>
      <c r="X5" s="4">
        <v>2.5499999999999998</v>
      </c>
      <c r="Y5" s="4">
        <v>2.5499999999999998</v>
      </c>
      <c r="Z5" s="4">
        <v>2.5499999999999998</v>
      </c>
      <c r="AA5" s="4">
        <v>2.5499999999999998</v>
      </c>
      <c r="AB5" s="4">
        <v>2.5499999999999998</v>
      </c>
      <c r="AC5" s="4">
        <v>2.5499999999999998</v>
      </c>
      <c r="AD5" s="4">
        <v>2.5499999999999998</v>
      </c>
      <c r="AE5" s="4">
        <v>2.5499999999999998</v>
      </c>
      <c r="AF5" s="4">
        <v>2.5499999999999998</v>
      </c>
      <c r="AG5" s="4">
        <v>2.5499999999999998</v>
      </c>
      <c r="AH5" s="4">
        <v>2.5499999999999998</v>
      </c>
      <c r="AI5" s="4">
        <v>2.5499999999999998</v>
      </c>
      <c r="AJ5" s="4">
        <v>2.2999999999999998</v>
      </c>
    </row>
    <row r="6" spans="1:36" x14ac:dyDescent="0.45">
      <c r="A6" s="34"/>
      <c r="B6" s="4" t="s">
        <v>12</v>
      </c>
      <c r="C6" s="5" t="s">
        <v>13</v>
      </c>
      <c r="D6" s="4" t="s">
        <v>398</v>
      </c>
      <c r="E6" s="4">
        <v>5.7</v>
      </c>
      <c r="F6" s="4" t="s">
        <v>248</v>
      </c>
      <c r="G6" s="4">
        <v>5.7</v>
      </c>
      <c r="H6" s="4">
        <v>5.7</v>
      </c>
      <c r="I6" s="4">
        <v>5.7</v>
      </c>
      <c r="J6" s="4">
        <v>5.7</v>
      </c>
      <c r="K6" s="4">
        <v>5.7</v>
      </c>
      <c r="L6" s="4">
        <v>5.7</v>
      </c>
      <c r="M6" s="4">
        <v>5.7</v>
      </c>
      <c r="N6" s="4">
        <v>5.7</v>
      </c>
      <c r="O6" s="4">
        <v>5.7</v>
      </c>
      <c r="P6" s="4">
        <v>5.7</v>
      </c>
      <c r="Q6" s="4">
        <v>5.7</v>
      </c>
      <c r="R6" s="4">
        <v>5.7</v>
      </c>
      <c r="S6" s="4">
        <v>5.7</v>
      </c>
      <c r="T6" s="4">
        <v>5.7</v>
      </c>
      <c r="U6" s="4">
        <v>5.7</v>
      </c>
      <c r="V6" s="4">
        <v>5.7</v>
      </c>
      <c r="W6" s="4">
        <v>5.7</v>
      </c>
      <c r="X6" s="4">
        <v>5.7</v>
      </c>
      <c r="Y6" s="4">
        <v>5.7</v>
      </c>
      <c r="Z6" s="4">
        <v>5.7</v>
      </c>
      <c r="AA6" s="4">
        <v>5.7</v>
      </c>
      <c r="AB6" s="4">
        <v>5.7</v>
      </c>
      <c r="AC6" s="4">
        <v>5.7</v>
      </c>
      <c r="AD6" s="4">
        <v>5.7</v>
      </c>
      <c r="AE6" s="4">
        <v>5.7</v>
      </c>
      <c r="AF6" s="4">
        <v>5.7</v>
      </c>
      <c r="AG6" s="4">
        <v>5.7</v>
      </c>
      <c r="AH6" s="4">
        <v>5.7</v>
      </c>
      <c r="AI6" s="4">
        <v>5.7</v>
      </c>
      <c r="AJ6" s="4">
        <v>5.7</v>
      </c>
    </row>
    <row r="7" spans="1:36" x14ac:dyDescent="0.45">
      <c r="A7" s="34"/>
      <c r="B7" s="4" t="s">
        <v>14</v>
      </c>
      <c r="C7" s="5" t="s">
        <v>15</v>
      </c>
      <c r="D7" s="4" t="s">
        <v>398</v>
      </c>
      <c r="E7" s="4">
        <v>10.5</v>
      </c>
      <c r="F7" s="4" t="s">
        <v>248</v>
      </c>
      <c r="G7" s="4">
        <v>10.5</v>
      </c>
      <c r="H7" s="4">
        <v>10.5</v>
      </c>
      <c r="I7" s="4">
        <v>10.5</v>
      </c>
      <c r="J7" s="4">
        <v>10.5</v>
      </c>
      <c r="K7" s="4">
        <v>10.5</v>
      </c>
      <c r="L7" s="4">
        <v>10.5</v>
      </c>
      <c r="M7" s="4">
        <v>10.5</v>
      </c>
      <c r="N7" s="4">
        <v>10.5</v>
      </c>
      <c r="O7" s="4">
        <v>10.5</v>
      </c>
      <c r="P7" s="4">
        <v>10.5</v>
      </c>
      <c r="Q7" s="4">
        <v>10.5</v>
      </c>
      <c r="R7" s="4">
        <v>10.5</v>
      </c>
      <c r="S7" s="4">
        <v>10.5</v>
      </c>
      <c r="T7" s="4">
        <v>10.5</v>
      </c>
      <c r="U7" s="4">
        <v>10.5</v>
      </c>
      <c r="V7" s="4">
        <v>10.5</v>
      </c>
      <c r="W7" s="4">
        <v>10.5</v>
      </c>
      <c r="X7" s="4">
        <v>10.5</v>
      </c>
      <c r="Y7" s="4">
        <v>10.5</v>
      </c>
      <c r="Z7" s="4">
        <v>10.5</v>
      </c>
      <c r="AA7" s="4">
        <v>10.5</v>
      </c>
      <c r="AB7" s="4">
        <v>10.5</v>
      </c>
      <c r="AC7" s="4">
        <v>10.5</v>
      </c>
      <c r="AD7" s="4">
        <v>10.5</v>
      </c>
      <c r="AE7" s="4">
        <v>10.5</v>
      </c>
      <c r="AF7" s="4">
        <v>10.5</v>
      </c>
      <c r="AG7" s="4">
        <v>10.5</v>
      </c>
      <c r="AH7" s="4">
        <v>10.5</v>
      </c>
      <c r="AI7" s="4">
        <v>10.5</v>
      </c>
      <c r="AJ7" s="4">
        <v>10.5</v>
      </c>
    </row>
    <row r="8" spans="1:36" x14ac:dyDescent="0.45">
      <c r="A8" s="34"/>
      <c r="B8" s="4" t="s">
        <v>16</v>
      </c>
      <c r="C8" s="5" t="s">
        <v>17</v>
      </c>
      <c r="D8" s="4" t="s">
        <v>398</v>
      </c>
      <c r="E8" s="4">
        <v>3.66</v>
      </c>
      <c r="F8" s="4" t="s">
        <v>420</v>
      </c>
      <c r="G8" s="4">
        <f>$E$8</f>
        <v>3.66</v>
      </c>
      <c r="H8" s="4">
        <f t="shared" ref="H8:AJ8" si="0">$E$8</f>
        <v>3.66</v>
      </c>
      <c r="I8" s="4">
        <f t="shared" si="0"/>
        <v>3.66</v>
      </c>
      <c r="J8" s="4">
        <f t="shared" si="0"/>
        <v>3.66</v>
      </c>
      <c r="K8" s="4">
        <f t="shared" si="0"/>
        <v>3.66</v>
      </c>
      <c r="L8" s="4">
        <f t="shared" si="0"/>
        <v>3.66</v>
      </c>
      <c r="M8" s="4">
        <f t="shared" si="0"/>
        <v>3.66</v>
      </c>
      <c r="N8" s="4">
        <f t="shared" si="0"/>
        <v>3.66</v>
      </c>
      <c r="O8" s="4">
        <f t="shared" si="0"/>
        <v>3.66</v>
      </c>
      <c r="P8" s="4">
        <f t="shared" si="0"/>
        <v>3.66</v>
      </c>
      <c r="Q8" s="4">
        <f t="shared" si="0"/>
        <v>3.66</v>
      </c>
      <c r="R8" s="4">
        <f t="shared" si="0"/>
        <v>3.66</v>
      </c>
      <c r="S8" s="4">
        <f t="shared" si="0"/>
        <v>3.66</v>
      </c>
      <c r="T8" s="4">
        <f t="shared" si="0"/>
        <v>3.66</v>
      </c>
      <c r="U8" s="4">
        <f t="shared" si="0"/>
        <v>3.66</v>
      </c>
      <c r="V8" s="4">
        <f t="shared" si="0"/>
        <v>3.66</v>
      </c>
      <c r="W8" s="4">
        <f t="shared" si="0"/>
        <v>3.66</v>
      </c>
      <c r="X8" s="4">
        <f t="shared" si="0"/>
        <v>3.66</v>
      </c>
      <c r="Y8" s="4">
        <f t="shared" si="0"/>
        <v>3.66</v>
      </c>
      <c r="Z8" s="4">
        <f t="shared" si="0"/>
        <v>3.66</v>
      </c>
      <c r="AA8" s="4">
        <f t="shared" si="0"/>
        <v>3.66</v>
      </c>
      <c r="AB8" s="4">
        <f t="shared" si="0"/>
        <v>3.66</v>
      </c>
      <c r="AC8" s="4">
        <f t="shared" si="0"/>
        <v>3.66</v>
      </c>
      <c r="AD8" s="4">
        <f t="shared" si="0"/>
        <v>3.66</v>
      </c>
      <c r="AE8" s="4">
        <f t="shared" si="0"/>
        <v>3.66</v>
      </c>
      <c r="AF8" s="4">
        <f t="shared" si="0"/>
        <v>3.66</v>
      </c>
      <c r="AG8" s="4">
        <f t="shared" si="0"/>
        <v>3.66</v>
      </c>
      <c r="AH8" s="4">
        <f t="shared" si="0"/>
        <v>3.66</v>
      </c>
      <c r="AI8" s="4">
        <f t="shared" si="0"/>
        <v>3.66</v>
      </c>
      <c r="AJ8" s="4">
        <f t="shared" si="0"/>
        <v>3.66</v>
      </c>
    </row>
    <row r="9" spans="1:36" ht="35" x14ac:dyDescent="0.45">
      <c r="A9" s="34"/>
      <c r="B9" s="4" t="s">
        <v>18</v>
      </c>
      <c r="C9" s="5" t="s">
        <v>19</v>
      </c>
      <c r="D9" s="4" t="s">
        <v>398</v>
      </c>
      <c r="E9" s="4">
        <v>1.7</v>
      </c>
      <c r="F9" s="4" t="s">
        <v>248</v>
      </c>
      <c r="G9" s="4">
        <v>1.7</v>
      </c>
      <c r="H9" s="4">
        <v>1.7</v>
      </c>
      <c r="I9" s="4">
        <v>1.7</v>
      </c>
      <c r="J9" s="4">
        <v>1.7</v>
      </c>
      <c r="K9" s="4">
        <v>1.7</v>
      </c>
      <c r="L9" s="4">
        <v>1.7</v>
      </c>
      <c r="M9" s="4">
        <v>1.7</v>
      </c>
      <c r="N9" s="4">
        <v>1.7</v>
      </c>
      <c r="O9" s="4">
        <v>1.7</v>
      </c>
      <c r="P9" s="4">
        <v>1.7</v>
      </c>
      <c r="Q9" s="4">
        <v>1.7</v>
      </c>
      <c r="R9" s="4">
        <v>1.7</v>
      </c>
      <c r="S9" s="4">
        <v>1.7</v>
      </c>
      <c r="T9" s="4">
        <v>1.7</v>
      </c>
      <c r="U9" s="4">
        <v>1.7</v>
      </c>
      <c r="V9" s="4">
        <v>1.7</v>
      </c>
      <c r="W9" s="4">
        <v>1.7</v>
      </c>
      <c r="X9" s="4">
        <v>1.7</v>
      </c>
      <c r="Y9" s="4">
        <v>1.7</v>
      </c>
      <c r="Z9" s="4">
        <v>1.7</v>
      </c>
      <c r="AA9" s="4">
        <v>1.7</v>
      </c>
      <c r="AB9" s="4">
        <v>1.7</v>
      </c>
      <c r="AC9" s="4">
        <v>1.7</v>
      </c>
      <c r="AD9" s="4">
        <v>1.7</v>
      </c>
      <c r="AE9" s="4">
        <v>1.7</v>
      </c>
      <c r="AF9" s="4">
        <v>1.7</v>
      </c>
      <c r="AG9" s="4">
        <v>1.7</v>
      </c>
      <c r="AH9" s="4">
        <v>1.7</v>
      </c>
      <c r="AI9" s="4">
        <v>1.7</v>
      </c>
      <c r="AJ9" s="4">
        <v>1.7</v>
      </c>
    </row>
    <row r="10" spans="1:36" x14ac:dyDescent="0.45">
      <c r="A10" s="34"/>
      <c r="B10" s="4" t="s">
        <v>20</v>
      </c>
      <c r="C10" s="5" t="s">
        <v>21</v>
      </c>
      <c r="D10" s="4" t="s">
        <v>398</v>
      </c>
      <c r="E10" s="4">
        <v>0</v>
      </c>
      <c r="F10" s="4" t="s">
        <v>434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</row>
    <row r="11" spans="1:36" x14ac:dyDescent="0.45">
      <c r="A11" s="34"/>
      <c r="B11" s="4" t="s">
        <v>256</v>
      </c>
      <c r="C11" s="5" t="s">
        <v>258</v>
      </c>
      <c r="D11" s="4" t="s">
        <v>389</v>
      </c>
      <c r="E11" s="4">
        <v>0</v>
      </c>
      <c r="F11" s="4" t="s">
        <v>366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</row>
    <row r="12" spans="1:36" x14ac:dyDescent="0.45">
      <c r="A12" s="34"/>
      <c r="B12" s="4" t="s">
        <v>257</v>
      </c>
      <c r="C12" s="5" t="s">
        <v>259</v>
      </c>
      <c r="D12" s="4" t="s">
        <v>389</v>
      </c>
      <c r="E12" s="4">
        <v>0</v>
      </c>
      <c r="F12" s="4" t="s">
        <v>366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</row>
    <row r="13" spans="1:36" x14ac:dyDescent="0.45">
      <c r="A13" s="34"/>
      <c r="B13" s="4" t="s">
        <v>22</v>
      </c>
      <c r="C13" s="5" t="s">
        <v>23</v>
      </c>
      <c r="D13" s="4" t="s">
        <v>389</v>
      </c>
      <c r="E13" s="4">
        <v>0</v>
      </c>
      <c r="F13" s="4" t="s">
        <v>366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</row>
    <row r="14" spans="1:36" ht="35" x14ac:dyDescent="0.45">
      <c r="A14" s="34"/>
      <c r="B14" s="4" t="s">
        <v>24</v>
      </c>
      <c r="C14" s="5" t="s">
        <v>25</v>
      </c>
      <c r="D14" s="4" t="s">
        <v>437</v>
      </c>
      <c r="E14" s="4">
        <v>525</v>
      </c>
      <c r="F14" s="4" t="s">
        <v>438</v>
      </c>
      <c r="G14" s="4">
        <v>525</v>
      </c>
      <c r="H14" s="4">
        <v>525</v>
      </c>
      <c r="I14" s="4">
        <v>525</v>
      </c>
      <c r="J14" s="4">
        <v>525</v>
      </c>
      <c r="K14" s="4">
        <v>525</v>
      </c>
      <c r="L14" s="4">
        <v>525</v>
      </c>
      <c r="M14" s="4">
        <v>525</v>
      </c>
      <c r="N14" s="4">
        <v>525</v>
      </c>
      <c r="O14" s="4">
        <v>525</v>
      </c>
      <c r="P14" s="4">
        <v>525</v>
      </c>
      <c r="Q14" s="4">
        <v>525</v>
      </c>
      <c r="R14" s="4">
        <v>525</v>
      </c>
      <c r="S14" s="4">
        <v>525</v>
      </c>
      <c r="T14" s="4">
        <v>525</v>
      </c>
      <c r="U14" s="4">
        <v>525</v>
      </c>
      <c r="V14" s="4">
        <v>525</v>
      </c>
      <c r="W14" s="4">
        <v>525</v>
      </c>
      <c r="X14" s="4">
        <v>525</v>
      </c>
      <c r="Y14" s="4">
        <v>525</v>
      </c>
      <c r="Z14" s="4">
        <v>525</v>
      </c>
      <c r="AA14" s="4">
        <v>525</v>
      </c>
      <c r="AB14" s="4">
        <v>525</v>
      </c>
      <c r="AC14" s="4">
        <v>525</v>
      </c>
      <c r="AD14" s="4">
        <v>525</v>
      </c>
      <c r="AE14" s="4">
        <v>525</v>
      </c>
      <c r="AF14" s="4">
        <v>525</v>
      </c>
      <c r="AG14" s="4">
        <v>525</v>
      </c>
      <c r="AH14" s="4">
        <v>525</v>
      </c>
      <c r="AI14" s="4">
        <v>525</v>
      </c>
      <c r="AJ14" s="4">
        <v>525</v>
      </c>
    </row>
    <row r="15" spans="1:36" x14ac:dyDescent="0.45">
      <c r="A15" s="34"/>
      <c r="B15" s="4" t="s">
        <v>249</v>
      </c>
      <c r="C15" s="5" t="s">
        <v>26</v>
      </c>
      <c r="D15" s="4" t="s">
        <v>389</v>
      </c>
      <c r="E15" s="4">
        <v>0</v>
      </c>
      <c r="F15" s="4" t="s">
        <v>366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</row>
    <row r="16" spans="1:36" x14ac:dyDescent="0.45">
      <c r="A16" s="34"/>
      <c r="B16" s="4" t="s">
        <v>250</v>
      </c>
      <c r="C16" s="5" t="s">
        <v>251</v>
      </c>
      <c r="D16" s="4" t="s">
        <v>389</v>
      </c>
      <c r="E16" s="4">
        <v>0</v>
      </c>
      <c r="F16" s="4" t="s">
        <v>366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</row>
    <row r="17" spans="1:36" x14ac:dyDescent="0.45">
      <c r="A17" s="34"/>
      <c r="B17" s="4" t="s">
        <v>252</v>
      </c>
      <c r="C17" s="5" t="s">
        <v>255</v>
      </c>
      <c r="D17" s="4" t="s">
        <v>389</v>
      </c>
      <c r="E17" s="4">
        <v>0</v>
      </c>
      <c r="F17" s="4" t="s">
        <v>366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</row>
    <row r="18" spans="1:36" x14ac:dyDescent="0.45">
      <c r="A18" s="34"/>
      <c r="B18" s="4" t="s">
        <v>253</v>
      </c>
      <c r="C18" s="5" t="s">
        <v>254</v>
      </c>
      <c r="D18" s="4" t="s">
        <v>389</v>
      </c>
      <c r="E18" s="4">
        <v>0</v>
      </c>
      <c r="F18" s="4" t="s">
        <v>366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</row>
    <row r="19" spans="1:36" ht="35" x14ac:dyDescent="0.45">
      <c r="A19" s="34" t="s">
        <v>208</v>
      </c>
      <c r="B19" s="4" t="s">
        <v>4</v>
      </c>
      <c r="C19" s="5" t="s">
        <v>5</v>
      </c>
      <c r="D19" s="4" t="s">
        <v>389</v>
      </c>
      <c r="E19" s="4" t="s">
        <v>418</v>
      </c>
      <c r="F19" s="4" t="s">
        <v>421</v>
      </c>
      <c r="G19" s="4" t="s">
        <v>421</v>
      </c>
      <c r="H19" s="4" t="s">
        <v>421</v>
      </c>
      <c r="I19" s="4" t="s">
        <v>421</v>
      </c>
      <c r="J19" s="4" t="s">
        <v>421</v>
      </c>
      <c r="K19" s="4" t="s">
        <v>421</v>
      </c>
      <c r="L19" s="4" t="s">
        <v>421</v>
      </c>
      <c r="M19" s="4" t="s">
        <v>421</v>
      </c>
      <c r="N19" s="4" t="s">
        <v>421</v>
      </c>
      <c r="O19" s="4" t="s">
        <v>421</v>
      </c>
      <c r="P19" s="4" t="s">
        <v>421</v>
      </c>
      <c r="Q19" s="4" t="s">
        <v>421</v>
      </c>
      <c r="R19" s="4" t="s">
        <v>421</v>
      </c>
      <c r="S19" s="4" t="s">
        <v>421</v>
      </c>
      <c r="T19" s="4" t="s">
        <v>421</v>
      </c>
      <c r="U19" s="4" t="s">
        <v>421</v>
      </c>
      <c r="V19" s="4" t="s">
        <v>421</v>
      </c>
      <c r="W19" s="4" t="s">
        <v>421</v>
      </c>
      <c r="X19" s="4" t="s">
        <v>421</v>
      </c>
      <c r="Y19" s="4" t="s">
        <v>421</v>
      </c>
      <c r="Z19" s="4" t="s">
        <v>421</v>
      </c>
      <c r="AA19" s="4" t="s">
        <v>421</v>
      </c>
      <c r="AB19" s="4" t="s">
        <v>421</v>
      </c>
      <c r="AC19" s="4" t="s">
        <v>421</v>
      </c>
      <c r="AD19" s="4" t="s">
        <v>421</v>
      </c>
      <c r="AE19" s="4" t="s">
        <v>421</v>
      </c>
      <c r="AF19" s="4" t="s">
        <v>421</v>
      </c>
      <c r="AG19" s="4" t="s">
        <v>421</v>
      </c>
      <c r="AH19" s="4" t="s">
        <v>421</v>
      </c>
      <c r="AI19" s="4" t="s">
        <v>421</v>
      </c>
      <c r="AJ19" s="4" t="s">
        <v>421</v>
      </c>
    </row>
    <row r="20" spans="1:36" ht="35" x14ac:dyDescent="0.45">
      <c r="A20" s="34"/>
      <c r="B20" s="4" t="s">
        <v>8</v>
      </c>
      <c r="C20" s="5" t="s">
        <v>9</v>
      </c>
      <c r="D20" s="4" t="s">
        <v>389</v>
      </c>
      <c r="E20" s="4" t="s">
        <v>418</v>
      </c>
      <c r="F20" s="4" t="s">
        <v>421</v>
      </c>
      <c r="G20" s="4" t="s">
        <v>421</v>
      </c>
      <c r="H20" s="4" t="s">
        <v>421</v>
      </c>
      <c r="I20" s="4" t="s">
        <v>421</v>
      </c>
      <c r="J20" s="4" t="s">
        <v>421</v>
      </c>
      <c r="K20" s="4" t="s">
        <v>421</v>
      </c>
      <c r="L20" s="4" t="s">
        <v>421</v>
      </c>
      <c r="M20" s="4" t="s">
        <v>421</v>
      </c>
      <c r="N20" s="4" t="s">
        <v>421</v>
      </c>
      <c r="O20" s="4" t="s">
        <v>421</v>
      </c>
      <c r="P20" s="4" t="s">
        <v>421</v>
      </c>
      <c r="Q20" s="4" t="s">
        <v>421</v>
      </c>
      <c r="R20" s="4" t="s">
        <v>421</v>
      </c>
      <c r="S20" s="4" t="s">
        <v>421</v>
      </c>
      <c r="T20" s="4" t="s">
        <v>421</v>
      </c>
      <c r="U20" s="4" t="s">
        <v>421</v>
      </c>
      <c r="V20" s="4" t="s">
        <v>421</v>
      </c>
      <c r="W20" s="4" t="s">
        <v>421</v>
      </c>
      <c r="X20" s="4" t="s">
        <v>421</v>
      </c>
      <c r="Y20" s="4" t="s">
        <v>421</v>
      </c>
      <c r="Z20" s="4" t="s">
        <v>421</v>
      </c>
      <c r="AA20" s="4" t="s">
        <v>421</v>
      </c>
      <c r="AB20" s="4" t="s">
        <v>421</v>
      </c>
      <c r="AC20" s="4" t="s">
        <v>421</v>
      </c>
      <c r="AD20" s="4" t="s">
        <v>421</v>
      </c>
      <c r="AE20" s="4" t="s">
        <v>421</v>
      </c>
      <c r="AF20" s="4" t="s">
        <v>421</v>
      </c>
      <c r="AG20" s="4" t="s">
        <v>421</v>
      </c>
      <c r="AH20" s="4" t="s">
        <v>421</v>
      </c>
      <c r="AI20" s="4" t="s">
        <v>421</v>
      </c>
      <c r="AJ20" s="4" t="s">
        <v>421</v>
      </c>
    </row>
    <row r="21" spans="1:36" ht="35" x14ac:dyDescent="0.45">
      <c r="A21" s="34"/>
      <c r="B21" s="4" t="s">
        <v>27</v>
      </c>
      <c r="C21" s="5" t="s">
        <v>28</v>
      </c>
      <c r="D21" s="4" t="s">
        <v>389</v>
      </c>
      <c r="E21" s="4" t="s">
        <v>418</v>
      </c>
      <c r="F21" s="4" t="s">
        <v>421</v>
      </c>
      <c r="G21" s="4" t="s">
        <v>421</v>
      </c>
      <c r="H21" s="4" t="s">
        <v>421</v>
      </c>
      <c r="I21" s="4" t="s">
        <v>421</v>
      </c>
      <c r="J21" s="4" t="s">
        <v>421</v>
      </c>
      <c r="K21" s="4" t="s">
        <v>421</v>
      </c>
      <c r="L21" s="4" t="s">
        <v>421</v>
      </c>
      <c r="M21" s="4" t="s">
        <v>421</v>
      </c>
      <c r="N21" s="4" t="s">
        <v>421</v>
      </c>
      <c r="O21" s="4" t="s">
        <v>421</v>
      </c>
      <c r="P21" s="4" t="s">
        <v>421</v>
      </c>
      <c r="Q21" s="4" t="s">
        <v>421</v>
      </c>
      <c r="R21" s="4" t="s">
        <v>421</v>
      </c>
      <c r="S21" s="4" t="s">
        <v>421</v>
      </c>
      <c r="T21" s="4" t="s">
        <v>421</v>
      </c>
      <c r="U21" s="4" t="s">
        <v>421</v>
      </c>
      <c r="V21" s="4" t="s">
        <v>421</v>
      </c>
      <c r="W21" s="4" t="s">
        <v>421</v>
      </c>
      <c r="X21" s="4" t="s">
        <v>421</v>
      </c>
      <c r="Y21" s="4" t="s">
        <v>421</v>
      </c>
      <c r="Z21" s="4" t="s">
        <v>421</v>
      </c>
      <c r="AA21" s="4" t="s">
        <v>421</v>
      </c>
      <c r="AB21" s="4" t="s">
        <v>421</v>
      </c>
      <c r="AC21" s="4" t="s">
        <v>421</v>
      </c>
      <c r="AD21" s="4" t="s">
        <v>421</v>
      </c>
      <c r="AE21" s="4" t="s">
        <v>421</v>
      </c>
      <c r="AF21" s="4" t="s">
        <v>421</v>
      </c>
      <c r="AG21" s="4" t="s">
        <v>421</v>
      </c>
      <c r="AH21" s="4" t="s">
        <v>421</v>
      </c>
      <c r="AI21" s="4" t="s">
        <v>421</v>
      </c>
      <c r="AJ21" s="4" t="s">
        <v>421</v>
      </c>
    </row>
    <row r="22" spans="1:36" ht="35" x14ac:dyDescent="0.45">
      <c r="A22" s="34"/>
      <c r="B22" s="4" t="s">
        <v>29</v>
      </c>
      <c r="C22" s="5" t="s">
        <v>30</v>
      </c>
      <c r="D22" s="4" t="s">
        <v>389</v>
      </c>
      <c r="E22" s="4" t="s">
        <v>418</v>
      </c>
      <c r="F22" s="4" t="s">
        <v>421</v>
      </c>
      <c r="G22" s="4" t="s">
        <v>421</v>
      </c>
      <c r="H22" s="4" t="s">
        <v>421</v>
      </c>
      <c r="I22" s="4" t="s">
        <v>421</v>
      </c>
      <c r="J22" s="4" t="s">
        <v>421</v>
      </c>
      <c r="K22" s="4" t="s">
        <v>421</v>
      </c>
      <c r="L22" s="4" t="s">
        <v>421</v>
      </c>
      <c r="M22" s="4" t="s">
        <v>421</v>
      </c>
      <c r="N22" s="4" t="s">
        <v>421</v>
      </c>
      <c r="O22" s="4" t="s">
        <v>421</v>
      </c>
      <c r="P22" s="4" t="s">
        <v>421</v>
      </c>
      <c r="Q22" s="4" t="s">
        <v>421</v>
      </c>
      <c r="R22" s="4" t="s">
        <v>421</v>
      </c>
      <c r="S22" s="4" t="s">
        <v>421</v>
      </c>
      <c r="T22" s="4" t="s">
        <v>421</v>
      </c>
      <c r="U22" s="4" t="s">
        <v>421</v>
      </c>
      <c r="V22" s="4" t="s">
        <v>421</v>
      </c>
      <c r="W22" s="4" t="s">
        <v>421</v>
      </c>
      <c r="X22" s="4" t="s">
        <v>421</v>
      </c>
      <c r="Y22" s="4" t="s">
        <v>421</v>
      </c>
      <c r="Z22" s="4" t="s">
        <v>421</v>
      </c>
      <c r="AA22" s="4" t="s">
        <v>421</v>
      </c>
      <c r="AB22" s="4" t="s">
        <v>421</v>
      </c>
      <c r="AC22" s="4" t="s">
        <v>421</v>
      </c>
      <c r="AD22" s="4" t="s">
        <v>421</v>
      </c>
      <c r="AE22" s="4" t="s">
        <v>421</v>
      </c>
      <c r="AF22" s="4" t="s">
        <v>421</v>
      </c>
      <c r="AG22" s="4" t="s">
        <v>421</v>
      </c>
      <c r="AH22" s="4" t="s">
        <v>421</v>
      </c>
      <c r="AI22" s="4" t="s">
        <v>421</v>
      </c>
      <c r="AJ22" s="4" t="s">
        <v>421</v>
      </c>
    </row>
    <row r="23" spans="1:36" ht="35" x14ac:dyDescent="0.45">
      <c r="A23" s="34"/>
      <c r="B23" s="4" t="s">
        <v>31</v>
      </c>
      <c r="C23" s="5" t="s">
        <v>32</v>
      </c>
      <c r="D23" s="4" t="s">
        <v>389</v>
      </c>
      <c r="E23" s="4" t="s">
        <v>418</v>
      </c>
      <c r="F23" s="4" t="s">
        <v>421</v>
      </c>
      <c r="G23" s="4" t="s">
        <v>421</v>
      </c>
      <c r="H23" s="4" t="s">
        <v>421</v>
      </c>
      <c r="I23" s="4" t="s">
        <v>421</v>
      </c>
      <c r="J23" s="4" t="s">
        <v>421</v>
      </c>
      <c r="K23" s="4" t="s">
        <v>421</v>
      </c>
      <c r="L23" s="4" t="s">
        <v>421</v>
      </c>
      <c r="M23" s="4" t="s">
        <v>421</v>
      </c>
      <c r="N23" s="4" t="s">
        <v>421</v>
      </c>
      <c r="O23" s="4" t="s">
        <v>421</v>
      </c>
      <c r="P23" s="4" t="s">
        <v>421</v>
      </c>
      <c r="Q23" s="4" t="s">
        <v>421</v>
      </c>
      <c r="R23" s="4" t="s">
        <v>421</v>
      </c>
      <c r="S23" s="4" t="s">
        <v>421</v>
      </c>
      <c r="T23" s="4" t="s">
        <v>421</v>
      </c>
      <c r="U23" s="4" t="s">
        <v>421</v>
      </c>
      <c r="V23" s="4" t="s">
        <v>421</v>
      </c>
      <c r="W23" s="4" t="s">
        <v>421</v>
      </c>
      <c r="X23" s="4" t="s">
        <v>421</v>
      </c>
      <c r="Y23" s="4" t="s">
        <v>421</v>
      </c>
      <c r="Z23" s="4" t="s">
        <v>421</v>
      </c>
      <c r="AA23" s="4" t="s">
        <v>421</v>
      </c>
      <c r="AB23" s="4" t="s">
        <v>421</v>
      </c>
      <c r="AC23" s="4" t="s">
        <v>421</v>
      </c>
      <c r="AD23" s="4" t="s">
        <v>421</v>
      </c>
      <c r="AE23" s="4" t="s">
        <v>421</v>
      </c>
      <c r="AF23" s="4" t="s">
        <v>421</v>
      </c>
      <c r="AG23" s="4" t="s">
        <v>421</v>
      </c>
      <c r="AH23" s="4" t="s">
        <v>421</v>
      </c>
      <c r="AI23" s="4" t="s">
        <v>421</v>
      </c>
      <c r="AJ23" s="4" t="s">
        <v>421</v>
      </c>
    </row>
    <row r="24" spans="1:36" ht="35" x14ac:dyDescent="0.45">
      <c r="A24" s="34"/>
      <c r="B24" s="4" t="s">
        <v>33</v>
      </c>
      <c r="C24" s="5" t="s">
        <v>34</v>
      </c>
      <c r="D24" s="4" t="s">
        <v>389</v>
      </c>
      <c r="E24" s="4" t="s">
        <v>418</v>
      </c>
      <c r="F24" s="4" t="s">
        <v>421</v>
      </c>
      <c r="G24" s="4" t="s">
        <v>421</v>
      </c>
      <c r="H24" s="4" t="s">
        <v>421</v>
      </c>
      <c r="I24" s="4" t="s">
        <v>421</v>
      </c>
      <c r="J24" s="4" t="s">
        <v>421</v>
      </c>
      <c r="K24" s="4" t="s">
        <v>421</v>
      </c>
      <c r="L24" s="4" t="s">
        <v>421</v>
      </c>
      <c r="M24" s="4" t="s">
        <v>421</v>
      </c>
      <c r="N24" s="4" t="s">
        <v>421</v>
      </c>
      <c r="O24" s="4" t="s">
        <v>421</v>
      </c>
      <c r="P24" s="4" t="s">
        <v>421</v>
      </c>
      <c r="Q24" s="4" t="s">
        <v>421</v>
      </c>
      <c r="R24" s="4" t="s">
        <v>421</v>
      </c>
      <c r="S24" s="4" t="s">
        <v>421</v>
      </c>
      <c r="T24" s="4" t="s">
        <v>421</v>
      </c>
      <c r="U24" s="4" t="s">
        <v>421</v>
      </c>
      <c r="V24" s="4" t="s">
        <v>421</v>
      </c>
      <c r="W24" s="4" t="s">
        <v>421</v>
      </c>
      <c r="X24" s="4" t="s">
        <v>421</v>
      </c>
      <c r="Y24" s="4" t="s">
        <v>421</v>
      </c>
      <c r="Z24" s="4" t="s">
        <v>421</v>
      </c>
      <c r="AA24" s="4" t="s">
        <v>421</v>
      </c>
      <c r="AB24" s="4" t="s">
        <v>421</v>
      </c>
      <c r="AC24" s="4" t="s">
        <v>421</v>
      </c>
      <c r="AD24" s="4" t="s">
        <v>421</v>
      </c>
      <c r="AE24" s="4" t="s">
        <v>421</v>
      </c>
      <c r="AF24" s="4" t="s">
        <v>421</v>
      </c>
      <c r="AG24" s="4" t="s">
        <v>421</v>
      </c>
      <c r="AH24" s="4" t="s">
        <v>421</v>
      </c>
      <c r="AI24" s="4" t="s">
        <v>421</v>
      </c>
      <c r="AJ24" s="4" t="s">
        <v>421</v>
      </c>
    </row>
    <row r="25" spans="1:36" ht="35" x14ac:dyDescent="0.45">
      <c r="A25" s="34"/>
      <c r="B25" s="4" t="s">
        <v>35</v>
      </c>
      <c r="C25" s="5" t="s">
        <v>36</v>
      </c>
      <c r="D25" s="4" t="s">
        <v>389</v>
      </c>
      <c r="E25" s="4" t="s">
        <v>418</v>
      </c>
      <c r="F25" s="4" t="s">
        <v>421</v>
      </c>
      <c r="G25" s="4" t="s">
        <v>421</v>
      </c>
      <c r="H25" s="4" t="s">
        <v>421</v>
      </c>
      <c r="I25" s="4" t="s">
        <v>421</v>
      </c>
      <c r="J25" s="4" t="s">
        <v>421</v>
      </c>
      <c r="K25" s="4" t="s">
        <v>421</v>
      </c>
      <c r="L25" s="4" t="s">
        <v>421</v>
      </c>
      <c r="M25" s="4" t="s">
        <v>421</v>
      </c>
      <c r="N25" s="4" t="s">
        <v>421</v>
      </c>
      <c r="O25" s="4" t="s">
        <v>421</v>
      </c>
      <c r="P25" s="4" t="s">
        <v>421</v>
      </c>
      <c r="Q25" s="4" t="s">
        <v>421</v>
      </c>
      <c r="R25" s="4" t="s">
        <v>421</v>
      </c>
      <c r="S25" s="4" t="s">
        <v>421</v>
      </c>
      <c r="T25" s="4" t="s">
        <v>421</v>
      </c>
      <c r="U25" s="4" t="s">
        <v>421</v>
      </c>
      <c r="V25" s="4" t="s">
        <v>421</v>
      </c>
      <c r="W25" s="4" t="s">
        <v>421</v>
      </c>
      <c r="X25" s="4" t="s">
        <v>421</v>
      </c>
      <c r="Y25" s="4" t="s">
        <v>421</v>
      </c>
      <c r="Z25" s="4" t="s">
        <v>421</v>
      </c>
      <c r="AA25" s="4" t="s">
        <v>421</v>
      </c>
      <c r="AB25" s="4" t="s">
        <v>421</v>
      </c>
      <c r="AC25" s="4" t="s">
        <v>421</v>
      </c>
      <c r="AD25" s="4" t="s">
        <v>421</v>
      </c>
      <c r="AE25" s="4" t="s">
        <v>421</v>
      </c>
      <c r="AF25" s="4" t="s">
        <v>421</v>
      </c>
      <c r="AG25" s="4" t="s">
        <v>421</v>
      </c>
      <c r="AH25" s="4" t="s">
        <v>421</v>
      </c>
      <c r="AI25" s="4" t="s">
        <v>421</v>
      </c>
      <c r="AJ25" s="4" t="s">
        <v>421</v>
      </c>
    </row>
    <row r="26" spans="1:36" x14ac:dyDescent="0.45">
      <c r="A26" s="34" t="s">
        <v>209</v>
      </c>
      <c r="B26" s="4" t="s">
        <v>37</v>
      </c>
      <c r="C26" s="5" t="s">
        <v>38</v>
      </c>
      <c r="D26" s="4" t="s">
        <v>393</v>
      </c>
      <c r="E26" s="4">
        <v>4.5</v>
      </c>
      <c r="F26" s="4" t="s">
        <v>391</v>
      </c>
      <c r="G26" s="4">
        <v>4.5</v>
      </c>
      <c r="H26" s="4">
        <v>4.5</v>
      </c>
      <c r="I26" s="4">
        <v>4.5</v>
      </c>
      <c r="J26" s="4">
        <v>4.5</v>
      </c>
      <c r="K26" s="4">
        <v>4.5</v>
      </c>
      <c r="L26" s="4">
        <v>4.5</v>
      </c>
      <c r="M26" s="4">
        <v>4.5</v>
      </c>
      <c r="N26" s="4">
        <v>4.5</v>
      </c>
      <c r="O26" s="4">
        <v>4.5</v>
      </c>
      <c r="P26" s="4">
        <v>4.5</v>
      </c>
      <c r="Q26" s="4">
        <v>4.5</v>
      </c>
      <c r="R26" s="4">
        <v>4.5</v>
      </c>
      <c r="S26" s="4">
        <v>4.5</v>
      </c>
      <c r="T26" s="4">
        <v>4.5</v>
      </c>
      <c r="U26" s="4">
        <v>4.5</v>
      </c>
      <c r="V26" s="4">
        <v>4.5</v>
      </c>
      <c r="W26" s="4">
        <v>4.5</v>
      </c>
      <c r="X26" s="4">
        <v>4.5</v>
      </c>
      <c r="Y26" s="4">
        <v>4.5</v>
      </c>
      <c r="Z26" s="4">
        <v>4.5</v>
      </c>
      <c r="AA26" s="4">
        <v>4.5</v>
      </c>
      <c r="AB26" s="4">
        <v>4.5</v>
      </c>
      <c r="AC26" s="4">
        <v>4.5</v>
      </c>
      <c r="AD26" s="4">
        <v>4.5</v>
      </c>
      <c r="AE26" s="4">
        <v>4.5</v>
      </c>
      <c r="AF26" s="4">
        <v>4.5</v>
      </c>
      <c r="AG26" s="4">
        <v>4.5</v>
      </c>
      <c r="AH26" s="4">
        <v>4.5</v>
      </c>
      <c r="AI26" s="4">
        <v>4.5</v>
      </c>
      <c r="AJ26" s="4">
        <v>4.5</v>
      </c>
    </row>
    <row r="27" spans="1:36" x14ac:dyDescent="0.45">
      <c r="A27" s="34"/>
      <c r="B27" s="4" t="s">
        <v>39</v>
      </c>
      <c r="C27" s="5" t="s">
        <v>40</v>
      </c>
      <c r="D27" s="4" t="s">
        <v>393</v>
      </c>
      <c r="E27" s="4">
        <v>10.98</v>
      </c>
      <c r="F27" s="4" t="s">
        <v>391</v>
      </c>
      <c r="G27" s="4">
        <v>10.98</v>
      </c>
      <c r="H27" s="4">
        <v>10.98</v>
      </c>
      <c r="I27" s="4">
        <v>10.98</v>
      </c>
      <c r="J27" s="4">
        <v>10.98</v>
      </c>
      <c r="K27" s="4">
        <v>10.98</v>
      </c>
      <c r="L27" s="4">
        <v>10.98</v>
      </c>
      <c r="M27" s="4">
        <v>10.98</v>
      </c>
      <c r="N27" s="4">
        <v>10.98</v>
      </c>
      <c r="O27" s="4">
        <v>10.98</v>
      </c>
      <c r="P27" s="4">
        <v>10.98</v>
      </c>
      <c r="Q27" s="4">
        <v>10.98</v>
      </c>
      <c r="R27" s="4">
        <v>10.98</v>
      </c>
      <c r="S27" s="4">
        <v>10.98</v>
      </c>
      <c r="T27" s="4">
        <v>10.98</v>
      </c>
      <c r="U27" s="4">
        <v>10.98</v>
      </c>
      <c r="V27" s="4">
        <v>10.98</v>
      </c>
      <c r="W27" s="4">
        <v>10.98</v>
      </c>
      <c r="X27" s="4">
        <v>10.98</v>
      </c>
      <c r="Y27" s="4">
        <v>10.98</v>
      </c>
      <c r="Z27" s="4">
        <v>10.98</v>
      </c>
      <c r="AA27" s="4">
        <v>10.98</v>
      </c>
      <c r="AB27" s="4">
        <v>10.98</v>
      </c>
      <c r="AC27" s="4">
        <v>10.98</v>
      </c>
      <c r="AD27" s="4">
        <v>10.98</v>
      </c>
      <c r="AE27" s="4">
        <v>10.98</v>
      </c>
      <c r="AF27" s="4">
        <v>10.98</v>
      </c>
      <c r="AG27" s="4">
        <v>10.98</v>
      </c>
      <c r="AH27" s="4">
        <v>10.98</v>
      </c>
      <c r="AI27" s="4">
        <v>10.98</v>
      </c>
      <c r="AJ27" s="4">
        <v>10.98</v>
      </c>
    </row>
    <row r="28" spans="1:36" x14ac:dyDescent="0.45">
      <c r="A28" s="34"/>
      <c r="B28" s="4" t="s">
        <v>41</v>
      </c>
      <c r="C28" s="5" t="s">
        <v>42</v>
      </c>
      <c r="D28" s="4" t="s">
        <v>393</v>
      </c>
      <c r="E28" s="4">
        <v>2.5499999999999998</v>
      </c>
      <c r="F28" s="4" t="s">
        <v>391</v>
      </c>
      <c r="G28" s="4">
        <v>2.5499999999999998</v>
      </c>
      <c r="H28" s="4">
        <v>2.5499999999999998</v>
      </c>
      <c r="I28" s="4">
        <v>2.5499999999999998</v>
      </c>
      <c r="J28" s="4">
        <v>2.5499999999999998</v>
      </c>
      <c r="K28" s="4">
        <v>2.5499999999999998</v>
      </c>
      <c r="L28" s="4">
        <v>2.5499999999999998</v>
      </c>
      <c r="M28" s="4">
        <v>2.5499999999999998</v>
      </c>
      <c r="N28" s="4">
        <v>2.5499999999999998</v>
      </c>
      <c r="O28" s="4">
        <v>2.5499999999999998</v>
      </c>
      <c r="P28" s="4">
        <v>2.5499999999999998</v>
      </c>
      <c r="Q28" s="4">
        <v>2.5499999999999998</v>
      </c>
      <c r="R28" s="4">
        <v>2.5499999999999998</v>
      </c>
      <c r="S28" s="4">
        <v>2.5499999999999998</v>
      </c>
      <c r="T28" s="4">
        <v>2.5499999999999998</v>
      </c>
      <c r="U28" s="4">
        <v>2.5499999999999998</v>
      </c>
      <c r="V28" s="4">
        <v>2.5499999999999998</v>
      </c>
      <c r="W28" s="4">
        <v>2.5499999999999998</v>
      </c>
      <c r="X28" s="4">
        <v>2.5499999999999998</v>
      </c>
      <c r="Y28" s="4">
        <v>2.5499999999999998</v>
      </c>
      <c r="Z28" s="4">
        <v>2.5499999999999998</v>
      </c>
      <c r="AA28" s="4">
        <v>2.5499999999999998</v>
      </c>
      <c r="AB28" s="4">
        <v>2.5499999999999998</v>
      </c>
      <c r="AC28" s="4">
        <v>2.5499999999999998</v>
      </c>
      <c r="AD28" s="4">
        <v>2.5499999999999998</v>
      </c>
      <c r="AE28" s="4">
        <v>2.5499999999999998</v>
      </c>
      <c r="AF28" s="4">
        <v>2.5499999999999998</v>
      </c>
      <c r="AG28" s="4">
        <v>2.5499999999999998</v>
      </c>
      <c r="AH28" s="4">
        <v>2.5499999999999998</v>
      </c>
      <c r="AI28" s="4">
        <v>2.5499999999999998</v>
      </c>
      <c r="AJ28" s="4">
        <v>2.5499999999999998</v>
      </c>
    </row>
    <row r="29" spans="1:36" x14ac:dyDescent="0.45">
      <c r="A29" s="34"/>
      <c r="B29" s="4" t="s">
        <v>43</v>
      </c>
      <c r="C29" s="5" t="s">
        <v>44</v>
      </c>
      <c r="D29" s="4" t="s">
        <v>393</v>
      </c>
      <c r="E29" s="4">
        <v>5.84</v>
      </c>
      <c r="F29" s="4" t="s">
        <v>391</v>
      </c>
      <c r="G29" s="4">
        <v>5.84</v>
      </c>
      <c r="H29" s="4">
        <v>5.84</v>
      </c>
      <c r="I29" s="4">
        <v>5.84</v>
      </c>
      <c r="J29" s="4">
        <v>5.84</v>
      </c>
      <c r="K29" s="4">
        <v>5.84</v>
      </c>
      <c r="L29" s="4">
        <v>5.84</v>
      </c>
      <c r="M29" s="4">
        <v>5.84</v>
      </c>
      <c r="N29" s="4">
        <v>5.84</v>
      </c>
      <c r="O29" s="4">
        <v>5.84</v>
      </c>
      <c r="P29" s="4">
        <v>5.84</v>
      </c>
      <c r="Q29" s="4">
        <v>5.84</v>
      </c>
      <c r="R29" s="4">
        <v>5.84</v>
      </c>
      <c r="S29" s="4">
        <v>5.84</v>
      </c>
      <c r="T29" s="4">
        <v>5.84</v>
      </c>
      <c r="U29" s="4">
        <v>5.84</v>
      </c>
      <c r="V29" s="4">
        <v>5.84</v>
      </c>
      <c r="W29" s="4">
        <v>5.84</v>
      </c>
      <c r="X29" s="4">
        <v>5.84</v>
      </c>
      <c r="Y29" s="4">
        <v>5.84</v>
      </c>
      <c r="Z29" s="4">
        <v>5.84</v>
      </c>
      <c r="AA29" s="4">
        <v>5.84</v>
      </c>
      <c r="AB29" s="4">
        <v>5.84</v>
      </c>
      <c r="AC29" s="4">
        <v>5.84</v>
      </c>
      <c r="AD29" s="4">
        <v>5.84</v>
      </c>
      <c r="AE29" s="4">
        <v>5.84</v>
      </c>
      <c r="AF29" s="4">
        <v>5.84</v>
      </c>
      <c r="AG29" s="4">
        <v>5.84</v>
      </c>
      <c r="AH29" s="4">
        <v>5.84</v>
      </c>
      <c r="AI29" s="4">
        <v>5.84</v>
      </c>
      <c r="AJ29" s="4">
        <v>5.84</v>
      </c>
    </row>
    <row r="30" spans="1:36" x14ac:dyDescent="0.45">
      <c r="A30" s="34"/>
      <c r="B30" s="4" t="s">
        <v>45</v>
      </c>
      <c r="C30" s="5" t="s">
        <v>46</v>
      </c>
      <c r="D30" s="4" t="s">
        <v>393</v>
      </c>
      <c r="E30" s="4">
        <v>4.83</v>
      </c>
      <c r="F30" s="4" t="s">
        <v>391</v>
      </c>
      <c r="G30" s="4">
        <v>4.83</v>
      </c>
      <c r="H30" s="4">
        <v>4.83</v>
      </c>
      <c r="I30" s="4">
        <v>4.83</v>
      </c>
      <c r="J30" s="4">
        <v>4.83</v>
      </c>
      <c r="K30" s="4">
        <v>4.83</v>
      </c>
      <c r="L30" s="4">
        <v>4.83</v>
      </c>
      <c r="M30" s="4">
        <v>4.83</v>
      </c>
      <c r="N30" s="4">
        <v>4.83</v>
      </c>
      <c r="O30" s="4">
        <v>4.83</v>
      </c>
      <c r="P30" s="4">
        <v>4.83</v>
      </c>
      <c r="Q30" s="4">
        <v>4.83</v>
      </c>
      <c r="R30" s="4">
        <v>4.83</v>
      </c>
      <c r="S30" s="4">
        <v>4.83</v>
      </c>
      <c r="T30" s="4">
        <v>4.83</v>
      </c>
      <c r="U30" s="4">
        <v>4.83</v>
      </c>
      <c r="V30" s="4">
        <v>4.83</v>
      </c>
      <c r="W30" s="4">
        <v>4.83</v>
      </c>
      <c r="X30" s="4">
        <v>4.83</v>
      </c>
      <c r="Y30" s="4">
        <v>4.83</v>
      </c>
      <c r="Z30" s="4">
        <v>4.83</v>
      </c>
      <c r="AA30" s="4">
        <v>4.83</v>
      </c>
      <c r="AB30" s="4">
        <v>4.83</v>
      </c>
      <c r="AC30" s="4">
        <v>4.83</v>
      </c>
      <c r="AD30" s="4">
        <v>4.83</v>
      </c>
      <c r="AE30" s="4">
        <v>4.83</v>
      </c>
      <c r="AF30" s="4">
        <v>4.83</v>
      </c>
      <c r="AG30" s="4">
        <v>4.83</v>
      </c>
      <c r="AH30" s="4">
        <v>4.83</v>
      </c>
      <c r="AI30" s="4">
        <v>4.83</v>
      </c>
      <c r="AJ30" s="4">
        <v>4.83</v>
      </c>
    </row>
    <row r="31" spans="1:36" ht="35" x14ac:dyDescent="0.45">
      <c r="A31" s="34"/>
      <c r="B31" s="4" t="s">
        <v>47</v>
      </c>
      <c r="C31" s="5" t="s">
        <v>48</v>
      </c>
      <c r="D31" s="4" t="s">
        <v>393</v>
      </c>
      <c r="E31" s="4">
        <v>11.31</v>
      </c>
      <c r="F31" s="4" t="s">
        <v>408</v>
      </c>
      <c r="G31" s="4">
        <v>11.31</v>
      </c>
      <c r="H31" s="4">
        <v>11.31</v>
      </c>
      <c r="I31" s="4">
        <v>11.31</v>
      </c>
      <c r="J31" s="4">
        <v>11.31</v>
      </c>
      <c r="K31" s="4">
        <v>11.31</v>
      </c>
      <c r="L31" s="4">
        <v>11.31</v>
      </c>
      <c r="M31" s="4">
        <v>11.31</v>
      </c>
      <c r="N31" s="4">
        <v>11.31</v>
      </c>
      <c r="O31" s="4">
        <v>11.31</v>
      </c>
      <c r="P31" s="4">
        <v>11.31</v>
      </c>
      <c r="Q31" s="4">
        <v>11.31</v>
      </c>
      <c r="R31" s="4">
        <v>11.31</v>
      </c>
      <c r="S31" s="4">
        <v>11.31</v>
      </c>
      <c r="T31" s="4">
        <v>11.31</v>
      </c>
      <c r="U31" s="4">
        <v>11.31</v>
      </c>
      <c r="V31" s="4">
        <v>11.31</v>
      </c>
      <c r="W31" s="4">
        <v>11.31</v>
      </c>
      <c r="X31" s="4">
        <v>11.31</v>
      </c>
      <c r="Y31" s="4">
        <v>11.31</v>
      </c>
      <c r="Z31" s="4">
        <v>11.31</v>
      </c>
      <c r="AA31" s="4">
        <v>11.31</v>
      </c>
      <c r="AB31" s="4">
        <v>11.31</v>
      </c>
      <c r="AC31" s="4">
        <v>11.31</v>
      </c>
      <c r="AD31" s="4">
        <v>11.31</v>
      </c>
      <c r="AE31" s="4">
        <v>11.31</v>
      </c>
      <c r="AF31" s="4">
        <v>11.31</v>
      </c>
      <c r="AG31" s="4">
        <v>11.31</v>
      </c>
      <c r="AH31" s="4">
        <v>11.31</v>
      </c>
      <c r="AI31" s="4">
        <v>11.31</v>
      </c>
      <c r="AJ31" s="4">
        <v>11.31</v>
      </c>
    </row>
    <row r="32" spans="1:36" x14ac:dyDescent="0.45">
      <c r="A32" s="34"/>
      <c r="B32" s="4" t="s">
        <v>49</v>
      </c>
      <c r="C32" s="5" t="s">
        <v>50</v>
      </c>
      <c r="D32" s="4" t="s">
        <v>393</v>
      </c>
      <c r="E32" s="4">
        <v>4.83</v>
      </c>
      <c r="F32" s="4" t="s">
        <v>391</v>
      </c>
      <c r="G32" s="4">
        <v>4.83</v>
      </c>
      <c r="H32" s="4">
        <v>4.83</v>
      </c>
      <c r="I32" s="4">
        <v>4.83</v>
      </c>
      <c r="J32" s="4">
        <v>4.83</v>
      </c>
      <c r="K32" s="4">
        <v>4.83</v>
      </c>
      <c r="L32" s="4">
        <v>4.83</v>
      </c>
      <c r="M32" s="4">
        <v>4.83</v>
      </c>
      <c r="N32" s="4">
        <v>4.83</v>
      </c>
      <c r="O32" s="4">
        <v>4.83</v>
      </c>
      <c r="P32" s="4">
        <v>4.83</v>
      </c>
      <c r="Q32" s="4">
        <v>4.83</v>
      </c>
      <c r="R32" s="4">
        <v>4.83</v>
      </c>
      <c r="S32" s="4">
        <v>4.83</v>
      </c>
      <c r="T32" s="4">
        <v>4.83</v>
      </c>
      <c r="U32" s="4">
        <v>4.83</v>
      </c>
      <c r="V32" s="4">
        <v>4.83</v>
      </c>
      <c r="W32" s="4">
        <v>4.83</v>
      </c>
      <c r="X32" s="4">
        <v>4.83</v>
      </c>
      <c r="Y32" s="4">
        <v>4.83</v>
      </c>
      <c r="Z32" s="4">
        <v>4.83</v>
      </c>
      <c r="AA32" s="4">
        <v>4.83</v>
      </c>
      <c r="AB32" s="4">
        <v>4.83</v>
      </c>
      <c r="AC32" s="4">
        <v>4.83</v>
      </c>
      <c r="AD32" s="4">
        <v>4.83</v>
      </c>
      <c r="AE32" s="4">
        <v>4.83</v>
      </c>
      <c r="AF32" s="4">
        <v>4.83</v>
      </c>
      <c r="AG32" s="4">
        <v>4.83</v>
      </c>
      <c r="AH32" s="4">
        <v>4.83</v>
      </c>
      <c r="AI32" s="4">
        <v>4.83</v>
      </c>
      <c r="AJ32" s="4">
        <v>4.83</v>
      </c>
    </row>
    <row r="33" spans="1:36" ht="35" x14ac:dyDescent="0.45">
      <c r="A33" s="34"/>
      <c r="B33" s="4" t="s">
        <v>51</v>
      </c>
      <c r="C33" s="5" t="s">
        <v>52</v>
      </c>
      <c r="D33" s="4" t="s">
        <v>393</v>
      </c>
      <c r="E33" s="4">
        <v>11.31</v>
      </c>
      <c r="F33" s="4" t="s">
        <v>408</v>
      </c>
      <c r="G33" s="4">
        <v>11.31</v>
      </c>
      <c r="H33" s="4">
        <v>11.31</v>
      </c>
      <c r="I33" s="4">
        <v>11.31</v>
      </c>
      <c r="J33" s="4">
        <v>11.31</v>
      </c>
      <c r="K33" s="4">
        <v>11.31</v>
      </c>
      <c r="L33" s="4">
        <v>11.31</v>
      </c>
      <c r="M33" s="4">
        <v>11.31</v>
      </c>
      <c r="N33" s="4">
        <v>11.31</v>
      </c>
      <c r="O33" s="4">
        <v>11.31</v>
      </c>
      <c r="P33" s="4">
        <v>11.31</v>
      </c>
      <c r="Q33" s="4">
        <v>11.31</v>
      </c>
      <c r="R33" s="4">
        <v>11.31</v>
      </c>
      <c r="S33" s="4">
        <v>11.31</v>
      </c>
      <c r="T33" s="4">
        <v>11.31</v>
      </c>
      <c r="U33" s="4">
        <v>11.31</v>
      </c>
      <c r="V33" s="4">
        <v>11.31</v>
      </c>
      <c r="W33" s="4">
        <v>11.31</v>
      </c>
      <c r="X33" s="4">
        <v>11.31</v>
      </c>
      <c r="Y33" s="4">
        <v>11.31</v>
      </c>
      <c r="Z33" s="4">
        <v>11.31</v>
      </c>
      <c r="AA33" s="4">
        <v>11.31</v>
      </c>
      <c r="AB33" s="4">
        <v>11.31</v>
      </c>
      <c r="AC33" s="4">
        <v>11.31</v>
      </c>
      <c r="AD33" s="4">
        <v>11.31</v>
      </c>
      <c r="AE33" s="4">
        <v>11.31</v>
      </c>
      <c r="AF33" s="4">
        <v>11.31</v>
      </c>
      <c r="AG33" s="4">
        <v>11.31</v>
      </c>
      <c r="AH33" s="4">
        <v>11.31</v>
      </c>
      <c r="AI33" s="4">
        <v>11.31</v>
      </c>
      <c r="AJ33" s="4">
        <v>11.31</v>
      </c>
    </row>
    <row r="34" spans="1:36" x14ac:dyDescent="0.45">
      <c r="A34" s="34"/>
      <c r="B34" s="4" t="s">
        <v>53</v>
      </c>
      <c r="C34" s="5" t="s">
        <v>54</v>
      </c>
      <c r="D34" s="4" t="s">
        <v>393</v>
      </c>
      <c r="E34" s="4">
        <v>7.19</v>
      </c>
      <c r="F34" s="4" t="s">
        <v>396</v>
      </c>
      <c r="G34" s="4">
        <f>$E$34</f>
        <v>7.19</v>
      </c>
      <c r="H34" s="4">
        <f t="shared" ref="H34:AJ34" si="1">$E$34</f>
        <v>7.19</v>
      </c>
      <c r="I34" s="4">
        <f t="shared" si="1"/>
        <v>7.19</v>
      </c>
      <c r="J34" s="4">
        <f t="shared" si="1"/>
        <v>7.19</v>
      </c>
      <c r="K34" s="4">
        <f t="shared" si="1"/>
        <v>7.19</v>
      </c>
      <c r="L34" s="4">
        <f t="shared" si="1"/>
        <v>7.19</v>
      </c>
      <c r="M34" s="4">
        <f t="shared" si="1"/>
        <v>7.19</v>
      </c>
      <c r="N34" s="4">
        <f t="shared" si="1"/>
        <v>7.19</v>
      </c>
      <c r="O34" s="4">
        <f t="shared" si="1"/>
        <v>7.19</v>
      </c>
      <c r="P34" s="4">
        <f t="shared" si="1"/>
        <v>7.19</v>
      </c>
      <c r="Q34" s="4">
        <f t="shared" si="1"/>
        <v>7.19</v>
      </c>
      <c r="R34" s="4">
        <f t="shared" si="1"/>
        <v>7.19</v>
      </c>
      <c r="S34" s="4">
        <f t="shared" si="1"/>
        <v>7.19</v>
      </c>
      <c r="T34" s="4">
        <f t="shared" si="1"/>
        <v>7.19</v>
      </c>
      <c r="U34" s="4">
        <f t="shared" si="1"/>
        <v>7.19</v>
      </c>
      <c r="V34" s="4">
        <f t="shared" si="1"/>
        <v>7.19</v>
      </c>
      <c r="W34" s="4">
        <f t="shared" si="1"/>
        <v>7.19</v>
      </c>
      <c r="X34" s="4">
        <f t="shared" si="1"/>
        <v>7.19</v>
      </c>
      <c r="Y34" s="4">
        <f t="shared" si="1"/>
        <v>7.19</v>
      </c>
      <c r="Z34" s="4">
        <f t="shared" si="1"/>
        <v>7.19</v>
      </c>
      <c r="AA34" s="4">
        <f t="shared" si="1"/>
        <v>7.19</v>
      </c>
      <c r="AB34" s="4">
        <f t="shared" si="1"/>
        <v>7.19</v>
      </c>
      <c r="AC34" s="4">
        <f t="shared" si="1"/>
        <v>7.19</v>
      </c>
      <c r="AD34" s="4">
        <f t="shared" si="1"/>
        <v>7.19</v>
      </c>
      <c r="AE34" s="4">
        <f t="shared" si="1"/>
        <v>7.19</v>
      </c>
      <c r="AF34" s="4">
        <f t="shared" si="1"/>
        <v>7.19</v>
      </c>
      <c r="AG34" s="4">
        <f t="shared" si="1"/>
        <v>7.19</v>
      </c>
      <c r="AH34" s="4">
        <f t="shared" si="1"/>
        <v>7.19</v>
      </c>
      <c r="AI34" s="4">
        <f t="shared" si="1"/>
        <v>7.19</v>
      </c>
      <c r="AJ34" s="4">
        <f t="shared" si="1"/>
        <v>7.19</v>
      </c>
    </row>
    <row r="35" spans="1:36" ht="35" x14ac:dyDescent="0.45">
      <c r="A35" s="34"/>
      <c r="B35" s="4" t="s">
        <v>63</v>
      </c>
      <c r="C35" s="5" t="s">
        <v>64</v>
      </c>
      <c r="D35" s="4" t="s">
        <v>393</v>
      </c>
      <c r="E35" s="4">
        <v>0</v>
      </c>
      <c r="F35" s="13" t="s">
        <v>394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</row>
    <row r="36" spans="1:36" ht="35" x14ac:dyDescent="0.45">
      <c r="A36" s="34"/>
      <c r="B36" s="4" t="s">
        <v>65</v>
      </c>
      <c r="C36" s="5" t="s">
        <v>66</v>
      </c>
      <c r="D36" s="4" t="s">
        <v>393</v>
      </c>
      <c r="E36" s="4">
        <v>0</v>
      </c>
      <c r="F36" s="13" t="s">
        <v>394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</row>
    <row r="37" spans="1:36" x14ac:dyDescent="0.45">
      <c r="A37" s="34"/>
      <c r="B37" s="4" t="s">
        <v>241</v>
      </c>
      <c r="C37" s="5" t="s">
        <v>242</v>
      </c>
      <c r="D37" s="4" t="s">
        <v>393</v>
      </c>
      <c r="E37" s="4">
        <v>1.1599999999999999</v>
      </c>
      <c r="F37" s="4" t="s">
        <v>391</v>
      </c>
      <c r="G37" s="4">
        <v>1.1599999999999999</v>
      </c>
      <c r="H37" s="4">
        <v>1.1599999999999999</v>
      </c>
      <c r="I37" s="4">
        <v>1.1599999999999999</v>
      </c>
      <c r="J37" s="4">
        <v>1.1599999999999999</v>
      </c>
      <c r="K37" s="4">
        <v>1.1599999999999999</v>
      </c>
      <c r="L37" s="4">
        <v>1.1599999999999999</v>
      </c>
      <c r="M37" s="4">
        <v>1.1599999999999999</v>
      </c>
      <c r="N37" s="4">
        <v>1.1599999999999999</v>
      </c>
      <c r="O37" s="4">
        <v>1.1599999999999999</v>
      </c>
      <c r="P37" s="4">
        <v>1.1599999999999999</v>
      </c>
      <c r="Q37" s="4">
        <v>1.1599999999999999</v>
      </c>
      <c r="R37" s="4">
        <v>1.1599999999999999</v>
      </c>
      <c r="S37" s="4">
        <v>1.1599999999999999</v>
      </c>
      <c r="T37" s="4">
        <v>1.1599999999999999</v>
      </c>
      <c r="U37" s="4">
        <v>1.1599999999999999</v>
      </c>
      <c r="V37" s="4">
        <v>1.1599999999999999</v>
      </c>
      <c r="W37" s="4">
        <v>1.1599999999999999</v>
      </c>
      <c r="X37" s="4">
        <v>1.1599999999999999</v>
      </c>
      <c r="Y37" s="4">
        <v>1.1599999999999999</v>
      </c>
      <c r="Z37" s="4">
        <v>1.1599999999999999</v>
      </c>
      <c r="AA37" s="4">
        <v>1.1599999999999999</v>
      </c>
      <c r="AB37" s="4">
        <v>1.1599999999999999</v>
      </c>
      <c r="AC37" s="4">
        <v>1.1599999999999999</v>
      </c>
      <c r="AD37" s="4">
        <v>1.1599999999999999</v>
      </c>
      <c r="AE37" s="4">
        <v>1.1599999999999999</v>
      </c>
      <c r="AF37" s="4">
        <v>1.1599999999999999</v>
      </c>
      <c r="AG37" s="4">
        <v>1.1599999999999999</v>
      </c>
      <c r="AH37" s="4">
        <v>1.1599999999999999</v>
      </c>
      <c r="AI37" s="4">
        <v>1.1599999999999999</v>
      </c>
      <c r="AJ37" s="4">
        <v>1.1599999999999999</v>
      </c>
    </row>
    <row r="38" spans="1:36" x14ac:dyDescent="0.45">
      <c r="A38" s="34"/>
      <c r="B38" s="4" t="s">
        <v>67</v>
      </c>
      <c r="C38" s="5" t="s">
        <v>68</v>
      </c>
      <c r="D38" s="4" t="s">
        <v>393</v>
      </c>
      <c r="E38" s="4">
        <v>3</v>
      </c>
      <c r="F38" s="4" t="s">
        <v>391</v>
      </c>
      <c r="G38" s="4">
        <v>3</v>
      </c>
      <c r="H38" s="4">
        <v>3</v>
      </c>
      <c r="I38" s="4">
        <v>3</v>
      </c>
      <c r="J38" s="4">
        <v>3</v>
      </c>
      <c r="K38" s="4">
        <v>3</v>
      </c>
      <c r="L38" s="4">
        <v>3</v>
      </c>
      <c r="M38" s="4">
        <v>3</v>
      </c>
      <c r="N38" s="4">
        <v>3</v>
      </c>
      <c r="O38" s="4">
        <v>3</v>
      </c>
      <c r="P38" s="4">
        <v>3</v>
      </c>
      <c r="Q38" s="4">
        <v>3</v>
      </c>
      <c r="R38" s="4">
        <v>3</v>
      </c>
      <c r="S38" s="4">
        <v>3</v>
      </c>
      <c r="T38" s="4">
        <v>3</v>
      </c>
      <c r="U38" s="4">
        <v>3</v>
      </c>
      <c r="V38" s="4">
        <v>3</v>
      </c>
      <c r="W38" s="4">
        <v>3</v>
      </c>
      <c r="X38" s="4">
        <v>3</v>
      </c>
      <c r="Y38" s="4">
        <v>3</v>
      </c>
      <c r="Z38" s="4">
        <v>3</v>
      </c>
      <c r="AA38" s="4">
        <v>3</v>
      </c>
      <c r="AB38" s="4">
        <v>3</v>
      </c>
      <c r="AC38" s="4">
        <v>3</v>
      </c>
      <c r="AD38" s="4">
        <v>3</v>
      </c>
      <c r="AE38" s="4">
        <v>3</v>
      </c>
      <c r="AF38" s="4">
        <v>3</v>
      </c>
      <c r="AG38" s="4">
        <v>3</v>
      </c>
      <c r="AH38" s="4">
        <v>3</v>
      </c>
      <c r="AI38" s="4">
        <v>3</v>
      </c>
      <c r="AJ38" s="4">
        <v>3</v>
      </c>
    </row>
    <row r="39" spans="1:36" x14ac:dyDescent="0.45">
      <c r="A39" s="34"/>
      <c r="B39" s="4" t="s">
        <v>69</v>
      </c>
      <c r="C39" s="5" t="s">
        <v>70</v>
      </c>
      <c r="D39" s="4" t="s">
        <v>393</v>
      </c>
      <c r="E39" s="4">
        <v>0</v>
      </c>
      <c r="F39" s="4" t="s">
        <v>391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</row>
    <row r="40" spans="1:36" x14ac:dyDescent="0.45">
      <c r="A40" s="34"/>
      <c r="B40" s="4" t="s">
        <v>71</v>
      </c>
      <c r="C40" s="5" t="s">
        <v>72</v>
      </c>
      <c r="D40" s="4" t="s">
        <v>393</v>
      </c>
      <c r="E40" s="4">
        <v>0</v>
      </c>
      <c r="F40" s="4" t="s">
        <v>391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</row>
    <row r="41" spans="1:36" x14ac:dyDescent="0.45">
      <c r="A41" s="34"/>
      <c r="B41" s="4" t="s">
        <v>73</v>
      </c>
      <c r="C41" s="5" t="s">
        <v>74</v>
      </c>
      <c r="D41" s="4" t="s">
        <v>393</v>
      </c>
      <c r="E41" s="4">
        <v>0</v>
      </c>
      <c r="F41" s="4" t="s">
        <v>391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</row>
    <row r="42" spans="1:36" x14ac:dyDescent="0.45">
      <c r="A42" s="34"/>
      <c r="B42" s="4" t="s">
        <v>75</v>
      </c>
      <c r="C42" s="5" t="s">
        <v>76</v>
      </c>
      <c r="D42" s="4" t="s">
        <v>393</v>
      </c>
      <c r="E42" s="4">
        <v>0</v>
      </c>
      <c r="F42" s="4" t="s">
        <v>391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</row>
    <row r="43" spans="1:36" x14ac:dyDescent="0.45">
      <c r="A43" s="34"/>
      <c r="B43" s="4" t="s">
        <v>77</v>
      </c>
      <c r="C43" s="5" t="s">
        <v>78</v>
      </c>
      <c r="D43" s="4" t="s">
        <v>393</v>
      </c>
      <c r="E43" s="4">
        <v>0</v>
      </c>
      <c r="F43" s="4" t="s">
        <v>391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</row>
    <row r="44" spans="1:36" x14ac:dyDescent="0.45">
      <c r="A44" s="34"/>
      <c r="B44" s="4" t="s">
        <v>79</v>
      </c>
      <c r="C44" s="5" t="s">
        <v>80</v>
      </c>
      <c r="D44" s="4" t="s">
        <v>393</v>
      </c>
      <c r="E44" s="4">
        <v>0</v>
      </c>
      <c r="F44" s="4" t="s">
        <v>391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</row>
    <row r="45" spans="1:36" x14ac:dyDescent="0.45">
      <c r="A45" s="34"/>
      <c r="B45" s="4" t="s">
        <v>81</v>
      </c>
      <c r="C45" s="5" t="s">
        <v>82</v>
      </c>
      <c r="D45" s="4" t="s">
        <v>393</v>
      </c>
      <c r="E45" s="4">
        <v>0</v>
      </c>
      <c r="F45" s="4" t="s">
        <v>391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</row>
    <row r="46" spans="1:36" ht="43.5" x14ac:dyDescent="0.45">
      <c r="A46" s="34"/>
      <c r="B46" s="4" t="s">
        <v>83</v>
      </c>
      <c r="C46" s="5" t="s">
        <v>84</v>
      </c>
      <c r="D46" s="4" t="s">
        <v>393</v>
      </c>
      <c r="E46" s="4">
        <v>0</v>
      </c>
      <c r="F46" s="14" t="s">
        <v>395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</row>
    <row r="47" spans="1:36" ht="17.25" customHeight="1" x14ac:dyDescent="0.45">
      <c r="A47" s="35" t="s">
        <v>210</v>
      </c>
      <c r="B47" s="4" t="s">
        <v>55</v>
      </c>
      <c r="C47" s="5" t="s">
        <v>56</v>
      </c>
      <c r="D47" s="4" t="s">
        <v>398</v>
      </c>
      <c r="E47" s="19">
        <v>0.71775</v>
      </c>
      <c r="F47" s="4" t="s">
        <v>397</v>
      </c>
      <c r="G47" s="19">
        <v>0.71775</v>
      </c>
      <c r="H47" s="19">
        <v>0.71775</v>
      </c>
      <c r="I47" s="19">
        <v>0.71775</v>
      </c>
      <c r="J47" s="19">
        <v>0.71775</v>
      </c>
      <c r="K47" s="19">
        <v>0.71775</v>
      </c>
      <c r="L47" s="19">
        <v>0.71775</v>
      </c>
      <c r="M47" s="19">
        <v>0.71775</v>
      </c>
      <c r="N47" s="19">
        <v>0.71775</v>
      </c>
      <c r="O47" s="19">
        <v>0.71775</v>
      </c>
      <c r="P47" s="19">
        <v>0.71775</v>
      </c>
      <c r="Q47" s="19">
        <v>0.71775</v>
      </c>
      <c r="R47" s="19">
        <v>0.71775</v>
      </c>
      <c r="S47" s="19">
        <v>0.71775</v>
      </c>
      <c r="T47" s="19">
        <v>0.71775</v>
      </c>
      <c r="U47" s="19">
        <v>0.71775</v>
      </c>
      <c r="V47" s="19">
        <v>0.71775</v>
      </c>
      <c r="W47" s="19">
        <v>0.71775</v>
      </c>
      <c r="X47" s="19">
        <v>0.71775</v>
      </c>
      <c r="Y47" s="19">
        <v>0.71775</v>
      </c>
      <c r="Z47" s="19">
        <v>0.71775</v>
      </c>
      <c r="AA47" s="19">
        <v>0.71775</v>
      </c>
      <c r="AB47" s="19">
        <v>0.71775</v>
      </c>
      <c r="AC47" s="19">
        <v>0.71775</v>
      </c>
      <c r="AD47" s="19">
        <v>0.71775</v>
      </c>
      <c r="AE47" s="19">
        <v>0.71775</v>
      </c>
      <c r="AF47" s="19">
        <v>0.71775</v>
      </c>
      <c r="AG47" s="19">
        <v>0.71775</v>
      </c>
      <c r="AH47" s="19">
        <v>0.71775</v>
      </c>
      <c r="AI47" s="19">
        <v>0.71775</v>
      </c>
      <c r="AJ47" s="19">
        <v>0.71775</v>
      </c>
    </row>
    <row r="48" spans="1:36" x14ac:dyDescent="0.45">
      <c r="A48" s="36"/>
      <c r="B48" s="4" t="s">
        <v>57</v>
      </c>
      <c r="C48" s="5" t="s">
        <v>58</v>
      </c>
      <c r="D48" s="4" t="s">
        <v>398</v>
      </c>
      <c r="E48" s="4">
        <v>0.67</v>
      </c>
      <c r="F48" s="4" t="s">
        <v>423</v>
      </c>
      <c r="G48" s="4">
        <f>$E$48</f>
        <v>0.67</v>
      </c>
      <c r="H48" s="4">
        <f t="shared" ref="H48:AJ48" si="2">$E$48</f>
        <v>0.67</v>
      </c>
      <c r="I48" s="4">
        <f t="shared" si="2"/>
        <v>0.67</v>
      </c>
      <c r="J48" s="4">
        <f t="shared" si="2"/>
        <v>0.67</v>
      </c>
      <c r="K48" s="4">
        <f t="shared" si="2"/>
        <v>0.67</v>
      </c>
      <c r="L48" s="4">
        <f t="shared" si="2"/>
        <v>0.67</v>
      </c>
      <c r="M48" s="4">
        <f t="shared" si="2"/>
        <v>0.67</v>
      </c>
      <c r="N48" s="4">
        <f t="shared" si="2"/>
        <v>0.67</v>
      </c>
      <c r="O48" s="4">
        <f t="shared" si="2"/>
        <v>0.67</v>
      </c>
      <c r="P48" s="4">
        <f t="shared" si="2"/>
        <v>0.67</v>
      </c>
      <c r="Q48" s="4">
        <f t="shared" si="2"/>
        <v>0.67</v>
      </c>
      <c r="R48" s="4">
        <f t="shared" si="2"/>
        <v>0.67</v>
      </c>
      <c r="S48" s="4">
        <f t="shared" si="2"/>
        <v>0.67</v>
      </c>
      <c r="T48" s="4">
        <f t="shared" si="2"/>
        <v>0.67</v>
      </c>
      <c r="U48" s="4">
        <f t="shared" si="2"/>
        <v>0.67</v>
      </c>
      <c r="V48" s="4">
        <f t="shared" si="2"/>
        <v>0.67</v>
      </c>
      <c r="W48" s="4">
        <f t="shared" si="2"/>
        <v>0.67</v>
      </c>
      <c r="X48" s="4">
        <f t="shared" si="2"/>
        <v>0.67</v>
      </c>
      <c r="Y48" s="4">
        <f t="shared" si="2"/>
        <v>0.67</v>
      </c>
      <c r="Z48" s="4">
        <f t="shared" si="2"/>
        <v>0.67</v>
      </c>
      <c r="AA48" s="4">
        <f t="shared" si="2"/>
        <v>0.67</v>
      </c>
      <c r="AB48" s="4">
        <f t="shared" si="2"/>
        <v>0.67</v>
      </c>
      <c r="AC48" s="4">
        <f t="shared" si="2"/>
        <v>0.67</v>
      </c>
      <c r="AD48" s="4">
        <f t="shared" si="2"/>
        <v>0.67</v>
      </c>
      <c r="AE48" s="4">
        <f t="shared" si="2"/>
        <v>0.67</v>
      </c>
      <c r="AF48" s="4">
        <f t="shared" si="2"/>
        <v>0.67</v>
      </c>
      <c r="AG48" s="4">
        <f t="shared" si="2"/>
        <v>0.67</v>
      </c>
      <c r="AH48" s="4">
        <f t="shared" si="2"/>
        <v>0.67</v>
      </c>
      <c r="AI48" s="4">
        <f t="shared" si="2"/>
        <v>0.67</v>
      </c>
      <c r="AJ48" s="4">
        <f t="shared" si="2"/>
        <v>0.67</v>
      </c>
    </row>
    <row r="49" spans="1:36" x14ac:dyDescent="0.45">
      <c r="A49" s="36"/>
      <c r="B49" s="4" t="s">
        <v>59</v>
      </c>
      <c r="C49" s="5" t="s">
        <v>60</v>
      </c>
      <c r="D49" s="4" t="s">
        <v>393</v>
      </c>
      <c r="E49" s="4">
        <v>0</v>
      </c>
      <c r="F49" s="4" t="s">
        <v>366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</row>
    <row r="50" spans="1:36" x14ac:dyDescent="0.45">
      <c r="A50" s="36"/>
      <c r="B50" s="4" t="s">
        <v>61</v>
      </c>
      <c r="C50" s="5" t="s">
        <v>62</v>
      </c>
      <c r="D50" s="4" t="s">
        <v>393</v>
      </c>
      <c r="E50" s="4">
        <v>0</v>
      </c>
      <c r="F50" s="4" t="s">
        <v>366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</row>
    <row r="51" spans="1:36" x14ac:dyDescent="0.45">
      <c r="A51" s="36"/>
      <c r="B51" s="4" t="s">
        <v>85</v>
      </c>
      <c r="C51" s="5" t="s">
        <v>86</v>
      </c>
      <c r="D51" s="4" t="s">
        <v>393</v>
      </c>
      <c r="E51" s="4">
        <v>2.8</v>
      </c>
      <c r="F51" s="4" t="s">
        <v>439</v>
      </c>
      <c r="G51" s="19">
        <f>$E$51*0.9933^(G1-2020)</f>
        <v>2.7812399999999999</v>
      </c>
      <c r="H51" s="19">
        <f t="shared" ref="H51:AJ51" si="3">$E$51*0.9933^(H1-2020)</f>
        <v>2.7626056919999997</v>
      </c>
      <c r="I51" s="19">
        <f t="shared" si="3"/>
        <v>2.7440962338635995</v>
      </c>
      <c r="J51" s="19">
        <f t="shared" si="3"/>
        <v>2.7257107890967132</v>
      </c>
      <c r="K51" s="19">
        <f t="shared" si="3"/>
        <v>2.707448526809765</v>
      </c>
      <c r="L51" s="19">
        <f t="shared" si="3"/>
        <v>2.6893086216801394</v>
      </c>
      <c r="M51" s="19">
        <f t="shared" si="3"/>
        <v>2.6712902539148824</v>
      </c>
      <c r="N51" s="19">
        <f t="shared" si="3"/>
        <v>2.6533926092136526</v>
      </c>
      <c r="O51" s="19">
        <f t="shared" si="3"/>
        <v>2.6356148787319209</v>
      </c>
      <c r="P51" s="19">
        <f t="shared" si="3"/>
        <v>2.617956259044417</v>
      </c>
      <c r="Q51" s="19">
        <f t="shared" si="3"/>
        <v>2.6004159521088193</v>
      </c>
      <c r="R51" s="19">
        <f t="shared" si="3"/>
        <v>2.58299316522969</v>
      </c>
      <c r="S51" s="19">
        <f t="shared" si="3"/>
        <v>2.5656871110226511</v>
      </c>
      <c r="T51" s="19">
        <f t="shared" si="3"/>
        <v>2.5484970073787991</v>
      </c>
      <c r="U51" s="19">
        <f t="shared" si="3"/>
        <v>2.5314220774293612</v>
      </c>
      <c r="V51" s="19">
        <f t="shared" si="3"/>
        <v>2.514461549510584</v>
      </c>
      <c r="W51" s="19">
        <f t="shared" si="3"/>
        <v>2.4976146571288629</v>
      </c>
      <c r="X51" s="19">
        <f t="shared" si="3"/>
        <v>2.4808806389260996</v>
      </c>
      <c r="Y51" s="19">
        <f t="shared" si="3"/>
        <v>2.4642587386452943</v>
      </c>
      <c r="Z51" s="19">
        <f t="shared" si="3"/>
        <v>2.4477482050963713</v>
      </c>
      <c r="AA51" s="19">
        <f t="shared" si="3"/>
        <v>2.4313482921222254</v>
      </c>
      <c r="AB51" s="19">
        <f t="shared" si="3"/>
        <v>2.415058258565006</v>
      </c>
      <c r="AC51" s="19">
        <f t="shared" si="3"/>
        <v>2.3988773682326205</v>
      </c>
      <c r="AD51" s="19">
        <f t="shared" si="3"/>
        <v>2.3828048898654619</v>
      </c>
      <c r="AE51" s="19">
        <f t="shared" si="3"/>
        <v>2.366840097103363</v>
      </c>
      <c r="AF51" s="19">
        <f t="shared" si="3"/>
        <v>2.3509822684527704</v>
      </c>
      <c r="AG51" s="19">
        <f t="shared" si="3"/>
        <v>2.3352306872541364</v>
      </c>
      <c r="AH51" s="19">
        <f t="shared" si="3"/>
        <v>2.3195846416495343</v>
      </c>
      <c r="AI51" s="19">
        <f t="shared" si="3"/>
        <v>2.3040434245504819</v>
      </c>
      <c r="AJ51" s="19">
        <f t="shared" si="3"/>
        <v>2.2886063336059936</v>
      </c>
    </row>
    <row r="52" spans="1:36" x14ac:dyDescent="0.45">
      <c r="A52" s="36"/>
      <c r="B52" s="4" t="s">
        <v>87</v>
      </c>
      <c r="C52" s="5" t="s">
        <v>88</v>
      </c>
      <c r="D52" s="4" t="s">
        <v>393</v>
      </c>
      <c r="E52" s="4">
        <v>6</v>
      </c>
      <c r="F52" s="4" t="s">
        <v>439</v>
      </c>
      <c r="G52" s="19">
        <f>$E$52*0.9961^(G1-2020)</f>
        <v>5.9765999999999995</v>
      </c>
      <c r="H52" s="19">
        <f t="shared" ref="H52:AJ52" si="4">$E$52*0.9961^(H1-2020)</f>
        <v>5.9532912600000003</v>
      </c>
      <c r="I52" s="19">
        <f t="shared" si="4"/>
        <v>5.9300734240860002</v>
      </c>
      <c r="J52" s="19">
        <f t="shared" si="4"/>
        <v>5.9069461377320645</v>
      </c>
      <c r="K52" s="19">
        <f t="shared" si="4"/>
        <v>5.8839090477949094</v>
      </c>
      <c r="L52" s="19">
        <f t="shared" si="4"/>
        <v>5.8609618025085091</v>
      </c>
      <c r="M52" s="19">
        <f t="shared" si="4"/>
        <v>5.8381040514787266</v>
      </c>
      <c r="N52" s="19">
        <f t="shared" si="4"/>
        <v>5.8153354456779596</v>
      </c>
      <c r="O52" s="19">
        <f t="shared" si="4"/>
        <v>5.7926556374398146</v>
      </c>
      <c r="P52" s="19">
        <f t="shared" si="4"/>
        <v>5.7700642804538003</v>
      </c>
      <c r="Q52" s="19">
        <f t="shared" si="4"/>
        <v>5.7475610297600301</v>
      </c>
      <c r="R52" s="19">
        <f t="shared" si="4"/>
        <v>5.7251455417439656</v>
      </c>
      <c r="S52" s="19">
        <f t="shared" si="4"/>
        <v>5.7028174741311641</v>
      </c>
      <c r="T52" s="19">
        <f t="shared" si="4"/>
        <v>5.6805764859820531</v>
      </c>
      <c r="U52" s="19">
        <f t="shared" si="4"/>
        <v>5.6584222376867235</v>
      </c>
      <c r="V52" s="19">
        <f t="shared" si="4"/>
        <v>5.6363543909597453</v>
      </c>
      <c r="W52" s="19">
        <f t="shared" si="4"/>
        <v>5.6143726088350014</v>
      </c>
      <c r="X52" s="19">
        <f t="shared" si="4"/>
        <v>5.5924765556605447</v>
      </c>
      <c r="Y52" s="19">
        <f t="shared" si="4"/>
        <v>5.5706658970934697</v>
      </c>
      <c r="Z52" s="19">
        <f t="shared" si="4"/>
        <v>5.5489403000948041</v>
      </c>
      <c r="AA52" s="19">
        <f t="shared" si="4"/>
        <v>5.5272994329244352</v>
      </c>
      <c r="AB52" s="19">
        <f t="shared" si="4"/>
        <v>5.5057429651360295</v>
      </c>
      <c r="AC52" s="19">
        <f t="shared" si="4"/>
        <v>5.4842705675719996</v>
      </c>
      <c r="AD52" s="19">
        <f t="shared" si="4"/>
        <v>5.4628819123584682</v>
      </c>
      <c r="AE52" s="19">
        <f t="shared" si="4"/>
        <v>5.4415766729002701</v>
      </c>
      <c r="AF52" s="19">
        <f t="shared" si="4"/>
        <v>5.4203545238759592</v>
      </c>
      <c r="AG52" s="19">
        <f t="shared" si="4"/>
        <v>5.3992151412328431</v>
      </c>
      <c r="AH52" s="19">
        <f t="shared" si="4"/>
        <v>5.3781582021820347</v>
      </c>
      <c r="AI52" s="19">
        <f t="shared" si="4"/>
        <v>5.3571833851935251</v>
      </c>
      <c r="AJ52" s="19">
        <f t="shared" si="4"/>
        <v>5.3362903699912705</v>
      </c>
    </row>
    <row r="53" spans="1:36" x14ac:dyDescent="0.45">
      <c r="A53" s="36"/>
      <c r="B53" s="4" t="s">
        <v>89</v>
      </c>
      <c r="C53" s="5" t="s">
        <v>90</v>
      </c>
      <c r="D53" s="4" t="s">
        <v>393</v>
      </c>
      <c r="E53" s="4">
        <v>2</v>
      </c>
      <c r="F53" s="4" t="s">
        <v>439</v>
      </c>
      <c r="G53" s="19">
        <f>$E$53*0.9484^(G1-2020)</f>
        <v>1.8968</v>
      </c>
      <c r="H53" s="19">
        <f t="shared" ref="H53:AJ53" si="5">$E$53*0.9484^(H1-2020)</f>
        <v>1.79892512</v>
      </c>
      <c r="I53" s="19">
        <f t="shared" si="5"/>
        <v>1.7061005838080001</v>
      </c>
      <c r="J53" s="19">
        <f t="shared" si="5"/>
        <v>1.6180657936835072</v>
      </c>
      <c r="K53" s="19">
        <f t="shared" si="5"/>
        <v>1.5345735987294382</v>
      </c>
      <c r="L53" s="19">
        <f t="shared" si="5"/>
        <v>1.4553896010349994</v>
      </c>
      <c r="M53" s="19">
        <f t="shared" si="5"/>
        <v>1.3802914976215934</v>
      </c>
      <c r="N53" s="19">
        <f t="shared" si="5"/>
        <v>1.3090684563443191</v>
      </c>
      <c r="O53" s="19">
        <f t="shared" si="5"/>
        <v>1.2415205239969522</v>
      </c>
      <c r="P53" s="19">
        <f t="shared" si="5"/>
        <v>1.1774580649587096</v>
      </c>
      <c r="Q53" s="19">
        <f t="shared" si="5"/>
        <v>1.1167012288068401</v>
      </c>
      <c r="R53" s="19">
        <f t="shared" si="5"/>
        <v>1.0590794454004071</v>
      </c>
      <c r="S53" s="19">
        <f t="shared" si="5"/>
        <v>1.0044309460177461</v>
      </c>
      <c r="T53" s="19">
        <f t="shared" si="5"/>
        <v>0.95260230920323052</v>
      </c>
      <c r="U53" s="19">
        <f t="shared" si="5"/>
        <v>0.90344803004834384</v>
      </c>
      <c r="V53" s="19">
        <f t="shared" si="5"/>
        <v>0.85683011169784928</v>
      </c>
      <c r="W53" s="19">
        <f t="shared" si="5"/>
        <v>0.81261767793424022</v>
      </c>
      <c r="X53" s="19">
        <f t="shared" si="5"/>
        <v>0.77068660575283343</v>
      </c>
      <c r="Y53" s="19">
        <f t="shared" si="5"/>
        <v>0.73091917689598729</v>
      </c>
      <c r="Z53" s="19">
        <f t="shared" si="5"/>
        <v>0.69320374736815438</v>
      </c>
      <c r="AA53" s="19">
        <f t="shared" si="5"/>
        <v>0.65743443400395751</v>
      </c>
      <c r="AB53" s="19">
        <f t="shared" si="5"/>
        <v>0.62351081720935342</v>
      </c>
      <c r="AC53" s="19">
        <f t="shared" si="5"/>
        <v>0.59133765904135083</v>
      </c>
      <c r="AD53" s="19">
        <f t="shared" si="5"/>
        <v>0.56082463583481701</v>
      </c>
      <c r="AE53" s="19">
        <f t="shared" si="5"/>
        <v>0.5318860846257405</v>
      </c>
      <c r="AF53" s="19">
        <f t="shared" si="5"/>
        <v>0.50444076265905236</v>
      </c>
      <c r="AG53" s="19">
        <f t="shared" si="5"/>
        <v>0.47841161930584519</v>
      </c>
      <c r="AH53" s="19">
        <f t="shared" si="5"/>
        <v>0.45372557974966354</v>
      </c>
      <c r="AI53" s="19">
        <f t="shared" si="5"/>
        <v>0.43031333983458092</v>
      </c>
      <c r="AJ53" s="19">
        <f t="shared" si="5"/>
        <v>0.40810917149911657</v>
      </c>
    </row>
    <row r="54" spans="1:36" x14ac:dyDescent="0.45">
      <c r="A54" s="37"/>
      <c r="B54" s="4" t="s">
        <v>430</v>
      </c>
      <c r="C54" s="5" t="s">
        <v>431</v>
      </c>
      <c r="D54" s="4" t="s">
        <v>393</v>
      </c>
      <c r="E54" s="4">
        <v>0</v>
      </c>
      <c r="F54" s="4" t="s">
        <v>409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</row>
    <row r="55" spans="1:36" ht="35" x14ac:dyDescent="0.45">
      <c r="A55" s="34" t="s">
        <v>211</v>
      </c>
      <c r="B55" s="4" t="s">
        <v>91</v>
      </c>
      <c r="C55" s="5" t="s">
        <v>92</v>
      </c>
      <c r="D55" s="4" t="s">
        <v>393</v>
      </c>
      <c r="E55" s="4">
        <v>0</v>
      </c>
      <c r="F55" s="4" t="s">
        <v>397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</row>
    <row r="56" spans="1:36" ht="35" x14ac:dyDescent="0.45">
      <c r="A56" s="34"/>
      <c r="B56" s="4" t="s">
        <v>93</v>
      </c>
      <c r="C56" s="5" t="s">
        <v>94</v>
      </c>
      <c r="D56" s="4" t="s">
        <v>393</v>
      </c>
      <c r="E56" s="4">
        <v>0</v>
      </c>
      <c r="F56" s="4" t="s">
        <v>394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</row>
    <row r="57" spans="1:36" ht="35" x14ac:dyDescent="0.45">
      <c r="A57" s="34"/>
      <c r="B57" s="4" t="s">
        <v>95</v>
      </c>
      <c r="C57" s="5" t="s">
        <v>96</v>
      </c>
      <c r="D57" s="4" t="s">
        <v>393</v>
      </c>
      <c r="E57" s="4">
        <v>0</v>
      </c>
      <c r="F57" s="4" t="s">
        <v>397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</row>
    <row r="58" spans="1:36" ht="17.25" customHeight="1" x14ac:dyDescent="0.45">
      <c r="A58" s="34" t="s">
        <v>212</v>
      </c>
      <c r="B58" s="4" t="s">
        <v>97</v>
      </c>
      <c r="C58" s="5" t="s">
        <v>98</v>
      </c>
      <c r="D58" s="4" t="s">
        <v>393</v>
      </c>
      <c r="E58" s="4">
        <v>0</v>
      </c>
      <c r="F58" s="4" t="s">
        <v>396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</row>
    <row r="59" spans="1:36" x14ac:dyDescent="0.45">
      <c r="A59" s="34"/>
      <c r="B59" s="4" t="s">
        <v>99</v>
      </c>
      <c r="C59" s="5" t="s">
        <v>100</v>
      </c>
      <c r="D59" s="4" t="s">
        <v>393</v>
      </c>
      <c r="E59" s="4">
        <v>0</v>
      </c>
      <c r="F59" s="4" t="s">
        <v>396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</row>
    <row r="60" spans="1:36" x14ac:dyDescent="0.45">
      <c r="A60" s="34" t="s">
        <v>382</v>
      </c>
      <c r="B60" s="4" t="s">
        <v>213</v>
      </c>
      <c r="C60" s="5" t="s">
        <v>101</v>
      </c>
      <c r="D60" s="4" t="s">
        <v>393</v>
      </c>
      <c r="E60" s="4">
        <v>1.55</v>
      </c>
      <c r="F60" s="4" t="s">
        <v>409</v>
      </c>
      <c r="G60" s="4">
        <v>1.55</v>
      </c>
      <c r="H60" s="4">
        <v>1.55</v>
      </c>
      <c r="I60" s="4">
        <v>1.55</v>
      </c>
      <c r="J60" s="4">
        <v>1.55</v>
      </c>
      <c r="K60" s="4">
        <v>1.55</v>
      </c>
      <c r="L60" s="4">
        <v>1.55</v>
      </c>
      <c r="M60" s="4">
        <v>1.55</v>
      </c>
      <c r="N60" s="4">
        <v>1.55</v>
      </c>
      <c r="O60" s="4">
        <v>1.55</v>
      </c>
      <c r="P60" s="4">
        <v>1.55</v>
      </c>
      <c r="Q60" s="4">
        <v>1.55</v>
      </c>
      <c r="R60" s="4">
        <v>1.55</v>
      </c>
      <c r="S60" s="4">
        <v>1.55</v>
      </c>
      <c r="T60" s="4">
        <v>1.55</v>
      </c>
      <c r="U60" s="4">
        <v>1.55</v>
      </c>
      <c r="V60" s="4">
        <v>1.55</v>
      </c>
      <c r="W60" s="4">
        <v>1.55</v>
      </c>
      <c r="X60" s="4">
        <v>1.55</v>
      </c>
      <c r="Y60" s="4">
        <v>1.55</v>
      </c>
      <c r="Z60" s="4">
        <v>1.55</v>
      </c>
      <c r="AA60" s="4">
        <v>1.55</v>
      </c>
      <c r="AB60" s="4">
        <v>1.55</v>
      </c>
      <c r="AC60" s="4">
        <v>1.55</v>
      </c>
      <c r="AD60" s="4">
        <v>1.55</v>
      </c>
      <c r="AE60" s="4">
        <v>1.55</v>
      </c>
      <c r="AF60" s="4">
        <v>1.55</v>
      </c>
      <c r="AG60" s="4">
        <v>1.55</v>
      </c>
      <c r="AH60" s="4">
        <v>1.55</v>
      </c>
      <c r="AI60" s="4">
        <v>1.55</v>
      </c>
      <c r="AJ60" s="4">
        <v>1.55</v>
      </c>
    </row>
    <row r="61" spans="1:36" x14ac:dyDescent="0.45">
      <c r="A61" s="34"/>
      <c r="B61" s="4" t="s">
        <v>214</v>
      </c>
      <c r="C61" s="5" t="s">
        <v>102</v>
      </c>
      <c r="D61" s="4" t="s">
        <v>393</v>
      </c>
      <c r="E61" s="4">
        <v>1.55</v>
      </c>
      <c r="F61" s="4" t="s">
        <v>409</v>
      </c>
      <c r="G61" s="4">
        <v>1.55</v>
      </c>
      <c r="H61" s="4">
        <v>1.55</v>
      </c>
      <c r="I61" s="4">
        <v>1.55</v>
      </c>
      <c r="J61" s="4">
        <v>1.55</v>
      </c>
      <c r="K61" s="4">
        <v>1.55</v>
      </c>
      <c r="L61" s="4">
        <v>1.55</v>
      </c>
      <c r="M61" s="4">
        <v>1.55</v>
      </c>
      <c r="N61" s="4">
        <v>1.55</v>
      </c>
      <c r="O61" s="4">
        <v>1.55</v>
      </c>
      <c r="P61" s="4">
        <v>1.55</v>
      </c>
      <c r="Q61" s="4">
        <v>1.55</v>
      </c>
      <c r="R61" s="4">
        <v>1.55</v>
      </c>
      <c r="S61" s="4">
        <v>1.55</v>
      </c>
      <c r="T61" s="4">
        <v>1.55</v>
      </c>
      <c r="U61" s="4">
        <v>1.55</v>
      </c>
      <c r="V61" s="4">
        <v>1.55</v>
      </c>
      <c r="W61" s="4">
        <v>1.55</v>
      </c>
      <c r="X61" s="4">
        <v>1.55</v>
      </c>
      <c r="Y61" s="4">
        <v>1.55</v>
      </c>
      <c r="Z61" s="4">
        <v>1.55</v>
      </c>
      <c r="AA61" s="4">
        <v>1.55</v>
      </c>
      <c r="AB61" s="4">
        <v>1.55</v>
      </c>
      <c r="AC61" s="4">
        <v>1.55</v>
      </c>
      <c r="AD61" s="4">
        <v>1.55</v>
      </c>
      <c r="AE61" s="4">
        <v>1.55</v>
      </c>
      <c r="AF61" s="4">
        <v>1.55</v>
      </c>
      <c r="AG61" s="4">
        <v>1.55</v>
      </c>
      <c r="AH61" s="4">
        <v>1.55</v>
      </c>
      <c r="AI61" s="4">
        <v>1.55</v>
      </c>
      <c r="AJ61" s="4">
        <v>1.55</v>
      </c>
    </row>
    <row r="62" spans="1:36" x14ac:dyDescent="0.45">
      <c r="A62" s="34"/>
      <c r="B62" s="4" t="s">
        <v>215</v>
      </c>
      <c r="C62" s="5" t="s">
        <v>103</v>
      </c>
      <c r="D62" s="4" t="s">
        <v>393</v>
      </c>
      <c r="E62" s="4">
        <v>0.48</v>
      </c>
      <c r="F62" s="4" t="s">
        <v>409</v>
      </c>
      <c r="G62" s="4">
        <v>0.48</v>
      </c>
      <c r="H62" s="4">
        <v>0.48</v>
      </c>
      <c r="I62" s="4">
        <v>0.48</v>
      </c>
      <c r="J62" s="4">
        <v>0.48</v>
      </c>
      <c r="K62" s="4">
        <v>0.48</v>
      </c>
      <c r="L62" s="4">
        <v>0.48</v>
      </c>
      <c r="M62" s="4">
        <v>0.48</v>
      </c>
      <c r="N62" s="4">
        <v>0.48</v>
      </c>
      <c r="O62" s="4">
        <v>0.48</v>
      </c>
      <c r="P62" s="4">
        <v>0.48</v>
      </c>
      <c r="Q62" s="4">
        <v>0.48</v>
      </c>
      <c r="R62" s="4">
        <v>0.48</v>
      </c>
      <c r="S62" s="4">
        <v>0.48</v>
      </c>
      <c r="T62" s="4">
        <v>0.48</v>
      </c>
      <c r="U62" s="4">
        <v>0.48</v>
      </c>
      <c r="V62" s="4">
        <v>0.48</v>
      </c>
      <c r="W62" s="4">
        <v>0.48</v>
      </c>
      <c r="X62" s="4">
        <v>0.48</v>
      </c>
      <c r="Y62" s="4">
        <v>0.48</v>
      </c>
      <c r="Z62" s="4">
        <v>0.48</v>
      </c>
      <c r="AA62" s="4">
        <v>0.48</v>
      </c>
      <c r="AB62" s="4">
        <v>0.48</v>
      </c>
      <c r="AC62" s="4">
        <v>0.48</v>
      </c>
      <c r="AD62" s="4">
        <v>0.48</v>
      </c>
      <c r="AE62" s="4">
        <v>0.48</v>
      </c>
      <c r="AF62" s="4">
        <v>0.48</v>
      </c>
      <c r="AG62" s="4">
        <v>0.48</v>
      </c>
      <c r="AH62" s="4">
        <v>0.48</v>
      </c>
      <c r="AI62" s="4">
        <v>0.48</v>
      </c>
      <c r="AJ62" s="4">
        <v>0.48</v>
      </c>
    </row>
    <row r="63" spans="1:36" x14ac:dyDescent="0.45">
      <c r="A63" s="34"/>
      <c r="B63" s="4" t="s">
        <v>216</v>
      </c>
      <c r="C63" s="5" t="s">
        <v>206</v>
      </c>
      <c r="D63" s="4" t="s">
        <v>393</v>
      </c>
      <c r="E63" s="4">
        <v>0.55000000000000004</v>
      </c>
      <c r="F63" s="4" t="s">
        <v>409</v>
      </c>
      <c r="G63" s="4">
        <v>0.55000000000000004</v>
      </c>
      <c r="H63" s="4">
        <v>0.55000000000000004</v>
      </c>
      <c r="I63" s="4">
        <v>0.55000000000000004</v>
      </c>
      <c r="J63" s="4">
        <v>0.55000000000000004</v>
      </c>
      <c r="K63" s="4">
        <v>0.55000000000000004</v>
      </c>
      <c r="L63" s="4">
        <v>0.55000000000000004</v>
      </c>
      <c r="M63" s="4">
        <v>0.55000000000000004</v>
      </c>
      <c r="N63" s="4">
        <v>0.55000000000000004</v>
      </c>
      <c r="O63" s="4">
        <v>0.55000000000000004</v>
      </c>
      <c r="P63" s="4">
        <v>0.55000000000000004</v>
      </c>
      <c r="Q63" s="4">
        <v>0.55000000000000004</v>
      </c>
      <c r="R63" s="4">
        <v>0.55000000000000004</v>
      </c>
      <c r="S63" s="4">
        <v>0.55000000000000004</v>
      </c>
      <c r="T63" s="4">
        <v>0.55000000000000004</v>
      </c>
      <c r="U63" s="4">
        <v>0.55000000000000004</v>
      </c>
      <c r="V63" s="4">
        <v>0.55000000000000004</v>
      </c>
      <c r="W63" s="4">
        <v>0.55000000000000004</v>
      </c>
      <c r="X63" s="4">
        <v>0.55000000000000004</v>
      </c>
      <c r="Y63" s="4">
        <v>0.55000000000000004</v>
      </c>
      <c r="Z63" s="4">
        <v>0.55000000000000004</v>
      </c>
      <c r="AA63" s="4">
        <v>0.55000000000000004</v>
      </c>
      <c r="AB63" s="4">
        <v>0.55000000000000004</v>
      </c>
      <c r="AC63" s="4">
        <v>0.55000000000000004</v>
      </c>
      <c r="AD63" s="4">
        <v>0.55000000000000004</v>
      </c>
      <c r="AE63" s="4">
        <v>0.55000000000000004</v>
      </c>
      <c r="AF63" s="4">
        <v>0.55000000000000004</v>
      </c>
      <c r="AG63" s="4">
        <v>0.55000000000000004</v>
      </c>
      <c r="AH63" s="4">
        <v>0.55000000000000004</v>
      </c>
      <c r="AI63" s="4">
        <v>0.55000000000000004</v>
      </c>
      <c r="AJ63" s="4">
        <v>0.55000000000000004</v>
      </c>
    </row>
    <row r="64" spans="1:36" ht="35" x14ac:dyDescent="0.45">
      <c r="A64" s="34"/>
      <c r="B64" s="4" t="s">
        <v>217</v>
      </c>
      <c r="C64" s="5" t="s">
        <v>104</v>
      </c>
      <c r="D64" s="4" t="s">
        <v>393</v>
      </c>
      <c r="E64" s="4">
        <v>0</v>
      </c>
      <c r="F64" s="4" t="s">
        <v>415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</row>
    <row r="65" spans="1:36" x14ac:dyDescent="0.45">
      <c r="A65" s="34" t="s">
        <v>219</v>
      </c>
      <c r="B65" s="4" t="s">
        <v>105</v>
      </c>
      <c r="C65" s="5" t="s">
        <v>106</v>
      </c>
      <c r="D65" s="4" t="s">
        <v>393</v>
      </c>
      <c r="E65" s="4">
        <v>1.55</v>
      </c>
      <c r="F65" s="4" t="s">
        <v>409</v>
      </c>
      <c r="G65" s="4">
        <v>1.55</v>
      </c>
      <c r="H65" s="4">
        <v>1.55</v>
      </c>
      <c r="I65" s="4">
        <v>1.55</v>
      </c>
      <c r="J65" s="4">
        <v>1.55</v>
      </c>
      <c r="K65" s="4">
        <v>1.55</v>
      </c>
      <c r="L65" s="4">
        <v>1.55</v>
      </c>
      <c r="M65" s="4">
        <v>1.55</v>
      </c>
      <c r="N65" s="4">
        <v>1.55</v>
      </c>
      <c r="O65" s="4">
        <v>1.55</v>
      </c>
      <c r="P65" s="4">
        <v>1.55</v>
      </c>
      <c r="Q65" s="4">
        <v>1.55</v>
      </c>
      <c r="R65" s="4">
        <v>1.55</v>
      </c>
      <c r="S65" s="4">
        <v>1.55</v>
      </c>
      <c r="T65" s="4">
        <v>1.55</v>
      </c>
      <c r="U65" s="4">
        <v>1.55</v>
      </c>
      <c r="V65" s="4">
        <v>1.55</v>
      </c>
      <c r="W65" s="4">
        <v>1.55</v>
      </c>
      <c r="X65" s="4">
        <v>1.55</v>
      </c>
      <c r="Y65" s="4">
        <v>1.55</v>
      </c>
      <c r="Z65" s="4">
        <v>1.55</v>
      </c>
      <c r="AA65" s="4">
        <v>1.55</v>
      </c>
      <c r="AB65" s="4">
        <v>1.55</v>
      </c>
      <c r="AC65" s="4">
        <v>1.55</v>
      </c>
      <c r="AD65" s="4">
        <v>1.55</v>
      </c>
      <c r="AE65" s="4">
        <v>1.55</v>
      </c>
      <c r="AF65" s="4">
        <v>1.55</v>
      </c>
      <c r="AG65" s="4">
        <v>1.55</v>
      </c>
      <c r="AH65" s="4">
        <v>1.55</v>
      </c>
      <c r="AI65" s="4">
        <v>1.55</v>
      </c>
      <c r="AJ65" s="4">
        <v>1.55</v>
      </c>
    </row>
    <row r="66" spans="1:36" x14ac:dyDescent="0.45">
      <c r="A66" s="34"/>
      <c r="B66" s="4" t="s">
        <v>107</v>
      </c>
      <c r="C66" s="5" t="s">
        <v>108</v>
      </c>
      <c r="D66" s="4" t="s">
        <v>393</v>
      </c>
      <c r="E66" s="4">
        <v>0.48</v>
      </c>
      <c r="F66" s="4" t="s">
        <v>409</v>
      </c>
      <c r="G66" s="4">
        <v>0.48</v>
      </c>
      <c r="H66" s="4">
        <v>0.48</v>
      </c>
      <c r="I66" s="4">
        <v>0.48</v>
      </c>
      <c r="J66" s="4">
        <v>0.48</v>
      </c>
      <c r="K66" s="4">
        <v>0.48</v>
      </c>
      <c r="L66" s="4">
        <v>0.48</v>
      </c>
      <c r="M66" s="4">
        <v>0.48</v>
      </c>
      <c r="N66" s="4">
        <v>0.48</v>
      </c>
      <c r="O66" s="4">
        <v>0.48</v>
      </c>
      <c r="P66" s="4">
        <v>0.48</v>
      </c>
      <c r="Q66" s="4">
        <v>0.48</v>
      </c>
      <c r="R66" s="4">
        <v>0.48</v>
      </c>
      <c r="S66" s="4">
        <v>0.48</v>
      </c>
      <c r="T66" s="4">
        <v>0.48</v>
      </c>
      <c r="U66" s="4">
        <v>0.48</v>
      </c>
      <c r="V66" s="4">
        <v>0.48</v>
      </c>
      <c r="W66" s="4">
        <v>0.48</v>
      </c>
      <c r="X66" s="4">
        <v>0.48</v>
      </c>
      <c r="Y66" s="4">
        <v>0.48</v>
      </c>
      <c r="Z66" s="4">
        <v>0.48</v>
      </c>
      <c r="AA66" s="4">
        <v>0.48</v>
      </c>
      <c r="AB66" s="4">
        <v>0.48</v>
      </c>
      <c r="AC66" s="4">
        <v>0.48</v>
      </c>
      <c r="AD66" s="4">
        <v>0.48</v>
      </c>
      <c r="AE66" s="4">
        <v>0.48</v>
      </c>
      <c r="AF66" s="4">
        <v>0.48</v>
      </c>
      <c r="AG66" s="4">
        <v>0.48</v>
      </c>
      <c r="AH66" s="4">
        <v>0.48</v>
      </c>
      <c r="AI66" s="4">
        <v>0.48</v>
      </c>
      <c r="AJ66" s="4">
        <v>0.48</v>
      </c>
    </row>
    <row r="67" spans="1:36" ht="35" x14ac:dyDescent="0.45">
      <c r="A67" s="34"/>
      <c r="B67" s="4" t="s">
        <v>109</v>
      </c>
      <c r="C67" s="5" t="s">
        <v>110</v>
      </c>
      <c r="D67" s="4" t="s">
        <v>393</v>
      </c>
      <c r="E67" s="4">
        <v>0</v>
      </c>
      <c r="F67" s="4" t="s">
        <v>415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</row>
    <row r="68" spans="1:36" x14ac:dyDescent="0.45">
      <c r="A68" s="34" t="s">
        <v>220</v>
      </c>
      <c r="B68" s="4" t="s">
        <v>111</v>
      </c>
      <c r="C68" s="5" t="s">
        <v>112</v>
      </c>
      <c r="D68" s="4" t="s">
        <v>393</v>
      </c>
      <c r="E68" s="4">
        <v>0.48</v>
      </c>
      <c r="F68" s="4" t="s">
        <v>409</v>
      </c>
      <c r="G68" s="4">
        <v>0.48</v>
      </c>
      <c r="H68" s="4">
        <v>0.48</v>
      </c>
      <c r="I68" s="4">
        <v>0.48</v>
      </c>
      <c r="J68" s="4">
        <v>0.48</v>
      </c>
      <c r="K68" s="4">
        <v>0.48</v>
      </c>
      <c r="L68" s="4">
        <v>0.48</v>
      </c>
      <c r="M68" s="4">
        <v>0.48</v>
      </c>
      <c r="N68" s="4">
        <v>0.48</v>
      </c>
      <c r="O68" s="4">
        <v>0.48</v>
      </c>
      <c r="P68" s="4">
        <v>0.48</v>
      </c>
      <c r="Q68" s="4">
        <v>0.48</v>
      </c>
      <c r="R68" s="4">
        <v>0.48</v>
      </c>
      <c r="S68" s="4">
        <v>0.48</v>
      </c>
      <c r="T68" s="4">
        <v>0.48</v>
      </c>
      <c r="U68" s="4">
        <v>0.48</v>
      </c>
      <c r="V68" s="4">
        <v>0.48</v>
      </c>
      <c r="W68" s="4">
        <v>0.48</v>
      </c>
      <c r="X68" s="4">
        <v>0.48</v>
      </c>
      <c r="Y68" s="4">
        <v>0.48</v>
      </c>
      <c r="Z68" s="4">
        <v>0.48</v>
      </c>
      <c r="AA68" s="4">
        <v>0.48</v>
      </c>
      <c r="AB68" s="4">
        <v>0.48</v>
      </c>
      <c r="AC68" s="4">
        <v>0.48</v>
      </c>
      <c r="AD68" s="4">
        <v>0.48</v>
      </c>
      <c r="AE68" s="4">
        <v>0.48</v>
      </c>
      <c r="AF68" s="4">
        <v>0.48</v>
      </c>
      <c r="AG68" s="4">
        <v>0.48</v>
      </c>
      <c r="AH68" s="4">
        <v>0.48</v>
      </c>
      <c r="AI68" s="4">
        <v>0.48</v>
      </c>
      <c r="AJ68" s="4">
        <v>0.48</v>
      </c>
    </row>
    <row r="69" spans="1:36" ht="35" x14ac:dyDescent="0.45">
      <c r="A69" s="34"/>
      <c r="B69" s="4" t="s">
        <v>113</v>
      </c>
      <c r="C69" s="5" t="s">
        <v>114</v>
      </c>
      <c r="D69" s="4" t="s">
        <v>393</v>
      </c>
      <c r="E69" s="4">
        <v>0</v>
      </c>
      <c r="F69" s="4" t="s">
        <v>415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</row>
    <row r="70" spans="1:36" x14ac:dyDescent="0.45">
      <c r="A70" s="34" t="s">
        <v>221</v>
      </c>
      <c r="B70" s="4" t="s">
        <v>115</v>
      </c>
      <c r="C70" s="5" t="s">
        <v>116</v>
      </c>
      <c r="D70" s="4" t="s">
        <v>393</v>
      </c>
      <c r="E70" s="4">
        <v>1.55</v>
      </c>
      <c r="F70" s="4" t="s">
        <v>409</v>
      </c>
      <c r="G70" s="4">
        <v>1.55</v>
      </c>
      <c r="H70" s="4">
        <v>1.55</v>
      </c>
      <c r="I70" s="4">
        <v>1.55</v>
      </c>
      <c r="J70" s="4">
        <v>1.55</v>
      </c>
      <c r="K70" s="4">
        <v>1.55</v>
      </c>
      <c r="L70" s="4">
        <v>1.55</v>
      </c>
      <c r="M70" s="4">
        <v>1.55</v>
      </c>
      <c r="N70" s="4">
        <v>1.55</v>
      </c>
      <c r="O70" s="4">
        <v>1.55</v>
      </c>
      <c r="P70" s="4">
        <v>1.55</v>
      </c>
      <c r="Q70" s="4">
        <v>1.55</v>
      </c>
      <c r="R70" s="4">
        <v>1.55</v>
      </c>
      <c r="S70" s="4">
        <v>1.55</v>
      </c>
      <c r="T70" s="4">
        <v>1.55</v>
      </c>
      <c r="U70" s="4">
        <v>1.55</v>
      </c>
      <c r="V70" s="4">
        <v>1.55</v>
      </c>
      <c r="W70" s="4">
        <v>1.55</v>
      </c>
      <c r="X70" s="4">
        <v>1.55</v>
      </c>
      <c r="Y70" s="4">
        <v>1.55</v>
      </c>
      <c r="Z70" s="4">
        <v>1.55</v>
      </c>
      <c r="AA70" s="4">
        <v>1.55</v>
      </c>
      <c r="AB70" s="4">
        <v>1.55</v>
      </c>
      <c r="AC70" s="4">
        <v>1.55</v>
      </c>
      <c r="AD70" s="4">
        <v>1.55</v>
      </c>
      <c r="AE70" s="4">
        <v>1.55</v>
      </c>
      <c r="AF70" s="4">
        <v>1.55</v>
      </c>
      <c r="AG70" s="4">
        <v>1.55</v>
      </c>
      <c r="AH70" s="4">
        <v>1.55</v>
      </c>
      <c r="AI70" s="4">
        <v>1.55</v>
      </c>
      <c r="AJ70" s="4">
        <v>1.55</v>
      </c>
    </row>
    <row r="71" spans="1:36" x14ac:dyDescent="0.45">
      <c r="A71" s="34"/>
      <c r="B71" s="4" t="s">
        <v>117</v>
      </c>
      <c r="C71" s="5" t="s">
        <v>118</v>
      </c>
      <c r="D71" s="4" t="s">
        <v>393</v>
      </c>
      <c r="E71" s="4">
        <v>0.48</v>
      </c>
      <c r="F71" s="4" t="s">
        <v>409</v>
      </c>
      <c r="G71" s="4">
        <v>0.48</v>
      </c>
      <c r="H71" s="4">
        <v>0.48</v>
      </c>
      <c r="I71" s="4">
        <v>0.48</v>
      </c>
      <c r="J71" s="4">
        <v>0.48</v>
      </c>
      <c r="K71" s="4">
        <v>0.48</v>
      </c>
      <c r="L71" s="4">
        <v>0.48</v>
      </c>
      <c r="M71" s="4">
        <v>0.48</v>
      </c>
      <c r="N71" s="4">
        <v>0.48</v>
      </c>
      <c r="O71" s="4">
        <v>0.48</v>
      </c>
      <c r="P71" s="4">
        <v>0.48</v>
      </c>
      <c r="Q71" s="4">
        <v>0.48</v>
      </c>
      <c r="R71" s="4">
        <v>0.48</v>
      </c>
      <c r="S71" s="4">
        <v>0.48</v>
      </c>
      <c r="T71" s="4">
        <v>0.48</v>
      </c>
      <c r="U71" s="4">
        <v>0.48</v>
      </c>
      <c r="V71" s="4">
        <v>0.48</v>
      </c>
      <c r="W71" s="4">
        <v>0.48</v>
      </c>
      <c r="X71" s="4">
        <v>0.48</v>
      </c>
      <c r="Y71" s="4">
        <v>0.48</v>
      </c>
      <c r="Z71" s="4">
        <v>0.48</v>
      </c>
      <c r="AA71" s="4">
        <v>0.48</v>
      </c>
      <c r="AB71" s="4">
        <v>0.48</v>
      </c>
      <c r="AC71" s="4">
        <v>0.48</v>
      </c>
      <c r="AD71" s="4">
        <v>0.48</v>
      </c>
      <c r="AE71" s="4">
        <v>0.48</v>
      </c>
      <c r="AF71" s="4">
        <v>0.48</v>
      </c>
      <c r="AG71" s="4">
        <v>0.48</v>
      </c>
      <c r="AH71" s="4">
        <v>0.48</v>
      </c>
      <c r="AI71" s="4">
        <v>0.48</v>
      </c>
      <c r="AJ71" s="4">
        <v>0.48</v>
      </c>
    </row>
    <row r="72" spans="1:36" x14ac:dyDescent="0.45">
      <c r="A72" s="34"/>
      <c r="B72" s="4" t="s">
        <v>119</v>
      </c>
      <c r="C72" s="5" t="s">
        <v>120</v>
      </c>
      <c r="D72" s="4" t="s">
        <v>393</v>
      </c>
      <c r="E72" s="4">
        <v>0.55000000000000004</v>
      </c>
      <c r="F72" s="4" t="s">
        <v>409</v>
      </c>
      <c r="G72" s="4">
        <v>0.55000000000000004</v>
      </c>
      <c r="H72" s="4">
        <v>0.55000000000000004</v>
      </c>
      <c r="I72" s="4">
        <v>0.55000000000000004</v>
      </c>
      <c r="J72" s="4">
        <v>0.55000000000000004</v>
      </c>
      <c r="K72" s="4">
        <v>0.55000000000000004</v>
      </c>
      <c r="L72" s="4">
        <v>0.55000000000000004</v>
      </c>
      <c r="M72" s="4">
        <v>0.55000000000000004</v>
      </c>
      <c r="N72" s="4">
        <v>0.55000000000000004</v>
      </c>
      <c r="O72" s="4">
        <v>0.55000000000000004</v>
      </c>
      <c r="P72" s="4">
        <v>0.55000000000000004</v>
      </c>
      <c r="Q72" s="4">
        <v>0.55000000000000004</v>
      </c>
      <c r="R72" s="4">
        <v>0.55000000000000004</v>
      </c>
      <c r="S72" s="4">
        <v>0.55000000000000004</v>
      </c>
      <c r="T72" s="4">
        <v>0.55000000000000004</v>
      </c>
      <c r="U72" s="4">
        <v>0.55000000000000004</v>
      </c>
      <c r="V72" s="4">
        <v>0.55000000000000004</v>
      </c>
      <c r="W72" s="4">
        <v>0.55000000000000004</v>
      </c>
      <c r="X72" s="4">
        <v>0.55000000000000004</v>
      </c>
      <c r="Y72" s="4">
        <v>0.55000000000000004</v>
      </c>
      <c r="Z72" s="4">
        <v>0.55000000000000004</v>
      </c>
      <c r="AA72" s="4">
        <v>0.55000000000000004</v>
      </c>
      <c r="AB72" s="4">
        <v>0.55000000000000004</v>
      </c>
      <c r="AC72" s="4">
        <v>0.55000000000000004</v>
      </c>
      <c r="AD72" s="4">
        <v>0.55000000000000004</v>
      </c>
      <c r="AE72" s="4">
        <v>0.55000000000000004</v>
      </c>
      <c r="AF72" s="4">
        <v>0.55000000000000004</v>
      </c>
      <c r="AG72" s="4">
        <v>0.55000000000000004</v>
      </c>
      <c r="AH72" s="4">
        <v>0.55000000000000004</v>
      </c>
      <c r="AI72" s="4">
        <v>0.55000000000000004</v>
      </c>
      <c r="AJ72" s="4">
        <v>0.55000000000000004</v>
      </c>
    </row>
    <row r="73" spans="1:36" ht="35" x14ac:dyDescent="0.45">
      <c r="A73" s="34"/>
      <c r="B73" s="4" t="s">
        <v>121</v>
      </c>
      <c r="C73" s="5" t="s">
        <v>122</v>
      </c>
      <c r="D73" s="4" t="s">
        <v>393</v>
      </c>
      <c r="E73" s="4">
        <v>0</v>
      </c>
      <c r="F73" s="4" t="s">
        <v>415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</row>
    <row r="74" spans="1:36" x14ac:dyDescent="0.45">
      <c r="A74" s="34" t="s">
        <v>222</v>
      </c>
      <c r="B74" s="4" t="s">
        <v>123</v>
      </c>
      <c r="C74" s="5" t="s">
        <v>124</v>
      </c>
      <c r="D74" s="4" t="s">
        <v>393</v>
      </c>
      <c r="E74" s="4">
        <v>0.48</v>
      </c>
      <c r="F74" s="4" t="s">
        <v>409</v>
      </c>
      <c r="G74" s="4">
        <v>0.48</v>
      </c>
      <c r="H74" s="4">
        <v>0.48</v>
      </c>
      <c r="I74" s="4">
        <v>0.48</v>
      </c>
      <c r="J74" s="4">
        <v>0.48</v>
      </c>
      <c r="K74" s="4">
        <v>0.48</v>
      </c>
      <c r="L74" s="4">
        <v>0.48</v>
      </c>
      <c r="M74" s="4">
        <v>0.48</v>
      </c>
      <c r="N74" s="4">
        <v>0.48</v>
      </c>
      <c r="O74" s="4">
        <v>0.48</v>
      </c>
      <c r="P74" s="4">
        <v>0.48</v>
      </c>
      <c r="Q74" s="4">
        <v>0.48</v>
      </c>
      <c r="R74" s="4">
        <v>0.48</v>
      </c>
      <c r="S74" s="4">
        <v>0.48</v>
      </c>
      <c r="T74" s="4">
        <v>0.48</v>
      </c>
      <c r="U74" s="4">
        <v>0.48</v>
      </c>
      <c r="V74" s="4">
        <v>0.48</v>
      </c>
      <c r="W74" s="4">
        <v>0.48</v>
      </c>
      <c r="X74" s="4">
        <v>0.48</v>
      </c>
      <c r="Y74" s="4">
        <v>0.48</v>
      </c>
      <c r="Z74" s="4">
        <v>0.48</v>
      </c>
      <c r="AA74" s="4">
        <v>0.48</v>
      </c>
      <c r="AB74" s="4">
        <v>0.48</v>
      </c>
      <c r="AC74" s="4">
        <v>0.48</v>
      </c>
      <c r="AD74" s="4">
        <v>0.48</v>
      </c>
      <c r="AE74" s="4">
        <v>0.48</v>
      </c>
      <c r="AF74" s="4">
        <v>0.48</v>
      </c>
      <c r="AG74" s="4">
        <v>0.48</v>
      </c>
      <c r="AH74" s="4">
        <v>0.48</v>
      </c>
      <c r="AI74" s="4">
        <v>0.48</v>
      </c>
      <c r="AJ74" s="4">
        <v>0.48</v>
      </c>
    </row>
    <row r="75" spans="1:36" ht="35" x14ac:dyDescent="0.45">
      <c r="A75" s="34"/>
      <c r="B75" s="4" t="s">
        <v>125</v>
      </c>
      <c r="C75" s="5" t="s">
        <v>126</v>
      </c>
      <c r="D75" s="4" t="s">
        <v>393</v>
      </c>
      <c r="E75" s="4">
        <v>0</v>
      </c>
      <c r="F75" s="4" t="s">
        <v>415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</row>
    <row r="76" spans="1:36" x14ac:dyDescent="0.45">
      <c r="A76" s="34" t="s">
        <v>223</v>
      </c>
      <c r="B76" s="4" t="s">
        <v>127</v>
      </c>
      <c r="C76" s="5" t="s">
        <v>128</v>
      </c>
      <c r="D76" s="4" t="s">
        <v>393</v>
      </c>
      <c r="E76" s="4">
        <v>1.55</v>
      </c>
      <c r="F76" s="4" t="s">
        <v>409</v>
      </c>
      <c r="G76" s="4">
        <v>1.55</v>
      </c>
      <c r="H76" s="4">
        <v>1.55</v>
      </c>
      <c r="I76" s="4">
        <v>1.55</v>
      </c>
      <c r="J76" s="4">
        <v>1.55</v>
      </c>
      <c r="K76" s="4">
        <v>1.55</v>
      </c>
      <c r="L76" s="4">
        <v>1.55</v>
      </c>
      <c r="M76" s="4">
        <v>1.55</v>
      </c>
      <c r="N76" s="4">
        <v>1.55</v>
      </c>
      <c r="O76" s="4">
        <v>1.55</v>
      </c>
      <c r="P76" s="4">
        <v>1.55</v>
      </c>
      <c r="Q76" s="4">
        <v>1.55</v>
      </c>
      <c r="R76" s="4">
        <v>1.55</v>
      </c>
      <c r="S76" s="4">
        <v>1.55</v>
      </c>
      <c r="T76" s="4">
        <v>1.55</v>
      </c>
      <c r="U76" s="4">
        <v>1.55</v>
      </c>
      <c r="V76" s="4">
        <v>1.55</v>
      </c>
      <c r="W76" s="4">
        <v>1.55</v>
      </c>
      <c r="X76" s="4">
        <v>1.55</v>
      </c>
      <c r="Y76" s="4">
        <v>1.55</v>
      </c>
      <c r="Z76" s="4">
        <v>1.55</v>
      </c>
      <c r="AA76" s="4">
        <v>1.55</v>
      </c>
      <c r="AB76" s="4">
        <v>1.55</v>
      </c>
      <c r="AC76" s="4">
        <v>1.55</v>
      </c>
      <c r="AD76" s="4">
        <v>1.55</v>
      </c>
      <c r="AE76" s="4">
        <v>1.55</v>
      </c>
      <c r="AF76" s="4">
        <v>1.55</v>
      </c>
      <c r="AG76" s="4">
        <v>1.55</v>
      </c>
      <c r="AH76" s="4">
        <v>1.55</v>
      </c>
      <c r="AI76" s="4">
        <v>1.55</v>
      </c>
      <c r="AJ76" s="4">
        <v>1.55</v>
      </c>
    </row>
    <row r="77" spans="1:36" x14ac:dyDescent="0.45">
      <c r="A77" s="34"/>
      <c r="B77" s="4" t="s">
        <v>129</v>
      </c>
      <c r="C77" s="5" t="s">
        <v>130</v>
      </c>
      <c r="D77" s="4" t="s">
        <v>393</v>
      </c>
      <c r="E77" s="4">
        <v>1.55</v>
      </c>
      <c r="F77" s="4" t="s">
        <v>409</v>
      </c>
      <c r="G77" s="4">
        <v>1.55</v>
      </c>
      <c r="H77" s="4">
        <v>1.55</v>
      </c>
      <c r="I77" s="4">
        <v>1.55</v>
      </c>
      <c r="J77" s="4">
        <v>1.55</v>
      </c>
      <c r="K77" s="4">
        <v>1.55</v>
      </c>
      <c r="L77" s="4">
        <v>1.55</v>
      </c>
      <c r="M77" s="4">
        <v>1.55</v>
      </c>
      <c r="N77" s="4">
        <v>1.55</v>
      </c>
      <c r="O77" s="4">
        <v>1.55</v>
      </c>
      <c r="P77" s="4">
        <v>1.55</v>
      </c>
      <c r="Q77" s="4">
        <v>1.55</v>
      </c>
      <c r="R77" s="4">
        <v>1.55</v>
      </c>
      <c r="S77" s="4">
        <v>1.55</v>
      </c>
      <c r="T77" s="4">
        <v>1.55</v>
      </c>
      <c r="U77" s="4">
        <v>1.55</v>
      </c>
      <c r="V77" s="4">
        <v>1.55</v>
      </c>
      <c r="W77" s="4">
        <v>1.55</v>
      </c>
      <c r="X77" s="4">
        <v>1.55</v>
      </c>
      <c r="Y77" s="4">
        <v>1.55</v>
      </c>
      <c r="Z77" s="4">
        <v>1.55</v>
      </c>
      <c r="AA77" s="4">
        <v>1.55</v>
      </c>
      <c r="AB77" s="4">
        <v>1.55</v>
      </c>
      <c r="AC77" s="4">
        <v>1.55</v>
      </c>
      <c r="AD77" s="4">
        <v>1.55</v>
      </c>
      <c r="AE77" s="4">
        <v>1.55</v>
      </c>
      <c r="AF77" s="4">
        <v>1.55</v>
      </c>
      <c r="AG77" s="4">
        <v>1.55</v>
      </c>
      <c r="AH77" s="4">
        <v>1.55</v>
      </c>
      <c r="AI77" s="4">
        <v>1.55</v>
      </c>
      <c r="AJ77" s="4">
        <v>1.55</v>
      </c>
    </row>
    <row r="78" spans="1:36" x14ac:dyDescent="0.45">
      <c r="A78" s="34"/>
      <c r="B78" s="4" t="s">
        <v>131</v>
      </c>
      <c r="C78" s="5" t="s">
        <v>132</v>
      </c>
      <c r="D78" s="4" t="s">
        <v>393</v>
      </c>
      <c r="E78" s="4">
        <v>0.48</v>
      </c>
      <c r="F78" s="4" t="s">
        <v>409</v>
      </c>
      <c r="G78" s="4">
        <v>0.48</v>
      </c>
      <c r="H78" s="4">
        <v>0.48</v>
      </c>
      <c r="I78" s="4">
        <v>0.48</v>
      </c>
      <c r="J78" s="4">
        <v>0.48</v>
      </c>
      <c r="K78" s="4">
        <v>0.48</v>
      </c>
      <c r="L78" s="4">
        <v>0.48</v>
      </c>
      <c r="M78" s="4">
        <v>0.48</v>
      </c>
      <c r="N78" s="4">
        <v>0.48</v>
      </c>
      <c r="O78" s="4">
        <v>0.48</v>
      </c>
      <c r="P78" s="4">
        <v>0.48</v>
      </c>
      <c r="Q78" s="4">
        <v>0.48</v>
      </c>
      <c r="R78" s="4">
        <v>0.48</v>
      </c>
      <c r="S78" s="4">
        <v>0.48</v>
      </c>
      <c r="T78" s="4">
        <v>0.48</v>
      </c>
      <c r="U78" s="4">
        <v>0.48</v>
      </c>
      <c r="V78" s="4">
        <v>0.48</v>
      </c>
      <c r="W78" s="4">
        <v>0.48</v>
      </c>
      <c r="X78" s="4">
        <v>0.48</v>
      </c>
      <c r="Y78" s="4">
        <v>0.48</v>
      </c>
      <c r="Z78" s="4">
        <v>0.48</v>
      </c>
      <c r="AA78" s="4">
        <v>0.48</v>
      </c>
      <c r="AB78" s="4">
        <v>0.48</v>
      </c>
      <c r="AC78" s="4">
        <v>0.48</v>
      </c>
      <c r="AD78" s="4">
        <v>0.48</v>
      </c>
      <c r="AE78" s="4">
        <v>0.48</v>
      </c>
      <c r="AF78" s="4">
        <v>0.48</v>
      </c>
      <c r="AG78" s="4">
        <v>0.48</v>
      </c>
      <c r="AH78" s="4">
        <v>0.48</v>
      </c>
      <c r="AI78" s="4">
        <v>0.48</v>
      </c>
      <c r="AJ78" s="4">
        <v>0.48</v>
      </c>
    </row>
    <row r="79" spans="1:36" x14ac:dyDescent="0.45">
      <c r="A79" s="34"/>
      <c r="B79" s="4" t="s">
        <v>133</v>
      </c>
      <c r="C79" s="5" t="s">
        <v>134</v>
      </c>
      <c r="D79" s="4" t="s">
        <v>393</v>
      </c>
      <c r="E79" s="4">
        <v>0.55000000000000004</v>
      </c>
      <c r="F79" s="4" t="s">
        <v>409</v>
      </c>
      <c r="G79" s="4">
        <v>0.55000000000000004</v>
      </c>
      <c r="H79" s="4">
        <v>0.55000000000000004</v>
      </c>
      <c r="I79" s="4">
        <v>0.55000000000000004</v>
      </c>
      <c r="J79" s="4">
        <v>0.55000000000000004</v>
      </c>
      <c r="K79" s="4">
        <v>0.55000000000000004</v>
      </c>
      <c r="L79" s="4">
        <v>0.55000000000000004</v>
      </c>
      <c r="M79" s="4">
        <v>0.55000000000000004</v>
      </c>
      <c r="N79" s="4">
        <v>0.55000000000000004</v>
      </c>
      <c r="O79" s="4">
        <v>0.55000000000000004</v>
      </c>
      <c r="P79" s="4">
        <v>0.55000000000000004</v>
      </c>
      <c r="Q79" s="4">
        <v>0.55000000000000004</v>
      </c>
      <c r="R79" s="4">
        <v>0.55000000000000004</v>
      </c>
      <c r="S79" s="4">
        <v>0.55000000000000004</v>
      </c>
      <c r="T79" s="4">
        <v>0.55000000000000004</v>
      </c>
      <c r="U79" s="4">
        <v>0.55000000000000004</v>
      </c>
      <c r="V79" s="4">
        <v>0.55000000000000004</v>
      </c>
      <c r="W79" s="4">
        <v>0.55000000000000004</v>
      </c>
      <c r="X79" s="4">
        <v>0.55000000000000004</v>
      </c>
      <c r="Y79" s="4">
        <v>0.55000000000000004</v>
      </c>
      <c r="Z79" s="4">
        <v>0.55000000000000004</v>
      </c>
      <c r="AA79" s="4">
        <v>0.55000000000000004</v>
      </c>
      <c r="AB79" s="4">
        <v>0.55000000000000004</v>
      </c>
      <c r="AC79" s="4">
        <v>0.55000000000000004</v>
      </c>
      <c r="AD79" s="4">
        <v>0.55000000000000004</v>
      </c>
      <c r="AE79" s="4">
        <v>0.55000000000000004</v>
      </c>
      <c r="AF79" s="4">
        <v>0.55000000000000004</v>
      </c>
      <c r="AG79" s="4">
        <v>0.55000000000000004</v>
      </c>
      <c r="AH79" s="4">
        <v>0.55000000000000004</v>
      </c>
      <c r="AI79" s="4">
        <v>0.55000000000000004</v>
      </c>
      <c r="AJ79" s="4">
        <v>0.55000000000000004</v>
      </c>
    </row>
    <row r="80" spans="1:36" ht="35" x14ac:dyDescent="0.45">
      <c r="A80" s="34"/>
      <c r="B80" s="4" t="s">
        <v>135</v>
      </c>
      <c r="C80" s="5" t="s">
        <v>136</v>
      </c>
      <c r="D80" s="4" t="s">
        <v>393</v>
      </c>
      <c r="E80" s="4">
        <v>0</v>
      </c>
      <c r="F80" s="4" t="s">
        <v>415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</row>
    <row r="81" spans="1:36" x14ac:dyDescent="0.45">
      <c r="A81" s="34" t="s">
        <v>224</v>
      </c>
      <c r="B81" s="4" t="s">
        <v>137</v>
      </c>
      <c r="C81" s="5" t="s">
        <v>138</v>
      </c>
      <c r="D81" s="4" t="s">
        <v>393</v>
      </c>
      <c r="E81" s="4">
        <v>1.55</v>
      </c>
      <c r="F81" s="4" t="s">
        <v>409</v>
      </c>
      <c r="G81" s="4">
        <v>1.55</v>
      </c>
      <c r="H81" s="4">
        <v>1.55</v>
      </c>
      <c r="I81" s="4">
        <v>1.55</v>
      </c>
      <c r="J81" s="4">
        <v>1.55</v>
      </c>
      <c r="K81" s="4">
        <v>1.55</v>
      </c>
      <c r="L81" s="4">
        <v>1.55</v>
      </c>
      <c r="M81" s="4">
        <v>1.55</v>
      </c>
      <c r="N81" s="4">
        <v>1.55</v>
      </c>
      <c r="O81" s="4">
        <v>1.55</v>
      </c>
      <c r="P81" s="4">
        <v>1.55</v>
      </c>
      <c r="Q81" s="4">
        <v>1.55</v>
      </c>
      <c r="R81" s="4">
        <v>1.55</v>
      </c>
      <c r="S81" s="4">
        <v>1.55</v>
      </c>
      <c r="T81" s="4">
        <v>1.55</v>
      </c>
      <c r="U81" s="4">
        <v>1.55</v>
      </c>
      <c r="V81" s="4">
        <v>1.55</v>
      </c>
      <c r="W81" s="4">
        <v>1.55</v>
      </c>
      <c r="X81" s="4">
        <v>1.55</v>
      </c>
      <c r="Y81" s="4">
        <v>1.55</v>
      </c>
      <c r="Z81" s="4">
        <v>1.55</v>
      </c>
      <c r="AA81" s="4">
        <v>1.55</v>
      </c>
      <c r="AB81" s="4">
        <v>1.55</v>
      </c>
      <c r="AC81" s="4">
        <v>1.55</v>
      </c>
      <c r="AD81" s="4">
        <v>1.55</v>
      </c>
      <c r="AE81" s="4">
        <v>1.55</v>
      </c>
      <c r="AF81" s="4">
        <v>1.55</v>
      </c>
      <c r="AG81" s="4">
        <v>1.55</v>
      </c>
      <c r="AH81" s="4">
        <v>1.55</v>
      </c>
      <c r="AI81" s="4">
        <v>1.55</v>
      </c>
      <c r="AJ81" s="4">
        <v>1.55</v>
      </c>
    </row>
    <row r="82" spans="1:36" x14ac:dyDescent="0.45">
      <c r="A82" s="34"/>
      <c r="B82" s="4" t="s">
        <v>139</v>
      </c>
      <c r="C82" s="5" t="s">
        <v>140</v>
      </c>
      <c r="D82" s="4" t="s">
        <v>393</v>
      </c>
      <c r="E82" s="4">
        <v>0.48</v>
      </c>
      <c r="F82" s="4" t="s">
        <v>409</v>
      </c>
      <c r="G82" s="4">
        <v>0.48</v>
      </c>
      <c r="H82" s="4">
        <v>0.48</v>
      </c>
      <c r="I82" s="4">
        <v>0.48</v>
      </c>
      <c r="J82" s="4">
        <v>0.48</v>
      </c>
      <c r="K82" s="4">
        <v>0.48</v>
      </c>
      <c r="L82" s="4">
        <v>0.48</v>
      </c>
      <c r="M82" s="4">
        <v>0.48</v>
      </c>
      <c r="N82" s="4">
        <v>0.48</v>
      </c>
      <c r="O82" s="4">
        <v>0.48</v>
      </c>
      <c r="P82" s="4">
        <v>0.48</v>
      </c>
      <c r="Q82" s="4">
        <v>0.48</v>
      </c>
      <c r="R82" s="4">
        <v>0.48</v>
      </c>
      <c r="S82" s="4">
        <v>0.48</v>
      </c>
      <c r="T82" s="4">
        <v>0.48</v>
      </c>
      <c r="U82" s="4">
        <v>0.48</v>
      </c>
      <c r="V82" s="4">
        <v>0.48</v>
      </c>
      <c r="W82" s="4">
        <v>0.48</v>
      </c>
      <c r="X82" s="4">
        <v>0.48</v>
      </c>
      <c r="Y82" s="4">
        <v>0.48</v>
      </c>
      <c r="Z82" s="4">
        <v>0.48</v>
      </c>
      <c r="AA82" s="4">
        <v>0.48</v>
      </c>
      <c r="AB82" s="4">
        <v>0.48</v>
      </c>
      <c r="AC82" s="4">
        <v>0.48</v>
      </c>
      <c r="AD82" s="4">
        <v>0.48</v>
      </c>
      <c r="AE82" s="4">
        <v>0.48</v>
      </c>
      <c r="AF82" s="4">
        <v>0.48</v>
      </c>
      <c r="AG82" s="4">
        <v>0.48</v>
      </c>
      <c r="AH82" s="4">
        <v>0.48</v>
      </c>
      <c r="AI82" s="4">
        <v>0.48</v>
      </c>
      <c r="AJ82" s="4">
        <v>0.48</v>
      </c>
    </row>
    <row r="83" spans="1:36" x14ac:dyDescent="0.45">
      <c r="A83" s="34"/>
      <c r="B83" s="4" t="s">
        <v>141</v>
      </c>
      <c r="C83" s="5" t="s">
        <v>142</v>
      </c>
      <c r="D83" s="4" t="s">
        <v>393</v>
      </c>
      <c r="E83" s="4">
        <v>0.55000000000000004</v>
      </c>
      <c r="F83" s="4" t="s">
        <v>409</v>
      </c>
      <c r="G83" s="4">
        <v>0.55000000000000004</v>
      </c>
      <c r="H83" s="4">
        <v>0.55000000000000004</v>
      </c>
      <c r="I83" s="4">
        <v>0.55000000000000004</v>
      </c>
      <c r="J83" s="4">
        <v>0.55000000000000004</v>
      </c>
      <c r="K83" s="4">
        <v>0.55000000000000004</v>
      </c>
      <c r="L83" s="4">
        <v>0.55000000000000004</v>
      </c>
      <c r="M83" s="4">
        <v>0.55000000000000004</v>
      </c>
      <c r="N83" s="4">
        <v>0.55000000000000004</v>
      </c>
      <c r="O83" s="4">
        <v>0.55000000000000004</v>
      </c>
      <c r="P83" s="4">
        <v>0.55000000000000004</v>
      </c>
      <c r="Q83" s="4">
        <v>0.55000000000000004</v>
      </c>
      <c r="R83" s="4">
        <v>0.55000000000000004</v>
      </c>
      <c r="S83" s="4">
        <v>0.55000000000000004</v>
      </c>
      <c r="T83" s="4">
        <v>0.55000000000000004</v>
      </c>
      <c r="U83" s="4">
        <v>0.55000000000000004</v>
      </c>
      <c r="V83" s="4">
        <v>0.55000000000000004</v>
      </c>
      <c r="W83" s="4">
        <v>0.55000000000000004</v>
      </c>
      <c r="X83" s="4">
        <v>0.55000000000000004</v>
      </c>
      <c r="Y83" s="4">
        <v>0.55000000000000004</v>
      </c>
      <c r="Z83" s="4">
        <v>0.55000000000000004</v>
      </c>
      <c r="AA83" s="4">
        <v>0.55000000000000004</v>
      </c>
      <c r="AB83" s="4">
        <v>0.55000000000000004</v>
      </c>
      <c r="AC83" s="4">
        <v>0.55000000000000004</v>
      </c>
      <c r="AD83" s="4">
        <v>0.55000000000000004</v>
      </c>
      <c r="AE83" s="4">
        <v>0.55000000000000004</v>
      </c>
      <c r="AF83" s="4">
        <v>0.55000000000000004</v>
      </c>
      <c r="AG83" s="4">
        <v>0.55000000000000004</v>
      </c>
      <c r="AH83" s="4">
        <v>0.55000000000000004</v>
      </c>
      <c r="AI83" s="4">
        <v>0.55000000000000004</v>
      </c>
      <c r="AJ83" s="4">
        <v>0.55000000000000004</v>
      </c>
    </row>
    <row r="84" spans="1:36" ht="35" x14ac:dyDescent="0.45">
      <c r="A84" s="34"/>
      <c r="B84" s="4" t="s">
        <v>143</v>
      </c>
      <c r="C84" s="5" t="s">
        <v>144</v>
      </c>
      <c r="D84" s="4" t="s">
        <v>393</v>
      </c>
      <c r="E84" s="4">
        <v>0</v>
      </c>
      <c r="F84" s="4" t="s">
        <v>415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</row>
    <row r="85" spans="1:36" x14ac:dyDescent="0.45">
      <c r="A85" s="34" t="s">
        <v>225</v>
      </c>
      <c r="B85" s="4" t="s">
        <v>145</v>
      </c>
      <c r="C85" s="5" t="s">
        <v>146</v>
      </c>
      <c r="D85" s="4" t="s">
        <v>393</v>
      </c>
      <c r="E85" s="4">
        <v>0</v>
      </c>
      <c r="F85" s="4" t="s">
        <v>366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</row>
    <row r="86" spans="1:36" x14ac:dyDescent="0.45">
      <c r="A86" s="34"/>
      <c r="B86" s="4" t="s">
        <v>147</v>
      </c>
      <c r="C86" s="5" t="s">
        <v>148</v>
      </c>
      <c r="D86" s="4" t="s">
        <v>393</v>
      </c>
      <c r="E86" s="4">
        <v>0</v>
      </c>
      <c r="F86" s="4" t="s">
        <v>366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</row>
    <row r="87" spans="1:36" x14ac:dyDescent="0.45">
      <c r="A87" s="34"/>
      <c r="B87" s="4" t="s">
        <v>149</v>
      </c>
      <c r="C87" s="5" t="s">
        <v>150</v>
      </c>
      <c r="D87" s="4" t="s">
        <v>393</v>
      </c>
      <c r="E87" s="4">
        <v>0</v>
      </c>
      <c r="F87" s="4" t="s">
        <v>366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</row>
    <row r="88" spans="1:36" x14ac:dyDescent="0.45">
      <c r="A88" s="34"/>
      <c r="B88" s="4" t="s">
        <v>151</v>
      </c>
      <c r="C88" s="5" t="s">
        <v>152</v>
      </c>
      <c r="D88" s="4" t="s">
        <v>393</v>
      </c>
      <c r="E88" s="4">
        <v>0</v>
      </c>
      <c r="F88" s="4" t="s">
        <v>366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</row>
    <row r="89" spans="1:36" x14ac:dyDescent="0.45">
      <c r="A89" s="34" t="s">
        <v>226</v>
      </c>
      <c r="B89" s="4" t="s">
        <v>153</v>
      </c>
      <c r="C89" s="5" t="s">
        <v>154</v>
      </c>
      <c r="D89" s="4" t="s">
        <v>393</v>
      </c>
      <c r="E89" s="4">
        <v>0</v>
      </c>
      <c r="F89" s="4" t="s">
        <v>366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</row>
    <row r="90" spans="1:36" x14ac:dyDescent="0.45">
      <c r="A90" s="34"/>
      <c r="B90" s="4" t="s">
        <v>155</v>
      </c>
      <c r="C90" s="5" t="s">
        <v>156</v>
      </c>
      <c r="D90" s="4" t="s">
        <v>393</v>
      </c>
      <c r="E90" s="4">
        <v>0</v>
      </c>
      <c r="F90" s="4" t="s">
        <v>366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</row>
    <row r="91" spans="1:36" x14ac:dyDescent="0.45">
      <c r="A91" s="34" t="s">
        <v>227</v>
      </c>
      <c r="B91" s="4" t="s">
        <v>157</v>
      </c>
      <c r="C91" s="5" t="s">
        <v>158</v>
      </c>
      <c r="D91" s="4" t="s">
        <v>393</v>
      </c>
      <c r="E91" s="4">
        <v>0</v>
      </c>
      <c r="F91" s="4" t="s">
        <v>366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</row>
    <row r="92" spans="1:36" x14ac:dyDescent="0.45">
      <c r="A92" s="34"/>
      <c r="B92" s="4" t="s">
        <v>159</v>
      </c>
      <c r="C92" s="5" t="s">
        <v>160</v>
      </c>
      <c r="D92" s="4" t="s">
        <v>393</v>
      </c>
      <c r="E92" s="4">
        <v>0</v>
      </c>
      <c r="F92" s="4" t="s">
        <v>366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</row>
    <row r="93" spans="1:36" x14ac:dyDescent="0.45">
      <c r="A93" s="34" t="s">
        <v>228</v>
      </c>
      <c r="B93" s="4" t="s">
        <v>161</v>
      </c>
      <c r="C93" s="5" t="s">
        <v>162</v>
      </c>
      <c r="D93" s="4" t="s">
        <v>393</v>
      </c>
      <c r="E93" s="4">
        <v>0</v>
      </c>
      <c r="F93" s="4" t="s">
        <v>366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</row>
    <row r="94" spans="1:36" x14ac:dyDescent="0.45">
      <c r="A94" s="34"/>
      <c r="B94" s="4" t="s">
        <v>163</v>
      </c>
      <c r="C94" s="5" t="s">
        <v>164</v>
      </c>
      <c r="D94" s="4" t="s">
        <v>393</v>
      </c>
      <c r="E94" s="4">
        <v>0</v>
      </c>
      <c r="F94" s="4" t="s">
        <v>366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</row>
    <row r="95" spans="1:36" x14ac:dyDescent="0.45">
      <c r="A95" s="34" t="s">
        <v>229</v>
      </c>
      <c r="B95" s="4" t="s">
        <v>165</v>
      </c>
      <c r="C95" s="5" t="s">
        <v>166</v>
      </c>
      <c r="D95" s="4" t="s">
        <v>393</v>
      </c>
      <c r="E95" s="4">
        <v>0</v>
      </c>
      <c r="F95" s="4" t="s">
        <v>366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</row>
    <row r="96" spans="1:36" x14ac:dyDescent="0.45">
      <c r="A96" s="34"/>
      <c r="B96" s="4" t="s">
        <v>167</v>
      </c>
      <c r="C96" s="5" t="s">
        <v>168</v>
      </c>
      <c r="D96" s="4" t="s">
        <v>393</v>
      </c>
      <c r="E96" s="4">
        <v>0</v>
      </c>
      <c r="F96" s="4" t="s">
        <v>366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</row>
    <row r="97" spans="1:36" x14ac:dyDescent="0.45">
      <c r="A97" s="34" t="s">
        <v>230</v>
      </c>
      <c r="B97" s="4" t="s">
        <v>169</v>
      </c>
      <c r="C97" s="5" t="s">
        <v>170</v>
      </c>
      <c r="D97" s="4" t="s">
        <v>393</v>
      </c>
      <c r="E97" s="4">
        <v>0</v>
      </c>
      <c r="F97" s="4" t="s">
        <v>366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</row>
    <row r="98" spans="1:36" x14ac:dyDescent="0.45">
      <c r="A98" s="34"/>
      <c r="B98" s="4" t="s">
        <v>171</v>
      </c>
      <c r="C98" s="5" t="s">
        <v>172</v>
      </c>
      <c r="D98" s="4" t="s">
        <v>393</v>
      </c>
      <c r="E98" s="4">
        <v>0</v>
      </c>
      <c r="F98" s="4" t="s">
        <v>366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</row>
    <row r="99" spans="1:36" x14ac:dyDescent="0.45">
      <c r="A99" s="34" t="s">
        <v>231</v>
      </c>
      <c r="B99" s="4" t="s">
        <v>173</v>
      </c>
      <c r="C99" s="5" t="s">
        <v>174</v>
      </c>
      <c r="D99" s="4" t="s">
        <v>393</v>
      </c>
      <c r="E99" s="4">
        <v>0</v>
      </c>
      <c r="F99" s="4" t="s">
        <v>366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</row>
    <row r="100" spans="1:36" x14ac:dyDescent="0.45">
      <c r="A100" s="34"/>
      <c r="B100" s="4" t="s">
        <v>175</v>
      </c>
      <c r="C100" s="5" t="s">
        <v>176</v>
      </c>
      <c r="D100" s="4" t="s">
        <v>393</v>
      </c>
      <c r="E100" s="4">
        <v>0</v>
      </c>
      <c r="F100" s="4" t="s">
        <v>366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</row>
    <row r="101" spans="1:36" x14ac:dyDescent="0.45">
      <c r="A101" s="34" t="s">
        <v>232</v>
      </c>
      <c r="B101" s="4" t="s">
        <v>177</v>
      </c>
      <c r="C101" s="5" t="s">
        <v>547</v>
      </c>
      <c r="D101" s="4" t="s">
        <v>393</v>
      </c>
      <c r="E101" s="4">
        <v>0</v>
      </c>
      <c r="F101" s="4" t="s">
        <v>366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</row>
    <row r="102" spans="1:36" x14ac:dyDescent="0.45">
      <c r="A102" s="34"/>
      <c r="B102" s="4" t="s">
        <v>179</v>
      </c>
      <c r="C102" s="5" t="s">
        <v>548</v>
      </c>
      <c r="D102" s="4" t="s">
        <v>393</v>
      </c>
      <c r="E102" s="4">
        <v>0</v>
      </c>
      <c r="F102" s="4" t="s">
        <v>366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</row>
    <row r="103" spans="1:36" ht="52.5" x14ac:dyDescent="0.45">
      <c r="A103" s="4" t="s">
        <v>233</v>
      </c>
      <c r="B103" s="4" t="s">
        <v>381</v>
      </c>
      <c r="C103" s="5" t="s">
        <v>181</v>
      </c>
      <c r="D103" s="4" t="s">
        <v>393</v>
      </c>
      <c r="E103" s="4">
        <v>0</v>
      </c>
      <c r="F103" s="4" t="s">
        <v>366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</row>
    <row r="104" spans="1:36" ht="35" x14ac:dyDescent="0.45">
      <c r="A104" s="34" t="s">
        <v>297</v>
      </c>
      <c r="B104" s="4" t="s">
        <v>280</v>
      </c>
      <c r="C104" s="5" t="s">
        <v>325</v>
      </c>
      <c r="D104" s="4" t="s">
        <v>416</v>
      </c>
      <c r="E104" s="4">
        <v>0</v>
      </c>
      <c r="F104" s="4" t="s">
        <v>366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</row>
    <row r="105" spans="1:36" ht="35" x14ac:dyDescent="0.45">
      <c r="A105" s="34"/>
      <c r="B105" s="4" t="s">
        <v>281</v>
      </c>
      <c r="C105" s="5" t="s">
        <v>326</v>
      </c>
      <c r="D105" s="4" t="s">
        <v>416</v>
      </c>
      <c r="E105" s="4">
        <v>0</v>
      </c>
      <c r="F105" s="4" t="s">
        <v>366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</row>
    <row r="106" spans="1:36" ht="35" x14ac:dyDescent="0.45">
      <c r="A106" s="34"/>
      <c r="B106" s="4" t="s">
        <v>282</v>
      </c>
      <c r="C106" s="5" t="s">
        <v>327</v>
      </c>
      <c r="D106" s="4" t="s">
        <v>416</v>
      </c>
      <c r="E106" s="4">
        <v>0</v>
      </c>
      <c r="F106" s="4" t="s">
        <v>366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</row>
    <row r="107" spans="1:36" ht="35" x14ac:dyDescent="0.45">
      <c r="A107" s="34"/>
      <c r="B107" s="4" t="s">
        <v>283</v>
      </c>
      <c r="C107" s="5" t="s">
        <v>328</v>
      </c>
      <c r="D107" s="4" t="s">
        <v>416</v>
      </c>
      <c r="E107" s="4">
        <v>0</v>
      </c>
      <c r="F107" s="4" t="s">
        <v>366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</row>
    <row r="108" spans="1:36" ht="35" x14ac:dyDescent="0.45">
      <c r="A108" s="34"/>
      <c r="B108" s="4" t="s">
        <v>284</v>
      </c>
      <c r="C108" s="5" t="s">
        <v>329</v>
      </c>
      <c r="D108" s="4" t="s">
        <v>416</v>
      </c>
      <c r="E108" s="4">
        <v>0</v>
      </c>
      <c r="F108" s="4" t="s">
        <v>366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</row>
    <row r="109" spans="1:36" ht="35" x14ac:dyDescent="0.45">
      <c r="A109" s="34"/>
      <c r="B109" s="4" t="s">
        <v>291</v>
      </c>
      <c r="C109" s="5" t="s">
        <v>330</v>
      </c>
      <c r="D109" s="4" t="s">
        <v>416</v>
      </c>
      <c r="E109" s="4">
        <v>0</v>
      </c>
      <c r="F109" s="4" t="s">
        <v>366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</row>
    <row r="110" spans="1:36" ht="35" x14ac:dyDescent="0.45">
      <c r="A110" s="34"/>
      <c r="B110" s="4" t="s">
        <v>285</v>
      </c>
      <c r="C110" s="5" t="s">
        <v>331</v>
      </c>
      <c r="D110" s="4" t="s">
        <v>416</v>
      </c>
      <c r="E110" s="4">
        <v>0</v>
      </c>
      <c r="F110" s="4" t="s">
        <v>366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</row>
    <row r="111" spans="1:36" ht="35" x14ac:dyDescent="0.45">
      <c r="A111" s="34"/>
      <c r="B111" s="4" t="s">
        <v>286</v>
      </c>
      <c r="C111" s="5" t="s">
        <v>332</v>
      </c>
      <c r="D111" s="4" t="s">
        <v>416</v>
      </c>
      <c r="E111" s="4">
        <v>0</v>
      </c>
      <c r="F111" s="4" t="s">
        <v>366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</row>
    <row r="112" spans="1:36" ht="35" x14ac:dyDescent="0.45">
      <c r="A112" s="34"/>
      <c r="B112" s="4" t="s">
        <v>287</v>
      </c>
      <c r="C112" s="5" t="s">
        <v>333</v>
      </c>
      <c r="D112" s="4" t="s">
        <v>416</v>
      </c>
      <c r="E112" s="4">
        <v>0</v>
      </c>
      <c r="F112" s="4" t="s">
        <v>366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</row>
    <row r="113" spans="1:36" ht="35" x14ac:dyDescent="0.45">
      <c r="A113" s="34"/>
      <c r="B113" s="4" t="s">
        <v>288</v>
      </c>
      <c r="C113" s="5" t="s">
        <v>334</v>
      </c>
      <c r="D113" s="4" t="s">
        <v>416</v>
      </c>
      <c r="E113" s="4">
        <v>0</v>
      </c>
      <c r="F113" s="4" t="s">
        <v>366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</row>
    <row r="114" spans="1:36" ht="35" x14ac:dyDescent="0.45">
      <c r="A114" s="34"/>
      <c r="B114" s="4" t="s">
        <v>289</v>
      </c>
      <c r="C114" s="5" t="s">
        <v>335</v>
      </c>
      <c r="D114" s="4" t="s">
        <v>416</v>
      </c>
      <c r="E114" s="4">
        <v>0</v>
      </c>
      <c r="F114" s="4" t="s">
        <v>366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</row>
    <row r="115" spans="1:36" ht="35" x14ac:dyDescent="0.45">
      <c r="A115" s="34"/>
      <c r="B115" s="4" t="s">
        <v>290</v>
      </c>
      <c r="C115" s="5" t="s">
        <v>336</v>
      </c>
      <c r="D115" s="4" t="s">
        <v>416</v>
      </c>
      <c r="E115" s="4">
        <v>0</v>
      </c>
      <c r="F115" s="4" t="s">
        <v>366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</row>
    <row r="116" spans="1:36" ht="35" x14ac:dyDescent="0.45">
      <c r="A116" s="34"/>
      <c r="B116" s="4" t="s">
        <v>292</v>
      </c>
      <c r="C116" s="5" t="s">
        <v>337</v>
      </c>
      <c r="D116" s="4" t="s">
        <v>416</v>
      </c>
      <c r="E116" s="4">
        <v>0</v>
      </c>
      <c r="F116" s="4" t="s">
        <v>366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</row>
    <row r="117" spans="1:36" ht="35" x14ac:dyDescent="0.45">
      <c r="A117" s="34"/>
      <c r="B117" s="4" t="s">
        <v>293</v>
      </c>
      <c r="C117" s="5" t="s">
        <v>338</v>
      </c>
      <c r="D117" s="4" t="s">
        <v>416</v>
      </c>
      <c r="E117" s="4">
        <v>0</v>
      </c>
      <c r="F117" s="4" t="s">
        <v>366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</row>
    <row r="118" spans="1:36" ht="35" x14ac:dyDescent="0.45">
      <c r="A118" s="34"/>
      <c r="B118" s="4" t="s">
        <v>294</v>
      </c>
      <c r="C118" s="5" t="s">
        <v>339</v>
      </c>
      <c r="D118" s="4" t="s">
        <v>416</v>
      </c>
      <c r="E118" s="4">
        <v>0</v>
      </c>
      <c r="F118" s="4" t="s">
        <v>366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</row>
    <row r="119" spans="1:36" ht="35" x14ac:dyDescent="0.45">
      <c r="A119" s="34"/>
      <c r="B119" s="4" t="s">
        <v>295</v>
      </c>
      <c r="C119" s="5" t="s">
        <v>340</v>
      </c>
      <c r="D119" s="4" t="s">
        <v>416</v>
      </c>
      <c r="E119" s="4">
        <v>0</v>
      </c>
      <c r="F119" s="4" t="s">
        <v>366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</row>
    <row r="120" spans="1:36" ht="35" x14ac:dyDescent="0.45">
      <c r="A120" s="34"/>
      <c r="B120" s="4" t="s">
        <v>296</v>
      </c>
      <c r="C120" s="5" t="s">
        <v>341</v>
      </c>
      <c r="D120" s="4" t="s">
        <v>416</v>
      </c>
      <c r="E120" s="4">
        <v>0</v>
      </c>
      <c r="F120" s="4" t="s">
        <v>366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</row>
    <row r="121" spans="1:36" ht="35" x14ac:dyDescent="0.45">
      <c r="A121" s="34" t="s">
        <v>313</v>
      </c>
      <c r="B121" s="4" t="s">
        <v>298</v>
      </c>
      <c r="C121" s="5" t="s">
        <v>342</v>
      </c>
      <c r="D121" s="4" t="s">
        <v>416</v>
      </c>
      <c r="E121" s="4">
        <v>0</v>
      </c>
      <c r="F121" s="4" t="s">
        <v>366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</row>
    <row r="122" spans="1:36" ht="35" x14ac:dyDescent="0.45">
      <c r="A122" s="34"/>
      <c r="B122" s="4" t="s">
        <v>299</v>
      </c>
      <c r="C122" s="5" t="s">
        <v>343</v>
      </c>
      <c r="D122" s="4" t="s">
        <v>416</v>
      </c>
      <c r="E122" s="4">
        <v>0</v>
      </c>
      <c r="F122" s="4" t="s">
        <v>366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</row>
    <row r="123" spans="1:36" ht="35" x14ac:dyDescent="0.45">
      <c r="A123" s="34"/>
      <c r="B123" s="4" t="s">
        <v>300</v>
      </c>
      <c r="C123" s="5" t="s">
        <v>344</v>
      </c>
      <c r="D123" s="4" t="s">
        <v>416</v>
      </c>
      <c r="E123" s="4">
        <v>0</v>
      </c>
      <c r="F123" s="4" t="s">
        <v>366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</row>
    <row r="124" spans="1:36" ht="35" x14ac:dyDescent="0.45">
      <c r="A124" s="34"/>
      <c r="B124" s="4" t="s">
        <v>301</v>
      </c>
      <c r="C124" s="5" t="s">
        <v>345</v>
      </c>
      <c r="D124" s="4" t="s">
        <v>416</v>
      </c>
      <c r="E124" s="4">
        <v>0</v>
      </c>
      <c r="F124" s="4" t="s">
        <v>366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</row>
    <row r="125" spans="1:36" ht="35" x14ac:dyDescent="0.45">
      <c r="A125" s="34"/>
      <c r="B125" s="4" t="s">
        <v>302</v>
      </c>
      <c r="C125" s="5" t="s">
        <v>346</v>
      </c>
      <c r="D125" s="4" t="s">
        <v>416</v>
      </c>
      <c r="E125" s="4">
        <v>0</v>
      </c>
      <c r="F125" s="4" t="s">
        <v>366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</row>
    <row r="126" spans="1:36" ht="35" x14ac:dyDescent="0.45">
      <c r="A126" s="34"/>
      <c r="B126" s="4" t="s">
        <v>303</v>
      </c>
      <c r="C126" s="5" t="s">
        <v>347</v>
      </c>
      <c r="D126" s="4" t="s">
        <v>416</v>
      </c>
      <c r="E126" s="4">
        <v>0</v>
      </c>
      <c r="F126" s="4" t="s">
        <v>366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</row>
    <row r="127" spans="1:36" ht="35" x14ac:dyDescent="0.45">
      <c r="A127" s="34"/>
      <c r="B127" s="4" t="s">
        <v>304</v>
      </c>
      <c r="C127" s="5" t="s">
        <v>348</v>
      </c>
      <c r="D127" s="4" t="s">
        <v>416</v>
      </c>
      <c r="E127" s="4">
        <v>0</v>
      </c>
      <c r="F127" s="4" t="s">
        <v>366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</row>
    <row r="128" spans="1:36" ht="35" x14ac:dyDescent="0.45">
      <c r="A128" s="34"/>
      <c r="B128" s="4" t="s">
        <v>305</v>
      </c>
      <c r="C128" s="5" t="s">
        <v>349</v>
      </c>
      <c r="D128" s="4" t="s">
        <v>416</v>
      </c>
      <c r="E128" s="4">
        <v>0</v>
      </c>
      <c r="F128" s="4" t="s">
        <v>366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</row>
    <row r="129" spans="1:36" ht="35" x14ac:dyDescent="0.45">
      <c r="A129" s="34"/>
      <c r="B129" s="4" t="s">
        <v>306</v>
      </c>
      <c r="C129" s="5" t="s">
        <v>350</v>
      </c>
      <c r="D129" s="4" t="s">
        <v>416</v>
      </c>
      <c r="E129" s="4">
        <v>0</v>
      </c>
      <c r="F129" s="4" t="s">
        <v>366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</row>
    <row r="130" spans="1:36" ht="35" x14ac:dyDescent="0.45">
      <c r="A130" s="34"/>
      <c r="B130" s="4" t="s">
        <v>311</v>
      </c>
      <c r="C130" s="5" t="s">
        <v>351</v>
      </c>
      <c r="D130" s="4" t="s">
        <v>416</v>
      </c>
      <c r="E130" s="4">
        <v>0</v>
      </c>
      <c r="F130" s="4" t="s">
        <v>366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</row>
    <row r="131" spans="1:36" ht="35" x14ac:dyDescent="0.45">
      <c r="A131" s="34"/>
      <c r="B131" s="4" t="s">
        <v>307</v>
      </c>
      <c r="C131" s="5" t="s">
        <v>352</v>
      </c>
      <c r="D131" s="4" t="s">
        <v>416</v>
      </c>
      <c r="E131" s="4">
        <v>0</v>
      </c>
      <c r="F131" s="4" t="s">
        <v>366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</row>
    <row r="132" spans="1:36" ht="35" x14ac:dyDescent="0.45">
      <c r="A132" s="34"/>
      <c r="B132" s="4" t="s">
        <v>367</v>
      </c>
      <c r="C132" s="5" t="s">
        <v>184</v>
      </c>
      <c r="D132" s="4" t="s">
        <v>416</v>
      </c>
      <c r="E132" s="4">
        <v>0</v>
      </c>
      <c r="F132" s="4" t="s">
        <v>366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</row>
    <row r="133" spans="1:36" ht="35" x14ac:dyDescent="0.45">
      <c r="A133" s="34"/>
      <c r="B133" s="4" t="s">
        <v>308</v>
      </c>
      <c r="C133" s="5" t="s">
        <v>182</v>
      </c>
      <c r="D133" s="4" t="s">
        <v>416</v>
      </c>
      <c r="E133" s="4">
        <v>0</v>
      </c>
      <c r="F133" s="4" t="s">
        <v>366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</row>
    <row r="134" spans="1:36" ht="35" x14ac:dyDescent="0.45">
      <c r="A134" s="34"/>
      <c r="B134" s="4" t="s">
        <v>309</v>
      </c>
      <c r="C134" s="5" t="s">
        <v>353</v>
      </c>
      <c r="D134" s="4" t="s">
        <v>416</v>
      </c>
      <c r="E134" s="4">
        <v>0</v>
      </c>
      <c r="F134" s="4" t="s">
        <v>366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</row>
    <row r="135" spans="1:36" ht="35" x14ac:dyDescent="0.45">
      <c r="A135" s="34"/>
      <c r="B135" s="4" t="s">
        <v>312</v>
      </c>
      <c r="C135" s="5" t="s">
        <v>183</v>
      </c>
      <c r="D135" s="4" t="s">
        <v>416</v>
      </c>
      <c r="E135" s="4">
        <v>0</v>
      </c>
      <c r="F135" s="4" t="s">
        <v>366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</row>
    <row r="136" spans="1:36" ht="35" x14ac:dyDescent="0.45">
      <c r="A136" s="34"/>
      <c r="B136" s="4" t="s">
        <v>310</v>
      </c>
      <c r="C136" s="5" t="s">
        <v>185</v>
      </c>
      <c r="D136" s="4" t="s">
        <v>416</v>
      </c>
      <c r="E136" s="4">
        <v>0</v>
      </c>
      <c r="F136" s="4" t="s">
        <v>366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</row>
    <row r="137" spans="1:36" ht="35" x14ac:dyDescent="0.45">
      <c r="A137" s="34" t="s">
        <v>324</v>
      </c>
      <c r="B137" s="4" t="s">
        <v>316</v>
      </c>
      <c r="C137" s="5" t="s">
        <v>354</v>
      </c>
      <c r="D137" s="4" t="s">
        <v>417</v>
      </c>
      <c r="E137" s="4">
        <v>0</v>
      </c>
      <c r="F137" s="4" t="s">
        <v>366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</row>
    <row r="138" spans="1:36" ht="35" x14ac:dyDescent="0.45">
      <c r="A138" s="34"/>
      <c r="B138" s="4" t="s">
        <v>314</v>
      </c>
      <c r="C138" s="5" t="s">
        <v>355</v>
      </c>
      <c r="D138" s="4" t="s">
        <v>417</v>
      </c>
      <c r="E138" s="4">
        <v>0</v>
      </c>
      <c r="F138" s="4" t="s">
        <v>366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</row>
    <row r="139" spans="1:36" ht="35" x14ac:dyDescent="0.45">
      <c r="A139" s="34"/>
      <c r="B139" s="4" t="s">
        <v>315</v>
      </c>
      <c r="C139" s="5" t="s">
        <v>356</v>
      </c>
      <c r="D139" s="4" t="s">
        <v>417</v>
      </c>
      <c r="E139" s="4">
        <v>0</v>
      </c>
      <c r="F139" s="4" t="s">
        <v>366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</row>
    <row r="140" spans="1:36" ht="35" x14ac:dyDescent="0.45">
      <c r="A140" s="34"/>
      <c r="B140" s="4" t="s">
        <v>317</v>
      </c>
      <c r="C140" s="5" t="s">
        <v>357</v>
      </c>
      <c r="D140" s="4" t="s">
        <v>417</v>
      </c>
      <c r="E140" s="4">
        <v>0</v>
      </c>
      <c r="F140" s="4" t="s">
        <v>366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</row>
    <row r="141" spans="1:36" ht="35" x14ac:dyDescent="0.45">
      <c r="A141" s="34"/>
      <c r="B141" s="4" t="s">
        <v>318</v>
      </c>
      <c r="C141" s="5" t="s">
        <v>358</v>
      </c>
      <c r="D141" s="4" t="s">
        <v>417</v>
      </c>
      <c r="E141" s="4">
        <v>0</v>
      </c>
      <c r="F141" s="4" t="s">
        <v>366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</row>
    <row r="142" spans="1:36" ht="35" x14ac:dyDescent="0.45">
      <c r="A142" s="34"/>
      <c r="B142" s="4" t="s">
        <v>321</v>
      </c>
      <c r="C142" s="5" t="s">
        <v>359</v>
      </c>
      <c r="D142" s="4" t="s">
        <v>417</v>
      </c>
      <c r="E142" s="4">
        <v>0</v>
      </c>
      <c r="F142" s="4" t="s">
        <v>366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</row>
    <row r="143" spans="1:36" ht="35" x14ac:dyDescent="0.45">
      <c r="A143" s="34"/>
      <c r="B143" s="4" t="s">
        <v>319</v>
      </c>
      <c r="C143" s="5" t="s">
        <v>360</v>
      </c>
      <c r="D143" s="4" t="s">
        <v>417</v>
      </c>
      <c r="E143" s="4">
        <v>0</v>
      </c>
      <c r="F143" s="4" t="s">
        <v>366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</row>
    <row r="144" spans="1:36" ht="35" x14ac:dyDescent="0.45">
      <c r="A144" s="34"/>
      <c r="B144" s="4" t="s">
        <v>320</v>
      </c>
      <c r="C144" s="5" t="s">
        <v>361</v>
      </c>
      <c r="D144" s="4" t="s">
        <v>417</v>
      </c>
      <c r="E144" s="4">
        <v>0</v>
      </c>
      <c r="F144" s="4" t="s">
        <v>366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</row>
    <row r="145" spans="1:36" ht="35" x14ac:dyDescent="0.45">
      <c r="A145" s="34"/>
      <c r="B145" s="4" t="s">
        <v>322</v>
      </c>
      <c r="C145" s="5" t="s">
        <v>362</v>
      </c>
      <c r="D145" s="4" t="s">
        <v>417</v>
      </c>
      <c r="E145" s="4">
        <v>0</v>
      </c>
      <c r="F145" s="4" t="s">
        <v>366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</row>
    <row r="146" spans="1:36" ht="35" x14ac:dyDescent="0.45">
      <c r="A146" s="34"/>
      <c r="B146" s="4" t="s">
        <v>323</v>
      </c>
      <c r="C146" s="5" t="s">
        <v>363</v>
      </c>
      <c r="D146" s="4" t="s">
        <v>417</v>
      </c>
      <c r="E146" s="4">
        <v>0</v>
      </c>
      <c r="F146" s="4" t="s">
        <v>366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</row>
    <row r="147" spans="1:36" ht="52.5" x14ac:dyDescent="0.45">
      <c r="A147" s="4" t="s">
        <v>236</v>
      </c>
      <c r="B147" s="4" t="s">
        <v>186</v>
      </c>
      <c r="C147" s="5" t="s">
        <v>187</v>
      </c>
      <c r="D147" s="4" t="s">
        <v>416</v>
      </c>
      <c r="E147" s="4">
        <v>0</v>
      </c>
      <c r="F147" s="4" t="s">
        <v>366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</row>
    <row r="148" spans="1:36" ht="52.5" x14ac:dyDescent="0.45">
      <c r="A148" s="4" t="s">
        <v>237</v>
      </c>
      <c r="B148" s="4" t="s">
        <v>188</v>
      </c>
      <c r="C148" s="5" t="s">
        <v>189</v>
      </c>
      <c r="D148" s="4"/>
      <c r="E148" s="4">
        <v>0</v>
      </c>
      <c r="F148" s="4" t="s">
        <v>366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</row>
    <row r="149" spans="1:36" ht="52.5" x14ac:dyDescent="0.45">
      <c r="A149" s="4" t="s">
        <v>238</v>
      </c>
      <c r="B149" s="4" t="s">
        <v>190</v>
      </c>
      <c r="C149" s="5" t="s">
        <v>191</v>
      </c>
      <c r="D149" s="4"/>
      <c r="E149" s="4">
        <v>0</v>
      </c>
      <c r="F149" s="4" t="s">
        <v>366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</row>
    <row r="150" spans="1:36" x14ac:dyDescent="0.45">
      <c r="A150" s="34" t="s">
        <v>224</v>
      </c>
      <c r="B150" s="4" t="s">
        <v>192</v>
      </c>
      <c r="C150" s="5" t="s">
        <v>193</v>
      </c>
      <c r="D150" s="4" t="s">
        <v>393</v>
      </c>
      <c r="E150" s="4">
        <v>0.55000000000000004</v>
      </c>
      <c r="F150" s="4" t="s">
        <v>409</v>
      </c>
      <c r="G150" s="4">
        <v>0.55000000000000004</v>
      </c>
      <c r="H150" s="4">
        <v>0.55000000000000004</v>
      </c>
      <c r="I150" s="4">
        <v>0.55000000000000004</v>
      </c>
      <c r="J150" s="4">
        <v>0.55000000000000004</v>
      </c>
      <c r="K150" s="4">
        <v>0.55000000000000004</v>
      </c>
      <c r="L150" s="4">
        <v>0.55000000000000004</v>
      </c>
      <c r="M150" s="4">
        <v>0.55000000000000004</v>
      </c>
      <c r="N150" s="4">
        <v>0.55000000000000004</v>
      </c>
      <c r="O150" s="4">
        <v>0.55000000000000004</v>
      </c>
      <c r="P150" s="4">
        <v>0.55000000000000004</v>
      </c>
      <c r="Q150" s="4">
        <v>0.55000000000000004</v>
      </c>
      <c r="R150" s="4">
        <v>0.55000000000000004</v>
      </c>
      <c r="S150" s="4">
        <v>0.55000000000000004</v>
      </c>
      <c r="T150" s="4">
        <v>0.55000000000000004</v>
      </c>
      <c r="U150" s="4">
        <v>0.55000000000000004</v>
      </c>
      <c r="V150" s="4">
        <v>0.55000000000000004</v>
      </c>
      <c r="W150" s="4">
        <v>0.55000000000000004</v>
      </c>
      <c r="X150" s="4">
        <v>0.55000000000000004</v>
      </c>
      <c r="Y150" s="4">
        <v>0.55000000000000004</v>
      </c>
      <c r="Z150" s="4">
        <v>0.55000000000000004</v>
      </c>
      <c r="AA150" s="4">
        <v>0.55000000000000004</v>
      </c>
      <c r="AB150" s="4">
        <v>0.55000000000000004</v>
      </c>
      <c r="AC150" s="4">
        <v>0.55000000000000004</v>
      </c>
      <c r="AD150" s="4">
        <v>0.55000000000000004</v>
      </c>
      <c r="AE150" s="4">
        <v>0.55000000000000004</v>
      </c>
      <c r="AF150" s="4">
        <v>0.55000000000000004</v>
      </c>
      <c r="AG150" s="4">
        <v>0.55000000000000004</v>
      </c>
      <c r="AH150" s="4">
        <v>0.55000000000000004</v>
      </c>
      <c r="AI150" s="4">
        <v>0.55000000000000004</v>
      </c>
      <c r="AJ150" s="4">
        <v>0.55000000000000004</v>
      </c>
    </row>
    <row r="151" spans="1:36" x14ac:dyDescent="0.45">
      <c r="A151" s="34"/>
      <c r="B151" s="4" t="s">
        <v>194</v>
      </c>
      <c r="C151" s="5" t="s">
        <v>195</v>
      </c>
      <c r="D151" s="4" t="s">
        <v>393</v>
      </c>
      <c r="E151" s="4">
        <v>1.55</v>
      </c>
      <c r="F151" s="4" t="s">
        <v>409</v>
      </c>
      <c r="G151" s="4">
        <v>1.55</v>
      </c>
      <c r="H151" s="4">
        <v>1.55</v>
      </c>
      <c r="I151" s="4">
        <v>1.55</v>
      </c>
      <c r="J151" s="4">
        <v>1.55</v>
      </c>
      <c r="K151" s="4">
        <v>1.55</v>
      </c>
      <c r="L151" s="4">
        <v>1.55</v>
      </c>
      <c r="M151" s="4">
        <v>1.55</v>
      </c>
      <c r="N151" s="4">
        <v>1.55</v>
      </c>
      <c r="O151" s="4">
        <v>1.55</v>
      </c>
      <c r="P151" s="4">
        <v>1.55</v>
      </c>
      <c r="Q151" s="4">
        <v>1.55</v>
      </c>
      <c r="R151" s="4">
        <v>1.55</v>
      </c>
      <c r="S151" s="4">
        <v>1.55</v>
      </c>
      <c r="T151" s="4">
        <v>1.55</v>
      </c>
      <c r="U151" s="4">
        <v>1.55</v>
      </c>
      <c r="V151" s="4">
        <v>1.55</v>
      </c>
      <c r="W151" s="4">
        <v>1.55</v>
      </c>
      <c r="X151" s="4">
        <v>1.55</v>
      </c>
      <c r="Y151" s="4">
        <v>1.55</v>
      </c>
      <c r="Z151" s="4">
        <v>1.55</v>
      </c>
      <c r="AA151" s="4">
        <v>1.55</v>
      </c>
      <c r="AB151" s="4">
        <v>1.55</v>
      </c>
      <c r="AC151" s="4">
        <v>1.55</v>
      </c>
      <c r="AD151" s="4">
        <v>1.55</v>
      </c>
      <c r="AE151" s="4">
        <v>1.55</v>
      </c>
      <c r="AF151" s="4">
        <v>1.55</v>
      </c>
      <c r="AG151" s="4">
        <v>1.55</v>
      </c>
      <c r="AH151" s="4">
        <v>1.55</v>
      </c>
      <c r="AI151" s="4">
        <v>1.55</v>
      </c>
      <c r="AJ151" s="4">
        <v>1.55</v>
      </c>
    </row>
    <row r="152" spans="1:36" x14ac:dyDescent="0.45">
      <c r="A152" s="34"/>
      <c r="B152" s="4" t="s">
        <v>196</v>
      </c>
      <c r="C152" s="5" t="s">
        <v>197</v>
      </c>
      <c r="D152" s="4" t="s">
        <v>393</v>
      </c>
      <c r="E152" s="4">
        <v>0.57999999999999996</v>
      </c>
      <c r="F152" s="4" t="s">
        <v>409</v>
      </c>
      <c r="G152" s="4">
        <v>0.57999999999999996</v>
      </c>
      <c r="H152" s="4">
        <v>0.57999999999999996</v>
      </c>
      <c r="I152" s="4">
        <v>0.57999999999999996</v>
      </c>
      <c r="J152" s="4">
        <v>0.57999999999999996</v>
      </c>
      <c r="K152" s="4">
        <v>0.57999999999999996</v>
      </c>
      <c r="L152" s="4">
        <v>0.57999999999999996</v>
      </c>
      <c r="M152" s="4">
        <v>0.57999999999999996</v>
      </c>
      <c r="N152" s="4">
        <v>0.57999999999999996</v>
      </c>
      <c r="O152" s="4">
        <v>0.57999999999999996</v>
      </c>
      <c r="P152" s="4">
        <v>0.57999999999999996</v>
      </c>
      <c r="Q152" s="4">
        <v>0.57999999999999996</v>
      </c>
      <c r="R152" s="4">
        <v>0.57999999999999996</v>
      </c>
      <c r="S152" s="4">
        <v>0.57999999999999996</v>
      </c>
      <c r="T152" s="4">
        <v>0.57999999999999996</v>
      </c>
      <c r="U152" s="4">
        <v>0.57999999999999996</v>
      </c>
      <c r="V152" s="4">
        <v>0.57999999999999996</v>
      </c>
      <c r="W152" s="4">
        <v>0.57999999999999996</v>
      </c>
      <c r="X152" s="4">
        <v>0.57999999999999996</v>
      </c>
      <c r="Y152" s="4">
        <v>0.57999999999999996</v>
      </c>
      <c r="Z152" s="4">
        <v>0.57999999999999996</v>
      </c>
      <c r="AA152" s="4">
        <v>0.57999999999999996</v>
      </c>
      <c r="AB152" s="4">
        <v>0.57999999999999996</v>
      </c>
      <c r="AC152" s="4">
        <v>0.57999999999999996</v>
      </c>
      <c r="AD152" s="4">
        <v>0.57999999999999996</v>
      </c>
      <c r="AE152" s="4">
        <v>0.57999999999999996</v>
      </c>
      <c r="AF152" s="4">
        <v>0.57999999999999996</v>
      </c>
      <c r="AG152" s="4">
        <v>0.57999999999999996</v>
      </c>
      <c r="AH152" s="4">
        <v>0.57999999999999996</v>
      </c>
      <c r="AI152" s="4">
        <v>0.57999999999999996</v>
      </c>
      <c r="AJ152" s="4">
        <v>0.57999999999999996</v>
      </c>
    </row>
    <row r="153" spans="1:36" x14ac:dyDescent="0.45">
      <c r="A153" s="34"/>
      <c r="B153" s="4" t="s">
        <v>198</v>
      </c>
      <c r="C153" s="5" t="s">
        <v>199</v>
      </c>
      <c r="D153" s="4" t="s">
        <v>393</v>
      </c>
      <c r="E153" s="4">
        <v>0.55000000000000004</v>
      </c>
      <c r="F153" s="4" t="s">
        <v>409</v>
      </c>
      <c r="G153" s="4">
        <v>0.55000000000000004</v>
      </c>
      <c r="H153" s="4">
        <v>0.55000000000000004</v>
      </c>
      <c r="I153" s="4">
        <v>0.55000000000000004</v>
      </c>
      <c r="J153" s="4">
        <v>0.55000000000000004</v>
      </c>
      <c r="K153" s="4">
        <v>0.55000000000000004</v>
      </c>
      <c r="L153" s="4">
        <v>0.55000000000000004</v>
      </c>
      <c r="M153" s="4">
        <v>0.55000000000000004</v>
      </c>
      <c r="N153" s="4">
        <v>0.55000000000000004</v>
      </c>
      <c r="O153" s="4">
        <v>0.55000000000000004</v>
      </c>
      <c r="P153" s="4">
        <v>0.55000000000000004</v>
      </c>
      <c r="Q153" s="4">
        <v>0.55000000000000004</v>
      </c>
      <c r="R153" s="4">
        <v>0.55000000000000004</v>
      </c>
      <c r="S153" s="4">
        <v>0.55000000000000004</v>
      </c>
      <c r="T153" s="4">
        <v>0.55000000000000004</v>
      </c>
      <c r="U153" s="4">
        <v>0.55000000000000004</v>
      </c>
      <c r="V153" s="4">
        <v>0.55000000000000004</v>
      </c>
      <c r="W153" s="4">
        <v>0.55000000000000004</v>
      </c>
      <c r="X153" s="4">
        <v>0.55000000000000004</v>
      </c>
      <c r="Y153" s="4">
        <v>0.55000000000000004</v>
      </c>
      <c r="Z153" s="4">
        <v>0.55000000000000004</v>
      </c>
      <c r="AA153" s="4">
        <v>0.55000000000000004</v>
      </c>
      <c r="AB153" s="4">
        <v>0.55000000000000004</v>
      </c>
      <c r="AC153" s="4">
        <v>0.55000000000000004</v>
      </c>
      <c r="AD153" s="4">
        <v>0.55000000000000004</v>
      </c>
      <c r="AE153" s="4">
        <v>0.55000000000000004</v>
      </c>
      <c r="AF153" s="4">
        <v>0.55000000000000004</v>
      </c>
      <c r="AG153" s="4">
        <v>0.55000000000000004</v>
      </c>
      <c r="AH153" s="4">
        <v>0.55000000000000004</v>
      </c>
      <c r="AI153" s="4">
        <v>0.55000000000000004</v>
      </c>
      <c r="AJ153" s="4">
        <v>0.55000000000000004</v>
      </c>
    </row>
    <row r="154" spans="1:36" x14ac:dyDescent="0.45">
      <c r="A154" s="34"/>
      <c r="B154" s="4" t="s">
        <v>200</v>
      </c>
      <c r="C154" s="5" t="s">
        <v>201</v>
      </c>
      <c r="D154" s="4" t="s">
        <v>393</v>
      </c>
      <c r="E154" s="4">
        <v>0.57999999999999996</v>
      </c>
      <c r="F154" s="4" t="s">
        <v>409</v>
      </c>
      <c r="G154" s="4">
        <v>0.57999999999999996</v>
      </c>
      <c r="H154" s="4">
        <v>0.57999999999999996</v>
      </c>
      <c r="I154" s="4">
        <v>0.57999999999999996</v>
      </c>
      <c r="J154" s="4">
        <v>0.57999999999999996</v>
      </c>
      <c r="K154" s="4">
        <v>0.57999999999999996</v>
      </c>
      <c r="L154" s="4">
        <v>0.57999999999999996</v>
      </c>
      <c r="M154" s="4">
        <v>0.57999999999999996</v>
      </c>
      <c r="N154" s="4">
        <v>0.57999999999999996</v>
      </c>
      <c r="O154" s="4">
        <v>0.57999999999999996</v>
      </c>
      <c r="P154" s="4">
        <v>0.57999999999999996</v>
      </c>
      <c r="Q154" s="4">
        <v>0.57999999999999996</v>
      </c>
      <c r="R154" s="4">
        <v>0.57999999999999996</v>
      </c>
      <c r="S154" s="4">
        <v>0.57999999999999996</v>
      </c>
      <c r="T154" s="4">
        <v>0.57999999999999996</v>
      </c>
      <c r="U154" s="4">
        <v>0.57999999999999996</v>
      </c>
      <c r="V154" s="4">
        <v>0.57999999999999996</v>
      </c>
      <c r="W154" s="4">
        <v>0.57999999999999996</v>
      </c>
      <c r="X154" s="4">
        <v>0.57999999999999996</v>
      </c>
      <c r="Y154" s="4">
        <v>0.57999999999999996</v>
      </c>
      <c r="Z154" s="4">
        <v>0.57999999999999996</v>
      </c>
      <c r="AA154" s="4">
        <v>0.57999999999999996</v>
      </c>
      <c r="AB154" s="4">
        <v>0.57999999999999996</v>
      </c>
      <c r="AC154" s="4">
        <v>0.57999999999999996</v>
      </c>
      <c r="AD154" s="4">
        <v>0.57999999999999996</v>
      </c>
      <c r="AE154" s="4">
        <v>0.57999999999999996</v>
      </c>
      <c r="AF154" s="4">
        <v>0.57999999999999996</v>
      </c>
      <c r="AG154" s="4">
        <v>0.57999999999999996</v>
      </c>
      <c r="AH154" s="4">
        <v>0.57999999999999996</v>
      </c>
      <c r="AI154" s="4">
        <v>0.57999999999999996</v>
      </c>
      <c r="AJ154" s="4">
        <v>0.57999999999999996</v>
      </c>
    </row>
    <row r="155" spans="1:36" x14ac:dyDescent="0.45">
      <c r="A155" s="34"/>
      <c r="B155" s="4" t="s">
        <v>202</v>
      </c>
      <c r="C155" s="5" t="s">
        <v>203</v>
      </c>
      <c r="D155" s="4" t="s">
        <v>393</v>
      </c>
      <c r="E155" s="4">
        <v>0.57999999999999996</v>
      </c>
      <c r="F155" s="4" t="s">
        <v>409</v>
      </c>
      <c r="G155" s="4">
        <v>0.57999999999999996</v>
      </c>
      <c r="H155" s="4">
        <v>0.57999999999999996</v>
      </c>
      <c r="I155" s="4">
        <v>0.57999999999999996</v>
      </c>
      <c r="J155" s="4">
        <v>0.57999999999999996</v>
      </c>
      <c r="K155" s="4">
        <v>0.57999999999999996</v>
      </c>
      <c r="L155" s="4">
        <v>0.57999999999999996</v>
      </c>
      <c r="M155" s="4">
        <v>0.57999999999999996</v>
      </c>
      <c r="N155" s="4">
        <v>0.57999999999999996</v>
      </c>
      <c r="O155" s="4">
        <v>0.57999999999999996</v>
      </c>
      <c r="P155" s="4">
        <v>0.57999999999999996</v>
      </c>
      <c r="Q155" s="4">
        <v>0.57999999999999996</v>
      </c>
      <c r="R155" s="4">
        <v>0.57999999999999996</v>
      </c>
      <c r="S155" s="4">
        <v>0.57999999999999996</v>
      </c>
      <c r="T155" s="4">
        <v>0.57999999999999996</v>
      </c>
      <c r="U155" s="4">
        <v>0.57999999999999996</v>
      </c>
      <c r="V155" s="4">
        <v>0.57999999999999996</v>
      </c>
      <c r="W155" s="4">
        <v>0.57999999999999996</v>
      </c>
      <c r="X155" s="4">
        <v>0.57999999999999996</v>
      </c>
      <c r="Y155" s="4">
        <v>0.57999999999999996</v>
      </c>
      <c r="Z155" s="4">
        <v>0.57999999999999996</v>
      </c>
      <c r="AA155" s="4">
        <v>0.57999999999999996</v>
      </c>
      <c r="AB155" s="4">
        <v>0.57999999999999996</v>
      </c>
      <c r="AC155" s="4">
        <v>0.57999999999999996</v>
      </c>
      <c r="AD155" s="4">
        <v>0.57999999999999996</v>
      </c>
      <c r="AE155" s="4">
        <v>0.57999999999999996</v>
      </c>
      <c r="AF155" s="4">
        <v>0.57999999999999996</v>
      </c>
      <c r="AG155" s="4">
        <v>0.57999999999999996</v>
      </c>
      <c r="AH155" s="4">
        <v>0.57999999999999996</v>
      </c>
      <c r="AI155" s="4">
        <v>0.57999999999999996</v>
      </c>
      <c r="AJ155" s="4">
        <v>0.57999999999999996</v>
      </c>
    </row>
  </sheetData>
  <mergeCells count="25">
    <mergeCell ref="A58:A59"/>
    <mergeCell ref="A2:A18"/>
    <mergeCell ref="A19:A25"/>
    <mergeCell ref="A26:A46"/>
    <mergeCell ref="A55:A57"/>
    <mergeCell ref="A47:A54"/>
    <mergeCell ref="A95:A96"/>
    <mergeCell ref="A60:A64"/>
    <mergeCell ref="A65:A67"/>
    <mergeCell ref="A68:A69"/>
    <mergeCell ref="A70:A73"/>
    <mergeCell ref="A74:A75"/>
    <mergeCell ref="A76:A80"/>
    <mergeCell ref="A81:A84"/>
    <mergeCell ref="A85:A88"/>
    <mergeCell ref="A89:A90"/>
    <mergeCell ref="A91:A92"/>
    <mergeCell ref="A93:A94"/>
    <mergeCell ref="A150:A155"/>
    <mergeCell ref="A97:A98"/>
    <mergeCell ref="A99:A100"/>
    <mergeCell ref="A101:A102"/>
    <mergeCell ref="A104:A120"/>
    <mergeCell ref="A121:A136"/>
    <mergeCell ref="A137:A1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C1CA-64A6-4026-989A-42FCD260F914}">
  <dimension ref="A1:P156"/>
  <sheetViews>
    <sheetView zoomScale="70" zoomScaleNormal="70" workbookViewId="0">
      <selection activeCell="I10" sqref="I10"/>
    </sheetView>
  </sheetViews>
  <sheetFormatPr baseColWidth="10" defaultRowHeight="17.5" x14ac:dyDescent="0.45"/>
  <cols>
    <col min="2" max="2" width="42.07421875" customWidth="1"/>
    <col min="4" max="4" width="14.84375" customWidth="1"/>
    <col min="5" max="5" width="13.69140625" customWidth="1"/>
    <col min="7" max="7" width="23.3046875" customWidth="1"/>
    <col min="9" max="9" width="21.53515625" customWidth="1"/>
    <col min="10" max="10" width="22.53515625" customWidth="1"/>
    <col min="14" max="14" width="21.3828125" customWidth="1"/>
  </cols>
  <sheetData>
    <row r="1" spans="1:16" x14ac:dyDescent="0.45">
      <c r="G1" t="s">
        <v>567</v>
      </c>
    </row>
    <row r="2" spans="1:16" s="7" customFormat="1" ht="35" x14ac:dyDescent="0.45">
      <c r="A2" s="4" t="s">
        <v>447</v>
      </c>
      <c r="B2" s="4" t="s">
        <v>364</v>
      </c>
      <c r="C2" s="4" t="s">
        <v>205</v>
      </c>
      <c r="D2" s="4" t="s">
        <v>239</v>
      </c>
      <c r="E2" s="4" t="s">
        <v>449</v>
      </c>
      <c r="F2" s="4" t="s">
        <v>446</v>
      </c>
      <c r="G2" s="4" t="s">
        <v>448</v>
      </c>
      <c r="H2" s="4" t="s">
        <v>549</v>
      </c>
      <c r="K2" s="7" t="s">
        <v>261</v>
      </c>
    </row>
    <row r="3" spans="1:16" x14ac:dyDescent="0.45">
      <c r="A3" s="37" t="s">
        <v>207</v>
      </c>
      <c r="B3" s="22" t="s">
        <v>0</v>
      </c>
      <c r="C3" s="22" t="s">
        <v>1</v>
      </c>
      <c r="D3" s="22" t="s">
        <v>450</v>
      </c>
      <c r="E3" s="4">
        <f>G3/F3</f>
        <v>0</v>
      </c>
      <c r="F3" s="4">
        <v>1</v>
      </c>
      <c r="G3" s="5">
        <v>0</v>
      </c>
      <c r="H3" s="5">
        <f>E3/1000</f>
        <v>0</v>
      </c>
      <c r="J3" t="s">
        <v>274</v>
      </c>
      <c r="K3">
        <v>2.9335934898501499</v>
      </c>
      <c r="L3" t="s">
        <v>273</v>
      </c>
    </row>
    <row r="4" spans="1:16" x14ac:dyDescent="0.45">
      <c r="A4" s="34"/>
      <c r="B4" s="4" t="s">
        <v>2</v>
      </c>
      <c r="C4" s="4" t="s">
        <v>3</v>
      </c>
      <c r="D4" s="22" t="s">
        <v>450</v>
      </c>
      <c r="E4" s="4">
        <f t="shared" ref="E4:E26" si="0">G4/F4</f>
        <v>112.3</v>
      </c>
      <c r="F4" s="4">
        <v>1</v>
      </c>
      <c r="G4" s="5">
        <v>112.3</v>
      </c>
      <c r="H4" s="5">
        <f t="shared" ref="H4:H67" si="1">E4/1000</f>
        <v>0.1123</v>
      </c>
      <c r="J4" t="s">
        <v>275</v>
      </c>
      <c r="K4">
        <v>5.274111587340502</v>
      </c>
      <c r="L4" t="s">
        <v>273</v>
      </c>
    </row>
    <row r="5" spans="1:16" x14ac:dyDescent="0.45">
      <c r="A5" s="34"/>
      <c r="B5" s="4" t="s">
        <v>6</v>
      </c>
      <c r="C5" s="4" t="s">
        <v>7</v>
      </c>
      <c r="D5" s="22" t="s">
        <v>450</v>
      </c>
      <c r="E5" s="4">
        <f t="shared" si="0"/>
        <v>5.0970000000000004</v>
      </c>
      <c r="F5" s="4">
        <v>1</v>
      </c>
      <c r="G5" s="5">
        <v>5.0970000000000004</v>
      </c>
      <c r="H5" s="5">
        <f t="shared" si="1"/>
        <v>5.0970000000000008E-3</v>
      </c>
      <c r="J5" t="s">
        <v>276</v>
      </c>
      <c r="K5">
        <v>5.6708498400612823</v>
      </c>
      <c r="L5" t="s">
        <v>273</v>
      </c>
    </row>
    <row r="6" spans="1:16" x14ac:dyDescent="0.45">
      <c r="A6" s="34"/>
      <c r="B6" s="4" t="s">
        <v>10</v>
      </c>
      <c r="C6" s="4" t="s">
        <v>11</v>
      </c>
      <c r="D6" s="22" t="s">
        <v>450</v>
      </c>
      <c r="E6" s="4">
        <f t="shared" si="0"/>
        <v>-112929.7</v>
      </c>
      <c r="F6" s="4">
        <v>1</v>
      </c>
      <c r="G6" s="5">
        <v>-112929.7</v>
      </c>
      <c r="H6" s="5">
        <f t="shared" si="1"/>
        <v>-112.9297</v>
      </c>
      <c r="J6" t="s">
        <v>277</v>
      </c>
      <c r="K6">
        <v>5.3308987344700309</v>
      </c>
      <c r="L6" t="s">
        <v>273</v>
      </c>
    </row>
    <row r="7" spans="1:16" x14ac:dyDescent="0.45">
      <c r="A7" s="34"/>
      <c r="B7" s="4" t="s">
        <v>12</v>
      </c>
      <c r="C7" s="4" t="s">
        <v>13</v>
      </c>
      <c r="D7" s="22" t="s">
        <v>450</v>
      </c>
      <c r="E7" s="4">
        <f t="shared" si="0"/>
        <v>-84758.1</v>
      </c>
      <c r="F7" s="4">
        <v>1</v>
      </c>
      <c r="G7" s="5">
        <v>-84758.1</v>
      </c>
      <c r="H7" s="5">
        <f t="shared" si="1"/>
        <v>-84.758099999999999</v>
      </c>
    </row>
    <row r="8" spans="1:16" x14ac:dyDescent="0.45">
      <c r="A8" s="34"/>
      <c r="B8" s="4" t="s">
        <v>14</v>
      </c>
      <c r="C8" s="4" t="s">
        <v>15</v>
      </c>
      <c r="D8" s="22" t="s">
        <v>450</v>
      </c>
      <c r="E8" s="4">
        <f t="shared" si="0"/>
        <v>-54806.5</v>
      </c>
      <c r="F8" s="4">
        <v>1</v>
      </c>
      <c r="G8" s="5">
        <v>-54806.5</v>
      </c>
      <c r="H8" s="5">
        <f t="shared" si="1"/>
        <v>-54.8065</v>
      </c>
      <c r="J8" s="38" t="s">
        <v>553</v>
      </c>
      <c r="K8" s="38"/>
      <c r="L8" s="38"/>
      <c r="N8" s="38" t="s">
        <v>558</v>
      </c>
      <c r="O8" s="38"/>
      <c r="P8" s="38"/>
    </row>
    <row r="9" spans="1:16" x14ac:dyDescent="0.45">
      <c r="A9" s="34"/>
      <c r="B9" s="4" t="s">
        <v>16</v>
      </c>
      <c r="C9" s="4" t="s">
        <v>17</v>
      </c>
      <c r="D9" s="22" t="s">
        <v>450</v>
      </c>
      <c r="E9" s="4">
        <f t="shared" si="0"/>
        <v>-89525</v>
      </c>
      <c r="F9" s="4">
        <v>1</v>
      </c>
      <c r="G9" s="5">
        <v>-89525</v>
      </c>
      <c r="H9" s="5">
        <f t="shared" si="1"/>
        <v>-89.525000000000006</v>
      </c>
      <c r="J9" t="s">
        <v>554</v>
      </c>
      <c r="K9">
        <v>0.08</v>
      </c>
      <c r="L9">
        <v>0.92</v>
      </c>
      <c r="N9" t="s">
        <v>554</v>
      </c>
      <c r="O9">
        <v>0.1</v>
      </c>
      <c r="P9">
        <v>0.9</v>
      </c>
    </row>
    <row r="10" spans="1:16" ht="35" x14ac:dyDescent="0.45">
      <c r="A10" s="34"/>
      <c r="B10" s="4" t="s">
        <v>18</v>
      </c>
      <c r="C10" s="4" t="s">
        <v>19</v>
      </c>
      <c r="D10" s="22" t="s">
        <v>450</v>
      </c>
      <c r="E10" s="4">
        <f t="shared" si="0"/>
        <v>-89525</v>
      </c>
      <c r="F10" s="4">
        <v>1</v>
      </c>
      <c r="G10" s="5">
        <v>-89525</v>
      </c>
      <c r="H10" s="5">
        <f t="shared" si="1"/>
        <v>-89.525000000000006</v>
      </c>
      <c r="J10" t="s">
        <v>555</v>
      </c>
      <c r="K10">
        <f>K9*K3</f>
        <v>0.234687479188012</v>
      </c>
      <c r="L10">
        <f>L9*K6</f>
        <v>4.904426835712429</v>
      </c>
      <c r="N10" t="s">
        <v>555</v>
      </c>
      <c r="O10">
        <f>O9*K4</f>
        <v>0.5274111587340502</v>
      </c>
      <c r="P10">
        <f>P9*K5</f>
        <v>5.1037648560551538</v>
      </c>
    </row>
    <row r="11" spans="1:16" x14ac:dyDescent="0.45">
      <c r="A11" s="34"/>
      <c r="B11" s="4" t="s">
        <v>20</v>
      </c>
      <c r="C11" s="4" t="s">
        <v>21</v>
      </c>
      <c r="D11" s="22" t="s">
        <v>450</v>
      </c>
      <c r="E11" s="4">
        <f t="shared" si="0"/>
        <v>0</v>
      </c>
      <c r="F11" s="4">
        <v>1</v>
      </c>
      <c r="G11" s="5">
        <v>0</v>
      </c>
      <c r="H11" s="5">
        <f t="shared" si="1"/>
        <v>0</v>
      </c>
      <c r="J11" s="27" t="s">
        <v>552</v>
      </c>
      <c r="K11" s="27">
        <f>K10/(K10+L10)</f>
        <v>4.5666911613068205E-2</v>
      </c>
      <c r="L11" s="27">
        <f>L10/(K10+L10)</f>
        <v>0.95433308838693176</v>
      </c>
      <c r="N11" s="27" t="s">
        <v>552</v>
      </c>
      <c r="O11" s="27">
        <f>O10/(O10+P10)</f>
        <v>9.3659149944684009E-2</v>
      </c>
      <c r="P11" s="27">
        <f>P10/(O10+P10)</f>
        <v>0.90634085005531595</v>
      </c>
    </row>
    <row r="12" spans="1:16" x14ac:dyDescent="0.45">
      <c r="A12" s="34"/>
      <c r="B12" s="4" t="s">
        <v>256</v>
      </c>
      <c r="C12" s="4" t="s">
        <v>258</v>
      </c>
      <c r="D12" s="22" t="s">
        <v>450</v>
      </c>
      <c r="E12" s="4">
        <f t="shared" si="0"/>
        <v>0</v>
      </c>
      <c r="F12" s="4">
        <v>1</v>
      </c>
      <c r="G12" s="5">
        <v>0</v>
      </c>
      <c r="H12" s="5">
        <f t="shared" si="1"/>
        <v>0</v>
      </c>
      <c r="J12" t="s">
        <v>556</v>
      </c>
      <c r="K12">
        <v>84758.1</v>
      </c>
      <c r="L12">
        <v>69323.7</v>
      </c>
      <c r="N12" t="s">
        <v>556</v>
      </c>
      <c r="O12">
        <v>54806.5</v>
      </c>
      <c r="P12">
        <v>74233.399999999994</v>
      </c>
    </row>
    <row r="13" spans="1:16" x14ac:dyDescent="0.45">
      <c r="A13" s="34"/>
      <c r="B13" s="4" t="s">
        <v>257</v>
      </c>
      <c r="C13" s="4" t="s">
        <v>259</v>
      </c>
      <c r="D13" s="22" t="s">
        <v>450</v>
      </c>
      <c r="E13" s="4">
        <f t="shared" si="0"/>
        <v>0</v>
      </c>
      <c r="F13" s="4">
        <v>1</v>
      </c>
      <c r="G13" s="5">
        <v>0</v>
      </c>
      <c r="H13" s="5">
        <f t="shared" si="1"/>
        <v>0</v>
      </c>
      <c r="J13" t="s">
        <v>557</v>
      </c>
      <c r="K13" s="38">
        <f>K12*K11+L12*L11</f>
        <v>70028.541380600742</v>
      </c>
      <c r="L13" s="38"/>
      <c r="N13" t="s">
        <v>557</v>
      </c>
      <c r="O13" s="38">
        <f>O12*O11+P12*P11</f>
        <v>72413.893059939612</v>
      </c>
      <c r="P13" s="38"/>
    </row>
    <row r="14" spans="1:16" x14ac:dyDescent="0.45">
      <c r="A14" s="34"/>
      <c r="B14" s="4" t="s">
        <v>22</v>
      </c>
      <c r="C14" s="4" t="s">
        <v>23</v>
      </c>
      <c r="D14" s="22" t="s">
        <v>450</v>
      </c>
      <c r="E14" s="4">
        <f t="shared" si="0"/>
        <v>0</v>
      </c>
      <c r="F14" s="4">
        <v>1</v>
      </c>
      <c r="G14" s="5">
        <v>0</v>
      </c>
      <c r="H14" s="5">
        <f t="shared" si="1"/>
        <v>0</v>
      </c>
    </row>
    <row r="15" spans="1:16" x14ac:dyDescent="0.45">
      <c r="A15" s="34"/>
      <c r="B15" s="4" t="s">
        <v>24</v>
      </c>
      <c r="C15" s="4" t="s">
        <v>25</v>
      </c>
      <c r="D15" s="22" t="s">
        <v>450</v>
      </c>
      <c r="E15" s="4">
        <f t="shared" si="0"/>
        <v>0</v>
      </c>
      <c r="F15" s="4">
        <v>1</v>
      </c>
      <c r="G15" s="5">
        <v>0</v>
      </c>
      <c r="H15" s="5">
        <f t="shared" si="1"/>
        <v>0</v>
      </c>
    </row>
    <row r="16" spans="1:16" x14ac:dyDescent="0.45">
      <c r="A16" s="34"/>
      <c r="B16" s="4" t="s">
        <v>249</v>
      </c>
      <c r="C16" s="4" t="s">
        <v>26</v>
      </c>
      <c r="D16" s="22" t="s">
        <v>450</v>
      </c>
      <c r="E16" s="4">
        <f t="shared" si="0"/>
        <v>0</v>
      </c>
      <c r="F16" s="4">
        <v>1</v>
      </c>
      <c r="G16" s="5">
        <v>0</v>
      </c>
      <c r="H16" s="5">
        <f t="shared" si="1"/>
        <v>0</v>
      </c>
    </row>
    <row r="17" spans="1:8" x14ac:dyDescent="0.45">
      <c r="A17" s="34"/>
      <c r="B17" s="4" t="s">
        <v>250</v>
      </c>
      <c r="C17" s="4" t="s">
        <v>251</v>
      </c>
      <c r="D17" s="22" t="s">
        <v>450</v>
      </c>
      <c r="E17" s="4">
        <f t="shared" si="0"/>
        <v>0</v>
      </c>
      <c r="F17" s="4">
        <v>1</v>
      </c>
      <c r="G17" s="5">
        <v>0</v>
      </c>
      <c r="H17" s="5">
        <f t="shared" si="1"/>
        <v>0</v>
      </c>
    </row>
    <row r="18" spans="1:8" x14ac:dyDescent="0.45">
      <c r="A18" s="34"/>
      <c r="B18" s="4" t="s">
        <v>252</v>
      </c>
      <c r="C18" s="4" t="s">
        <v>255</v>
      </c>
      <c r="D18" s="22" t="s">
        <v>450</v>
      </c>
      <c r="E18" s="4">
        <f t="shared" si="0"/>
        <v>0</v>
      </c>
      <c r="F18" s="4">
        <v>1</v>
      </c>
      <c r="G18" s="5">
        <v>0</v>
      </c>
      <c r="H18" s="5">
        <f t="shared" si="1"/>
        <v>0</v>
      </c>
    </row>
    <row r="19" spans="1:8" x14ac:dyDescent="0.45">
      <c r="A19" s="34"/>
      <c r="B19" s="4" t="s">
        <v>253</v>
      </c>
      <c r="C19" s="4" t="s">
        <v>254</v>
      </c>
      <c r="D19" s="22" t="s">
        <v>450</v>
      </c>
      <c r="E19" s="4">
        <f t="shared" si="0"/>
        <v>0</v>
      </c>
      <c r="F19" s="4">
        <v>1</v>
      </c>
      <c r="G19" s="5">
        <v>0</v>
      </c>
      <c r="H19" s="5">
        <f t="shared" si="1"/>
        <v>0</v>
      </c>
    </row>
    <row r="20" spans="1:8" x14ac:dyDescent="0.45">
      <c r="A20" s="34" t="s">
        <v>208</v>
      </c>
      <c r="B20" s="4" t="s">
        <v>4</v>
      </c>
      <c r="C20" s="4" t="s">
        <v>5</v>
      </c>
      <c r="D20" s="22" t="s">
        <v>450</v>
      </c>
      <c r="E20" s="4">
        <f t="shared" si="0"/>
        <v>83000</v>
      </c>
      <c r="F20" s="4">
        <v>1</v>
      </c>
      <c r="G20" s="5">
        <v>83000</v>
      </c>
      <c r="H20" s="5">
        <f t="shared" si="1"/>
        <v>83</v>
      </c>
    </row>
    <row r="21" spans="1:8" x14ac:dyDescent="0.45">
      <c r="A21" s="34"/>
      <c r="B21" s="4" t="s">
        <v>8</v>
      </c>
      <c r="C21" s="4" t="s">
        <v>9</v>
      </c>
      <c r="D21" s="22" t="s">
        <v>450</v>
      </c>
      <c r="E21" s="4">
        <f t="shared" si="0"/>
        <v>5.0970000000000004</v>
      </c>
      <c r="F21" s="4">
        <v>1</v>
      </c>
      <c r="G21" s="5">
        <v>5.0970000000000004</v>
      </c>
      <c r="H21" s="5">
        <f t="shared" si="1"/>
        <v>5.0970000000000008E-3</v>
      </c>
    </row>
    <row r="22" spans="1:8" x14ac:dyDescent="0.45">
      <c r="A22" s="34"/>
      <c r="B22" s="4" t="s">
        <v>27</v>
      </c>
      <c r="C22" s="4" t="s">
        <v>28</v>
      </c>
      <c r="D22" s="22" t="s">
        <v>450</v>
      </c>
      <c r="E22" s="4">
        <f t="shared" si="0"/>
        <v>1328</v>
      </c>
      <c r="F22" s="4">
        <v>1</v>
      </c>
      <c r="G22" s="5">
        <f>G20*0.016</f>
        <v>1328</v>
      </c>
      <c r="H22" s="5">
        <f t="shared" si="1"/>
        <v>1.3280000000000001</v>
      </c>
    </row>
    <row r="23" spans="1:8" x14ac:dyDescent="0.45">
      <c r="A23" s="34"/>
      <c r="B23" s="4" t="s">
        <v>29</v>
      </c>
      <c r="C23" s="4" t="s">
        <v>30</v>
      </c>
      <c r="D23" s="22" t="s">
        <v>450</v>
      </c>
      <c r="E23" s="4">
        <f t="shared" si="0"/>
        <v>31540</v>
      </c>
      <c r="F23" s="4">
        <v>1</v>
      </c>
      <c r="G23" s="5">
        <f>G20*0.38</f>
        <v>31540</v>
      </c>
      <c r="H23" s="5">
        <f t="shared" si="1"/>
        <v>31.54</v>
      </c>
    </row>
    <row r="24" spans="1:8" x14ac:dyDescent="0.45">
      <c r="A24" s="34"/>
      <c r="B24" s="4" t="s">
        <v>31</v>
      </c>
      <c r="C24" s="4" t="s">
        <v>32</v>
      </c>
      <c r="D24" s="22" t="s">
        <v>450</v>
      </c>
      <c r="E24" s="4">
        <f t="shared" si="0"/>
        <v>16019</v>
      </c>
      <c r="F24" s="4">
        <v>1</v>
      </c>
      <c r="G24" s="5">
        <f>G20*0.193</f>
        <v>16019</v>
      </c>
      <c r="H24" s="5">
        <f t="shared" si="1"/>
        <v>16.018999999999998</v>
      </c>
    </row>
    <row r="25" spans="1:8" x14ac:dyDescent="0.45">
      <c r="A25" s="34"/>
      <c r="B25" s="4" t="s">
        <v>33</v>
      </c>
      <c r="C25" s="4" t="s">
        <v>34</v>
      </c>
      <c r="D25" s="22" t="s">
        <v>450</v>
      </c>
      <c r="E25" s="4">
        <f t="shared" si="0"/>
        <v>4233</v>
      </c>
      <c r="F25" s="4">
        <v>1</v>
      </c>
      <c r="G25" s="5">
        <f>G20*0.051</f>
        <v>4233</v>
      </c>
      <c r="H25" s="5">
        <f t="shared" si="1"/>
        <v>4.2329999999999997</v>
      </c>
    </row>
    <row r="26" spans="1:8" x14ac:dyDescent="0.45">
      <c r="A26" s="34"/>
      <c r="B26" s="4" t="s">
        <v>35</v>
      </c>
      <c r="C26" s="4" t="s">
        <v>36</v>
      </c>
      <c r="D26" s="22" t="s">
        <v>450</v>
      </c>
      <c r="E26" s="4">
        <f t="shared" si="0"/>
        <v>7719</v>
      </c>
      <c r="F26" s="4">
        <v>1</v>
      </c>
      <c r="G26" s="5">
        <f>G20*0.093</f>
        <v>7719</v>
      </c>
      <c r="H26" s="5">
        <f t="shared" si="1"/>
        <v>7.7190000000000003</v>
      </c>
    </row>
    <row r="27" spans="1:8" x14ac:dyDescent="0.45">
      <c r="A27" s="34" t="s">
        <v>209</v>
      </c>
      <c r="B27" s="4" t="s">
        <v>37</v>
      </c>
      <c r="C27" s="4" t="s">
        <v>38</v>
      </c>
      <c r="D27" s="22" t="s">
        <v>450</v>
      </c>
      <c r="E27" s="32">
        <f>G27/F27</f>
        <v>204967.44186046513</v>
      </c>
      <c r="F27" s="4">
        <v>0.43</v>
      </c>
      <c r="G27" s="5">
        <v>88136</v>
      </c>
      <c r="H27" s="8">
        <f t="shared" si="1"/>
        <v>204.96744186046513</v>
      </c>
    </row>
    <row r="28" spans="1:8" x14ac:dyDescent="0.45">
      <c r="A28" s="34"/>
      <c r="B28" s="4" t="s">
        <v>39</v>
      </c>
      <c r="C28" s="4" t="s">
        <v>40</v>
      </c>
      <c r="D28" s="22" t="s">
        <v>450</v>
      </c>
      <c r="E28" s="32">
        <f t="shared" ref="E28:E85" si="2">G28/F28</f>
        <v>22034</v>
      </c>
      <c r="F28" s="4">
        <v>0.4</v>
      </c>
      <c r="G28" s="5">
        <f>88136*0.1</f>
        <v>8813.6</v>
      </c>
      <c r="H28" s="8">
        <f t="shared" si="1"/>
        <v>22.033999999999999</v>
      </c>
    </row>
    <row r="29" spans="1:8" x14ac:dyDescent="0.45">
      <c r="A29" s="34"/>
      <c r="B29" s="4" t="s">
        <v>41</v>
      </c>
      <c r="C29" s="4" t="s">
        <v>42</v>
      </c>
      <c r="D29" s="22" t="s">
        <v>450</v>
      </c>
      <c r="E29" s="32">
        <f t="shared" si="2"/>
        <v>97437.035087719312</v>
      </c>
      <c r="F29" s="4">
        <v>0.56999999999999995</v>
      </c>
      <c r="G29" s="5">
        <v>55539.11</v>
      </c>
      <c r="H29" s="8">
        <f t="shared" si="1"/>
        <v>97.437035087719309</v>
      </c>
    </row>
    <row r="30" spans="1:8" x14ac:dyDescent="0.45">
      <c r="A30" s="34"/>
      <c r="B30" s="4" t="s">
        <v>43</v>
      </c>
      <c r="C30" s="4" t="s">
        <v>44</v>
      </c>
      <c r="D30" s="22" t="s">
        <v>450</v>
      </c>
      <c r="E30" s="32">
        <f t="shared" si="2"/>
        <v>12916.072093023256</v>
      </c>
      <c r="F30" s="4">
        <v>0.43</v>
      </c>
      <c r="G30" s="5">
        <f>G29*0.1</f>
        <v>5553.9110000000001</v>
      </c>
      <c r="H30" s="8">
        <f t="shared" si="1"/>
        <v>12.916072093023256</v>
      </c>
    </row>
    <row r="31" spans="1:8" x14ac:dyDescent="0.45">
      <c r="A31" s="34"/>
      <c r="B31" s="4" t="s">
        <v>45</v>
      </c>
      <c r="C31" s="4" t="s">
        <v>46</v>
      </c>
      <c r="D31" s="22" t="s">
        <v>450</v>
      </c>
      <c r="E31" s="32">
        <f t="shared" si="2"/>
        <v>255785.71428571429</v>
      </c>
      <c r="F31" s="4">
        <v>0.35</v>
      </c>
      <c r="G31" s="5">
        <v>89525</v>
      </c>
      <c r="H31" s="8">
        <f t="shared" si="1"/>
        <v>255.78571428571428</v>
      </c>
    </row>
    <row r="32" spans="1:8" x14ac:dyDescent="0.45">
      <c r="A32" s="34"/>
      <c r="B32" s="4" t="s">
        <v>47</v>
      </c>
      <c r="C32" s="4" t="s">
        <v>48</v>
      </c>
      <c r="D32" s="22" t="s">
        <v>450</v>
      </c>
      <c r="E32" s="32">
        <f t="shared" si="2"/>
        <v>29841.666666666668</v>
      </c>
      <c r="F32" s="4">
        <v>0.3</v>
      </c>
      <c r="G32" s="5">
        <f>G31*0.1</f>
        <v>8952.5</v>
      </c>
      <c r="H32" s="8">
        <f t="shared" si="1"/>
        <v>29.841666666666669</v>
      </c>
    </row>
    <row r="33" spans="1:8" x14ac:dyDescent="0.45">
      <c r="A33" s="34"/>
      <c r="B33" s="4" t="s">
        <v>49</v>
      </c>
      <c r="C33" s="4" t="s">
        <v>50</v>
      </c>
      <c r="D33" s="22" t="s">
        <v>450</v>
      </c>
      <c r="E33" s="32">
        <f t="shared" si="2"/>
        <v>255785.71428571429</v>
      </c>
      <c r="F33" s="4">
        <v>0.35</v>
      </c>
      <c r="G33" s="5">
        <v>89525</v>
      </c>
      <c r="H33" s="8">
        <f t="shared" si="1"/>
        <v>255.78571428571428</v>
      </c>
    </row>
    <row r="34" spans="1:8" x14ac:dyDescent="0.45">
      <c r="A34" s="34"/>
      <c r="B34" s="4" t="s">
        <v>51</v>
      </c>
      <c r="C34" s="4" t="s">
        <v>52</v>
      </c>
      <c r="D34" s="22" t="s">
        <v>450</v>
      </c>
      <c r="E34" s="32">
        <f t="shared" si="2"/>
        <v>29841.666666666668</v>
      </c>
      <c r="F34" s="4">
        <v>0.3</v>
      </c>
      <c r="G34" s="5">
        <f>G33*0.1</f>
        <v>8952.5</v>
      </c>
      <c r="H34" s="8">
        <f t="shared" si="1"/>
        <v>29.841666666666669</v>
      </c>
    </row>
    <row r="35" spans="1:8" x14ac:dyDescent="0.45">
      <c r="A35" s="34"/>
      <c r="B35" s="4" t="s">
        <v>53</v>
      </c>
      <c r="C35" s="4" t="s">
        <v>54</v>
      </c>
      <c r="D35" s="22" t="s">
        <v>450</v>
      </c>
      <c r="E35" s="32">
        <f t="shared" si="2"/>
        <v>210911.05</v>
      </c>
      <c r="F35" s="4">
        <v>0.4</v>
      </c>
      <c r="G35" s="5">
        <v>84364.42</v>
      </c>
      <c r="H35" s="8">
        <f t="shared" si="1"/>
        <v>210.91104999999999</v>
      </c>
    </row>
    <row r="36" spans="1:8" x14ac:dyDescent="0.45">
      <c r="A36" s="34"/>
      <c r="B36" s="4" t="s">
        <v>63</v>
      </c>
      <c r="C36" s="4" t="s">
        <v>64</v>
      </c>
      <c r="D36" s="22" t="s">
        <v>450</v>
      </c>
      <c r="E36" s="4">
        <f t="shared" si="2"/>
        <v>0</v>
      </c>
      <c r="F36" s="4">
        <v>1</v>
      </c>
      <c r="G36" s="5">
        <v>0</v>
      </c>
      <c r="H36" s="5">
        <f t="shared" si="1"/>
        <v>0</v>
      </c>
    </row>
    <row r="37" spans="1:8" x14ac:dyDescent="0.45">
      <c r="A37" s="34"/>
      <c r="B37" s="4" t="s">
        <v>65</v>
      </c>
      <c r="C37" s="4" t="s">
        <v>66</v>
      </c>
      <c r="D37" s="22" t="s">
        <v>450</v>
      </c>
      <c r="E37" s="4">
        <f t="shared" si="2"/>
        <v>0</v>
      </c>
      <c r="F37" s="4">
        <v>1</v>
      </c>
      <c r="G37" s="5">
        <v>0</v>
      </c>
      <c r="H37" s="5">
        <f t="shared" si="1"/>
        <v>0</v>
      </c>
    </row>
    <row r="38" spans="1:8" x14ac:dyDescent="0.45">
      <c r="A38" s="34"/>
      <c r="B38" s="4" t="s">
        <v>241</v>
      </c>
      <c r="C38" s="4" t="s">
        <v>242</v>
      </c>
      <c r="D38" s="22" t="s">
        <v>450</v>
      </c>
      <c r="E38" s="4">
        <f t="shared" si="2"/>
        <v>0</v>
      </c>
      <c r="F38" s="4">
        <v>0.11</v>
      </c>
      <c r="G38" s="5">
        <v>0</v>
      </c>
      <c r="H38" s="5">
        <f t="shared" si="1"/>
        <v>0</v>
      </c>
    </row>
    <row r="39" spans="1:8" x14ac:dyDescent="0.45">
      <c r="A39" s="34"/>
      <c r="B39" s="4" t="s">
        <v>67</v>
      </c>
      <c r="C39" s="4" t="s">
        <v>68</v>
      </c>
      <c r="D39" s="22" t="s">
        <v>450</v>
      </c>
      <c r="E39" s="4">
        <f t="shared" si="2"/>
        <v>0</v>
      </c>
      <c r="F39" s="4">
        <v>0.35</v>
      </c>
      <c r="G39" s="5">
        <v>0</v>
      </c>
      <c r="H39" s="5">
        <f t="shared" si="1"/>
        <v>0</v>
      </c>
    </row>
    <row r="40" spans="1:8" x14ac:dyDescent="0.45">
      <c r="A40" s="34"/>
      <c r="B40" s="4" t="s">
        <v>69</v>
      </c>
      <c r="C40" s="4" t="s">
        <v>70</v>
      </c>
      <c r="D40" s="22" t="s">
        <v>450</v>
      </c>
      <c r="E40" s="4">
        <f t="shared" si="2"/>
        <v>0</v>
      </c>
      <c r="F40" s="4">
        <v>1</v>
      </c>
      <c r="G40" s="5">
        <v>0</v>
      </c>
      <c r="H40" s="5">
        <f t="shared" si="1"/>
        <v>0</v>
      </c>
    </row>
    <row r="41" spans="1:8" x14ac:dyDescent="0.45">
      <c r="A41" s="34"/>
      <c r="B41" s="4" t="s">
        <v>71</v>
      </c>
      <c r="C41" s="4" t="s">
        <v>72</v>
      </c>
      <c r="D41" s="22" t="s">
        <v>450</v>
      </c>
      <c r="E41" s="4">
        <f t="shared" si="2"/>
        <v>0</v>
      </c>
      <c r="F41" s="4">
        <v>1</v>
      </c>
      <c r="G41" s="5">
        <v>0</v>
      </c>
      <c r="H41" s="5">
        <f t="shared" si="1"/>
        <v>0</v>
      </c>
    </row>
    <row r="42" spans="1:8" x14ac:dyDescent="0.45">
      <c r="A42" s="34"/>
      <c r="B42" s="4" t="s">
        <v>73</v>
      </c>
      <c r="C42" s="4" t="s">
        <v>74</v>
      </c>
      <c r="D42" s="22" t="s">
        <v>450</v>
      </c>
      <c r="E42" s="4">
        <f t="shared" si="2"/>
        <v>0</v>
      </c>
      <c r="F42" s="4">
        <v>0.35</v>
      </c>
      <c r="G42" s="5">
        <v>0</v>
      </c>
      <c r="H42" s="5">
        <f t="shared" si="1"/>
        <v>0</v>
      </c>
    </row>
    <row r="43" spans="1:8" x14ac:dyDescent="0.45">
      <c r="A43" s="34"/>
      <c r="B43" s="4" t="s">
        <v>75</v>
      </c>
      <c r="C43" s="4" t="s">
        <v>76</v>
      </c>
      <c r="D43" s="22" t="s">
        <v>450</v>
      </c>
      <c r="E43" s="4">
        <f t="shared" si="2"/>
        <v>0</v>
      </c>
      <c r="F43" s="4">
        <v>1</v>
      </c>
      <c r="G43" s="5">
        <v>0</v>
      </c>
      <c r="H43" s="5">
        <f t="shared" si="1"/>
        <v>0</v>
      </c>
    </row>
    <row r="44" spans="1:8" x14ac:dyDescent="0.45">
      <c r="A44" s="34"/>
      <c r="B44" s="4" t="s">
        <v>77</v>
      </c>
      <c r="C44" s="4" t="s">
        <v>78</v>
      </c>
      <c r="D44" s="22" t="s">
        <v>450</v>
      </c>
      <c r="E44" s="4">
        <f t="shared" si="2"/>
        <v>0</v>
      </c>
      <c r="F44" s="4">
        <v>1</v>
      </c>
      <c r="G44" s="5">
        <v>0</v>
      </c>
      <c r="H44" s="5">
        <f t="shared" si="1"/>
        <v>0</v>
      </c>
    </row>
    <row r="45" spans="1:8" x14ac:dyDescent="0.45">
      <c r="A45" s="34"/>
      <c r="B45" s="4" t="s">
        <v>79</v>
      </c>
      <c r="C45" s="4" t="s">
        <v>80</v>
      </c>
      <c r="D45" s="22" t="s">
        <v>450</v>
      </c>
      <c r="E45" s="4">
        <f t="shared" si="2"/>
        <v>0</v>
      </c>
      <c r="F45" s="4">
        <v>1</v>
      </c>
      <c r="G45" s="5">
        <v>0</v>
      </c>
      <c r="H45" s="5">
        <f t="shared" si="1"/>
        <v>0</v>
      </c>
    </row>
    <row r="46" spans="1:8" x14ac:dyDescent="0.45">
      <c r="A46" s="34"/>
      <c r="B46" s="4" t="s">
        <v>81</v>
      </c>
      <c r="C46" s="4" t="s">
        <v>82</v>
      </c>
      <c r="D46" s="22" t="s">
        <v>450</v>
      </c>
      <c r="E46" s="4">
        <f t="shared" si="2"/>
        <v>0</v>
      </c>
      <c r="F46" s="4">
        <v>1</v>
      </c>
      <c r="G46" s="5">
        <v>0</v>
      </c>
      <c r="H46" s="5">
        <f t="shared" si="1"/>
        <v>0</v>
      </c>
    </row>
    <row r="47" spans="1:8" x14ac:dyDescent="0.45">
      <c r="A47" s="34"/>
      <c r="B47" s="4" t="s">
        <v>83</v>
      </c>
      <c r="C47" s="4" t="s">
        <v>84</v>
      </c>
      <c r="D47" s="22" t="s">
        <v>450</v>
      </c>
      <c r="E47" s="4">
        <f t="shared" si="2"/>
        <v>0</v>
      </c>
      <c r="F47" s="4">
        <v>1</v>
      </c>
      <c r="G47" s="5">
        <v>0</v>
      </c>
      <c r="H47" s="5">
        <f t="shared" si="1"/>
        <v>0</v>
      </c>
    </row>
    <row r="48" spans="1:8" x14ac:dyDescent="0.45">
      <c r="A48" s="35" t="s">
        <v>210</v>
      </c>
      <c r="B48" s="4" t="s">
        <v>55</v>
      </c>
      <c r="C48" s="4" t="s">
        <v>56</v>
      </c>
      <c r="D48" s="22" t="s">
        <v>450</v>
      </c>
      <c r="E48" s="4">
        <f t="shared" si="2"/>
        <v>0</v>
      </c>
      <c r="F48" s="4">
        <v>0.76400000000000001</v>
      </c>
      <c r="G48" s="5">
        <v>0</v>
      </c>
      <c r="H48" s="5">
        <f t="shared" si="1"/>
        <v>0</v>
      </c>
    </row>
    <row r="49" spans="1:9" x14ac:dyDescent="0.45">
      <c r="A49" s="36"/>
      <c r="B49" s="4" t="s">
        <v>57</v>
      </c>
      <c r="C49" s="4" t="s">
        <v>58</v>
      </c>
      <c r="D49" s="22" t="s">
        <v>450</v>
      </c>
      <c r="E49" s="4">
        <f t="shared" si="2"/>
        <v>14.157142857142858</v>
      </c>
      <c r="F49" s="4">
        <v>0.7</v>
      </c>
      <c r="G49" s="5">
        <v>9.91</v>
      </c>
      <c r="H49" s="5">
        <f t="shared" si="1"/>
        <v>1.4157142857142858E-2</v>
      </c>
      <c r="I49" t="s">
        <v>564</v>
      </c>
    </row>
    <row r="50" spans="1:9" x14ac:dyDescent="0.45">
      <c r="A50" s="36"/>
      <c r="B50" s="4" t="s">
        <v>59</v>
      </c>
      <c r="C50" s="4" t="s">
        <v>60</v>
      </c>
      <c r="D50" s="22" t="s">
        <v>450</v>
      </c>
      <c r="E50" s="4">
        <f t="shared" si="2"/>
        <v>0</v>
      </c>
      <c r="F50" s="4">
        <v>0.45</v>
      </c>
      <c r="G50" s="5">
        <v>0</v>
      </c>
      <c r="H50" s="5">
        <f t="shared" si="1"/>
        <v>0</v>
      </c>
    </row>
    <row r="51" spans="1:9" x14ac:dyDescent="0.45">
      <c r="A51" s="36"/>
      <c r="B51" s="4" t="s">
        <v>61</v>
      </c>
      <c r="C51" s="4" t="s">
        <v>62</v>
      </c>
      <c r="D51" s="22" t="s">
        <v>450</v>
      </c>
      <c r="E51" s="4">
        <f t="shared" si="2"/>
        <v>0</v>
      </c>
      <c r="F51" s="4">
        <v>0.88</v>
      </c>
      <c r="G51" s="5">
        <v>0</v>
      </c>
      <c r="H51" s="5">
        <f t="shared" si="1"/>
        <v>0</v>
      </c>
    </row>
    <row r="52" spans="1:9" x14ac:dyDescent="0.45">
      <c r="A52" s="36"/>
      <c r="B52" s="4" t="s">
        <v>85</v>
      </c>
      <c r="C52" s="4" t="s">
        <v>86</v>
      </c>
      <c r="D52" s="22" t="s">
        <v>450</v>
      </c>
      <c r="E52" s="19">
        <f t="shared" si="2"/>
        <v>84150.166666666657</v>
      </c>
      <c r="F52" s="4">
        <v>0.66</v>
      </c>
      <c r="G52" s="5">
        <v>55539.11</v>
      </c>
      <c r="H52" s="8">
        <f t="shared" si="1"/>
        <v>84.150166666666664</v>
      </c>
    </row>
    <row r="53" spans="1:9" x14ac:dyDescent="0.45">
      <c r="A53" s="36"/>
      <c r="B53" s="4" t="s">
        <v>87</v>
      </c>
      <c r="C53" s="4" t="s">
        <v>88</v>
      </c>
      <c r="D53" s="22" t="s">
        <v>450</v>
      </c>
      <c r="E53" s="19">
        <f t="shared" si="2"/>
        <v>8415.0166666666664</v>
      </c>
      <c r="F53" s="4">
        <v>0.66</v>
      </c>
      <c r="G53" s="5">
        <f>G52*0.1</f>
        <v>5553.9110000000001</v>
      </c>
      <c r="H53" s="8">
        <f t="shared" si="1"/>
        <v>8.4150166666666664</v>
      </c>
    </row>
    <row r="54" spans="1:9" x14ac:dyDescent="0.45">
      <c r="A54" s="36"/>
      <c r="B54" s="4" t="s">
        <v>89</v>
      </c>
      <c r="C54" s="4" t="s">
        <v>90</v>
      </c>
      <c r="D54" s="22" t="s">
        <v>450</v>
      </c>
      <c r="E54" s="4">
        <f t="shared" si="2"/>
        <v>0</v>
      </c>
      <c r="F54" s="4">
        <v>0.8</v>
      </c>
      <c r="G54" s="5">
        <v>0</v>
      </c>
      <c r="H54" s="5">
        <f t="shared" si="1"/>
        <v>0</v>
      </c>
    </row>
    <row r="55" spans="1:9" x14ac:dyDescent="0.45">
      <c r="A55" s="37"/>
      <c r="B55" s="4" t="s">
        <v>430</v>
      </c>
      <c r="C55" s="4" t="s">
        <v>431</v>
      </c>
      <c r="D55" s="22" t="s">
        <v>450</v>
      </c>
      <c r="E55" s="4">
        <f t="shared" si="2"/>
        <v>0</v>
      </c>
      <c r="F55" s="4">
        <v>1</v>
      </c>
      <c r="G55" s="5">
        <v>0</v>
      </c>
      <c r="H55" s="5">
        <f t="shared" si="1"/>
        <v>0</v>
      </c>
    </row>
    <row r="56" spans="1:9" x14ac:dyDescent="0.45">
      <c r="A56" s="34" t="s">
        <v>211</v>
      </c>
      <c r="B56" s="4" t="s">
        <v>91</v>
      </c>
      <c r="C56" s="4" t="s">
        <v>92</v>
      </c>
      <c r="D56" s="22" t="s">
        <v>450</v>
      </c>
      <c r="E56" s="4">
        <f t="shared" si="2"/>
        <v>0</v>
      </c>
      <c r="F56" s="4">
        <v>1</v>
      </c>
      <c r="G56" s="5">
        <v>0</v>
      </c>
      <c r="H56" s="5">
        <f t="shared" si="1"/>
        <v>0</v>
      </c>
    </row>
    <row r="57" spans="1:9" x14ac:dyDescent="0.45">
      <c r="A57" s="34"/>
      <c r="B57" s="4" t="s">
        <v>93</v>
      </c>
      <c r="C57" s="4" t="s">
        <v>94</v>
      </c>
      <c r="D57" s="22" t="s">
        <v>450</v>
      </c>
      <c r="E57" s="4">
        <f t="shared" si="2"/>
        <v>0</v>
      </c>
      <c r="F57" s="4">
        <v>1</v>
      </c>
      <c r="G57" s="5">
        <v>0</v>
      </c>
      <c r="H57" s="5">
        <f t="shared" si="1"/>
        <v>0</v>
      </c>
    </row>
    <row r="58" spans="1:9" x14ac:dyDescent="0.45">
      <c r="A58" s="34"/>
      <c r="B58" s="4" t="s">
        <v>95</v>
      </c>
      <c r="C58" s="4" t="s">
        <v>96</v>
      </c>
      <c r="D58" s="22" t="s">
        <v>450</v>
      </c>
      <c r="E58" s="19">
        <f t="shared" si="2"/>
        <v>185583.49999999997</v>
      </c>
      <c r="F58" s="4">
        <v>0.4</v>
      </c>
      <c r="G58" s="5">
        <v>74233.399999999994</v>
      </c>
      <c r="H58" s="8">
        <f t="shared" si="1"/>
        <v>185.58349999999996</v>
      </c>
    </row>
    <row r="59" spans="1:9" x14ac:dyDescent="0.45">
      <c r="A59" s="34" t="s">
        <v>212</v>
      </c>
      <c r="B59" s="4" t="s">
        <v>97</v>
      </c>
      <c r="C59" s="4" t="s">
        <v>98</v>
      </c>
      <c r="D59" s="22" t="s">
        <v>450</v>
      </c>
      <c r="E59" s="4">
        <f t="shared" si="2"/>
        <v>0</v>
      </c>
      <c r="F59" s="4">
        <v>0.95</v>
      </c>
      <c r="G59" s="5">
        <v>0</v>
      </c>
      <c r="H59" s="8">
        <f t="shared" si="1"/>
        <v>0</v>
      </c>
    </row>
    <row r="60" spans="1:9" x14ac:dyDescent="0.45">
      <c r="A60" s="34"/>
      <c r="B60" s="4" t="s">
        <v>99</v>
      </c>
      <c r="C60" s="4" t="s">
        <v>100</v>
      </c>
      <c r="D60" s="22" t="s">
        <v>450</v>
      </c>
      <c r="E60" s="4">
        <f t="shared" si="2"/>
        <v>0</v>
      </c>
      <c r="F60" s="4">
        <v>0.93</v>
      </c>
      <c r="G60" s="5">
        <v>0</v>
      </c>
      <c r="H60" s="8">
        <f t="shared" si="1"/>
        <v>0</v>
      </c>
    </row>
    <row r="61" spans="1:9" x14ac:dyDescent="0.45">
      <c r="A61" s="34" t="s">
        <v>382</v>
      </c>
      <c r="B61" s="4" t="s">
        <v>213</v>
      </c>
      <c r="C61" s="4" t="s">
        <v>101</v>
      </c>
      <c r="D61" s="22" t="s">
        <v>549</v>
      </c>
      <c r="E61" s="19">
        <f t="shared" si="2"/>
        <v>171913.0765717765</v>
      </c>
      <c r="F61" s="4">
        <v>0.65690000000000004</v>
      </c>
      <c r="G61" s="5">
        <v>112929.7</v>
      </c>
      <c r="H61" s="33">
        <f t="shared" si="1"/>
        <v>171.91307657177651</v>
      </c>
    </row>
    <row r="62" spans="1:9" x14ac:dyDescent="0.45">
      <c r="A62" s="34"/>
      <c r="B62" s="4" t="s">
        <v>214</v>
      </c>
      <c r="C62" s="4" t="s">
        <v>102</v>
      </c>
      <c r="D62" s="22" t="s">
        <v>549</v>
      </c>
      <c r="E62" s="19">
        <f t="shared" si="2"/>
        <v>114269.41527291585</v>
      </c>
      <c r="F62" s="4">
        <v>0.77129999999999999</v>
      </c>
      <c r="G62" s="5">
        <v>88136</v>
      </c>
      <c r="H62" s="33">
        <f t="shared" si="1"/>
        <v>114.26941527291585</v>
      </c>
    </row>
    <row r="63" spans="1:9" x14ac:dyDescent="0.45">
      <c r="A63" s="34"/>
      <c r="B63" s="4" t="s">
        <v>215</v>
      </c>
      <c r="C63" s="4" t="s">
        <v>103</v>
      </c>
      <c r="D63" s="22" t="s">
        <v>549</v>
      </c>
      <c r="E63" s="19">
        <f t="shared" si="2"/>
        <v>69624.056662905845</v>
      </c>
      <c r="F63" s="4">
        <v>0.79770000000000008</v>
      </c>
      <c r="G63" s="5">
        <v>55539.11</v>
      </c>
      <c r="H63" s="33">
        <f t="shared" si="1"/>
        <v>69.624056662905843</v>
      </c>
    </row>
    <row r="64" spans="1:9" x14ac:dyDescent="0.45">
      <c r="A64" s="34"/>
      <c r="B64" s="4" t="s">
        <v>216</v>
      </c>
      <c r="C64" s="4" t="s">
        <v>206</v>
      </c>
      <c r="D64" s="22" t="s">
        <v>549</v>
      </c>
      <c r="E64" s="4">
        <f t="shared" si="2"/>
        <v>0</v>
      </c>
      <c r="F64" s="4">
        <v>0.99</v>
      </c>
      <c r="G64" s="5">
        <v>0</v>
      </c>
      <c r="H64" s="33">
        <f t="shared" si="1"/>
        <v>0</v>
      </c>
    </row>
    <row r="65" spans="1:8" x14ac:dyDescent="0.45">
      <c r="A65" s="34"/>
      <c r="B65" s="4" t="s">
        <v>217</v>
      </c>
      <c r="C65" s="4" t="s">
        <v>104</v>
      </c>
      <c r="D65" s="22" t="s">
        <v>549</v>
      </c>
      <c r="E65" s="4">
        <f t="shared" si="2"/>
        <v>0</v>
      </c>
      <c r="F65" s="4">
        <v>0.92</v>
      </c>
      <c r="G65" s="5">
        <v>0</v>
      </c>
      <c r="H65" s="33">
        <f t="shared" si="1"/>
        <v>0</v>
      </c>
    </row>
    <row r="66" spans="1:8" x14ac:dyDescent="0.45">
      <c r="A66" s="34" t="s">
        <v>219</v>
      </c>
      <c r="B66" s="4" t="s">
        <v>105</v>
      </c>
      <c r="C66" s="4" t="s">
        <v>106</v>
      </c>
      <c r="D66" s="22" t="s">
        <v>549</v>
      </c>
      <c r="E66" s="19">
        <f t="shared" si="2"/>
        <v>152695.77269577267</v>
      </c>
      <c r="F66" s="4">
        <v>0.57720000000000005</v>
      </c>
      <c r="G66" s="5">
        <v>88136</v>
      </c>
      <c r="H66" s="33">
        <f t="shared" si="1"/>
        <v>152.69577269577266</v>
      </c>
    </row>
    <row r="67" spans="1:8" x14ac:dyDescent="0.45">
      <c r="A67" s="34"/>
      <c r="B67" s="4" t="s">
        <v>107</v>
      </c>
      <c r="C67" s="4" t="s">
        <v>108</v>
      </c>
      <c r="D67" s="22" t="s">
        <v>549</v>
      </c>
      <c r="E67" s="19">
        <f t="shared" si="2"/>
        <v>95362.48282967032</v>
      </c>
      <c r="F67" s="4">
        <v>0.58240000000000003</v>
      </c>
      <c r="G67" s="5">
        <v>55539.11</v>
      </c>
      <c r="H67" s="33">
        <f t="shared" si="1"/>
        <v>95.362482829670313</v>
      </c>
    </row>
    <row r="68" spans="1:8" x14ac:dyDescent="0.45">
      <c r="A68" s="34"/>
      <c r="B68" s="4" t="s">
        <v>109</v>
      </c>
      <c r="C68" s="4" t="s">
        <v>110</v>
      </c>
      <c r="D68" s="22" t="s">
        <v>549</v>
      </c>
      <c r="E68" s="4">
        <f t="shared" si="2"/>
        <v>0</v>
      </c>
      <c r="F68" s="4">
        <v>0.92</v>
      </c>
      <c r="G68" s="5">
        <v>0</v>
      </c>
      <c r="H68" s="33">
        <f t="shared" ref="H68:H104" si="3">E68/1000</f>
        <v>0</v>
      </c>
    </row>
    <row r="69" spans="1:8" x14ac:dyDescent="0.45">
      <c r="A69" s="34" t="s">
        <v>220</v>
      </c>
      <c r="B69" s="4" t="s">
        <v>111</v>
      </c>
      <c r="C69" s="4" t="s">
        <v>112</v>
      </c>
      <c r="D69" s="22" t="s">
        <v>549</v>
      </c>
      <c r="E69" s="19">
        <f t="shared" si="2"/>
        <v>100414.22889170132</v>
      </c>
      <c r="F69" s="4">
        <v>0.55310000000000004</v>
      </c>
      <c r="G69" s="5">
        <v>55539.11</v>
      </c>
      <c r="H69" s="33">
        <f t="shared" si="3"/>
        <v>100.41422889170133</v>
      </c>
    </row>
    <row r="70" spans="1:8" x14ac:dyDescent="0.45">
      <c r="A70" s="34"/>
      <c r="B70" s="4" t="s">
        <v>113</v>
      </c>
      <c r="C70" s="4" t="s">
        <v>114</v>
      </c>
      <c r="D70" s="22" t="s">
        <v>549</v>
      </c>
      <c r="E70" s="4">
        <f t="shared" si="2"/>
        <v>0</v>
      </c>
      <c r="F70" s="4">
        <v>0.92</v>
      </c>
      <c r="G70" s="5">
        <v>0</v>
      </c>
      <c r="H70" s="33">
        <f t="shared" si="3"/>
        <v>0</v>
      </c>
    </row>
    <row r="71" spans="1:8" x14ac:dyDescent="0.45">
      <c r="A71" s="34" t="s">
        <v>221</v>
      </c>
      <c r="B71" s="4" t="s">
        <v>115</v>
      </c>
      <c r="C71" s="4" t="s">
        <v>116</v>
      </c>
      <c r="D71" s="22" t="s">
        <v>549</v>
      </c>
      <c r="E71" s="19">
        <f t="shared" si="2"/>
        <v>126705.00287521564</v>
      </c>
      <c r="F71" s="4">
        <v>0.6956</v>
      </c>
      <c r="G71" s="5">
        <v>88136</v>
      </c>
      <c r="H71" s="33">
        <f t="shared" si="3"/>
        <v>126.70500287521564</v>
      </c>
    </row>
    <row r="72" spans="1:8" x14ac:dyDescent="0.45">
      <c r="A72" s="34"/>
      <c r="B72" s="4" t="s">
        <v>117</v>
      </c>
      <c r="C72" s="4" t="s">
        <v>118</v>
      </c>
      <c r="D72" s="22" t="s">
        <v>549</v>
      </c>
      <c r="E72" s="19">
        <f t="shared" si="2"/>
        <v>69009.828528827027</v>
      </c>
      <c r="F72" s="4">
        <v>0.80480000000000007</v>
      </c>
      <c r="G72" s="5">
        <v>55539.11</v>
      </c>
      <c r="H72" s="33">
        <f t="shared" si="3"/>
        <v>69.009828528827029</v>
      </c>
    </row>
    <row r="73" spans="1:8" x14ac:dyDescent="0.45">
      <c r="A73" s="34"/>
      <c r="B73" s="4" t="s">
        <v>119</v>
      </c>
      <c r="C73" s="4" t="s">
        <v>120</v>
      </c>
      <c r="D73" s="22" t="s">
        <v>549</v>
      </c>
      <c r="E73" s="4">
        <f t="shared" si="2"/>
        <v>0</v>
      </c>
      <c r="F73" s="4">
        <v>0.99</v>
      </c>
      <c r="G73" s="5">
        <v>0</v>
      </c>
      <c r="H73" s="33">
        <f t="shared" si="3"/>
        <v>0</v>
      </c>
    </row>
    <row r="74" spans="1:8" x14ac:dyDescent="0.45">
      <c r="A74" s="34"/>
      <c r="B74" s="4" t="s">
        <v>121</v>
      </c>
      <c r="C74" s="4" t="s">
        <v>122</v>
      </c>
      <c r="D74" s="22" t="s">
        <v>549</v>
      </c>
      <c r="E74" s="4">
        <f t="shared" si="2"/>
        <v>0</v>
      </c>
      <c r="F74" s="4">
        <v>0.92</v>
      </c>
      <c r="G74" s="5">
        <v>0</v>
      </c>
      <c r="H74" s="33">
        <f t="shared" si="3"/>
        <v>0</v>
      </c>
    </row>
    <row r="75" spans="1:8" x14ac:dyDescent="0.45">
      <c r="A75" s="34" t="s">
        <v>222</v>
      </c>
      <c r="B75" s="4" t="s">
        <v>123</v>
      </c>
      <c r="C75" s="4" t="s">
        <v>124</v>
      </c>
      <c r="D75" s="22" t="s">
        <v>549</v>
      </c>
      <c r="E75" s="19">
        <f t="shared" si="2"/>
        <v>89637.040025823109</v>
      </c>
      <c r="F75" s="4">
        <v>0.61960000000000004</v>
      </c>
      <c r="G75" s="5">
        <v>55539.11</v>
      </c>
      <c r="H75" s="33">
        <f t="shared" si="3"/>
        <v>89.637040025823111</v>
      </c>
    </row>
    <row r="76" spans="1:8" x14ac:dyDescent="0.45">
      <c r="A76" s="34"/>
      <c r="B76" s="4" t="s">
        <v>125</v>
      </c>
      <c r="C76" s="4" t="s">
        <v>126</v>
      </c>
      <c r="D76" s="22" t="s">
        <v>549</v>
      </c>
      <c r="E76" s="4">
        <f t="shared" si="2"/>
        <v>0</v>
      </c>
      <c r="F76" s="4">
        <v>0.92</v>
      </c>
      <c r="G76" s="5">
        <v>0</v>
      </c>
      <c r="H76" s="33">
        <f t="shared" si="3"/>
        <v>0</v>
      </c>
    </row>
    <row r="77" spans="1:8" x14ac:dyDescent="0.45">
      <c r="A77" s="34" t="s">
        <v>223</v>
      </c>
      <c r="B77" s="4" t="s">
        <v>127</v>
      </c>
      <c r="C77" s="4" t="s">
        <v>128</v>
      </c>
      <c r="D77" s="22" t="s">
        <v>549</v>
      </c>
      <c r="E77" s="19">
        <f t="shared" si="2"/>
        <v>158364.46501191976</v>
      </c>
      <c r="F77" s="4">
        <v>0.71310000000000007</v>
      </c>
      <c r="G77" s="5">
        <v>112929.7</v>
      </c>
      <c r="H77" s="33">
        <f t="shared" si="3"/>
        <v>158.36446501191975</v>
      </c>
    </row>
    <row r="78" spans="1:8" x14ac:dyDescent="0.45">
      <c r="A78" s="34"/>
      <c r="B78" s="4" t="s">
        <v>129</v>
      </c>
      <c r="C78" s="4" t="s">
        <v>130</v>
      </c>
      <c r="D78" s="22" t="s">
        <v>549</v>
      </c>
      <c r="E78" s="19">
        <f t="shared" si="2"/>
        <v>122717.90587580061</v>
      </c>
      <c r="F78" s="4">
        <v>0.71819999999999995</v>
      </c>
      <c r="G78" s="5">
        <v>88136</v>
      </c>
      <c r="H78" s="33">
        <f t="shared" si="3"/>
        <v>122.71790587580061</v>
      </c>
    </row>
    <row r="79" spans="1:8" x14ac:dyDescent="0.45">
      <c r="A79" s="34"/>
      <c r="B79" s="4" t="s">
        <v>131</v>
      </c>
      <c r="C79" s="4" t="s">
        <v>132</v>
      </c>
      <c r="D79" s="22" t="s">
        <v>549</v>
      </c>
      <c r="E79" s="19">
        <f t="shared" si="2"/>
        <v>79591.731155058762</v>
      </c>
      <c r="F79" s="4">
        <v>0.69779999999999998</v>
      </c>
      <c r="G79" s="5">
        <v>55539.11</v>
      </c>
      <c r="H79" s="33">
        <f t="shared" si="3"/>
        <v>79.591731155058767</v>
      </c>
    </row>
    <row r="80" spans="1:8" x14ac:dyDescent="0.45">
      <c r="A80" s="34"/>
      <c r="B80" s="4" t="s">
        <v>133</v>
      </c>
      <c r="C80" s="4" t="s">
        <v>134</v>
      </c>
      <c r="D80" s="22" t="s">
        <v>549</v>
      </c>
      <c r="E80" s="4">
        <f t="shared" si="2"/>
        <v>0</v>
      </c>
      <c r="F80" s="4">
        <v>0.99</v>
      </c>
      <c r="G80" s="5">
        <v>0</v>
      </c>
      <c r="H80" s="33">
        <f t="shared" si="3"/>
        <v>0</v>
      </c>
    </row>
    <row r="81" spans="1:8" x14ac:dyDescent="0.45">
      <c r="A81" s="34"/>
      <c r="B81" s="4" t="s">
        <v>135</v>
      </c>
      <c r="C81" s="4" t="s">
        <v>136</v>
      </c>
      <c r="D81" s="22" t="s">
        <v>549</v>
      </c>
      <c r="E81" s="4">
        <f t="shared" si="2"/>
        <v>0</v>
      </c>
      <c r="F81" s="4">
        <v>0.92</v>
      </c>
      <c r="G81" s="5">
        <v>0</v>
      </c>
      <c r="H81" s="33">
        <f t="shared" si="3"/>
        <v>0</v>
      </c>
    </row>
    <row r="82" spans="1:8" x14ac:dyDescent="0.45">
      <c r="A82" s="34" t="s">
        <v>224</v>
      </c>
      <c r="B82" s="4" t="s">
        <v>137</v>
      </c>
      <c r="C82" s="4" t="s">
        <v>138</v>
      </c>
      <c r="D82" s="22" t="s">
        <v>549</v>
      </c>
      <c r="E82" s="19">
        <f t="shared" si="2"/>
        <v>134970.90352220519</v>
      </c>
      <c r="F82" s="4">
        <v>0.65300000000000002</v>
      </c>
      <c r="G82" s="5">
        <v>88136</v>
      </c>
      <c r="H82" s="33">
        <f t="shared" si="3"/>
        <v>134.97090352220519</v>
      </c>
    </row>
    <row r="83" spans="1:8" x14ac:dyDescent="0.45">
      <c r="A83" s="34"/>
      <c r="B83" s="4" t="s">
        <v>139</v>
      </c>
      <c r="C83" s="4" t="s">
        <v>140</v>
      </c>
      <c r="D83" s="22" t="s">
        <v>549</v>
      </c>
      <c r="E83" s="19">
        <f t="shared" si="2"/>
        <v>84534.414003044134</v>
      </c>
      <c r="F83" s="4">
        <v>0.65700000000000003</v>
      </c>
      <c r="G83" s="5">
        <v>55539.11</v>
      </c>
      <c r="H83" s="33">
        <f t="shared" si="3"/>
        <v>84.534414003044134</v>
      </c>
    </row>
    <row r="84" spans="1:8" x14ac:dyDescent="0.45">
      <c r="A84" s="34"/>
      <c r="B84" s="4" t="s">
        <v>141</v>
      </c>
      <c r="C84" s="4" t="s">
        <v>142</v>
      </c>
      <c r="D84" s="22" t="s">
        <v>549</v>
      </c>
      <c r="E84" s="4">
        <f t="shared" si="2"/>
        <v>0</v>
      </c>
      <c r="F84" s="4">
        <v>0.99</v>
      </c>
      <c r="G84" s="5">
        <v>0</v>
      </c>
      <c r="H84" s="33">
        <f t="shared" si="3"/>
        <v>0</v>
      </c>
    </row>
    <row r="85" spans="1:8" x14ac:dyDescent="0.45">
      <c r="A85" s="34"/>
      <c r="B85" s="4" t="s">
        <v>143</v>
      </c>
      <c r="C85" s="4" t="s">
        <v>144</v>
      </c>
      <c r="D85" s="22" t="s">
        <v>549</v>
      </c>
      <c r="E85" s="4">
        <f t="shared" si="2"/>
        <v>0</v>
      </c>
      <c r="F85" s="4">
        <v>0.92</v>
      </c>
      <c r="G85" s="5">
        <v>0</v>
      </c>
      <c r="H85" s="33">
        <f t="shared" si="3"/>
        <v>0</v>
      </c>
    </row>
    <row r="86" spans="1:8" x14ac:dyDescent="0.45">
      <c r="A86" s="34" t="s">
        <v>225</v>
      </c>
      <c r="B86" s="4" t="s">
        <v>145</v>
      </c>
      <c r="C86" s="4" t="s">
        <v>146</v>
      </c>
      <c r="D86" s="22" t="s">
        <v>450</v>
      </c>
      <c r="E86" s="19">
        <f>G86/F86</f>
        <v>994722.22222222225</v>
      </c>
      <c r="F86" s="4">
        <v>0.09</v>
      </c>
      <c r="G86" s="5">
        <v>89525</v>
      </c>
      <c r="H86" s="33">
        <f t="shared" si="3"/>
        <v>994.72222222222229</v>
      </c>
    </row>
    <row r="87" spans="1:8" x14ac:dyDescent="0.45">
      <c r="A87" s="34"/>
      <c r="B87" s="4" t="s">
        <v>147</v>
      </c>
      <c r="C87" s="4" t="s">
        <v>148</v>
      </c>
      <c r="D87" s="22" t="s">
        <v>450</v>
      </c>
      <c r="E87" s="19">
        <f t="shared" ref="E87:E104" si="4">G87/F87</f>
        <v>120737.1956521739</v>
      </c>
      <c r="F87" s="4">
        <v>0.46</v>
      </c>
      <c r="G87" s="5">
        <v>55539.11</v>
      </c>
      <c r="H87" s="33">
        <f t="shared" si="3"/>
        <v>120.73719565217391</v>
      </c>
    </row>
    <row r="88" spans="1:8" x14ac:dyDescent="0.45">
      <c r="A88" s="34"/>
      <c r="B88" s="4" t="s">
        <v>149</v>
      </c>
      <c r="C88" s="4" t="s">
        <v>150</v>
      </c>
      <c r="D88" s="22" t="s">
        <v>450</v>
      </c>
      <c r="E88" s="4">
        <f t="shared" si="4"/>
        <v>0</v>
      </c>
      <c r="F88" s="4">
        <v>0.7</v>
      </c>
      <c r="G88" s="5">
        <v>0</v>
      </c>
      <c r="H88" s="33">
        <f t="shared" si="3"/>
        <v>0</v>
      </c>
    </row>
    <row r="89" spans="1:8" x14ac:dyDescent="0.45">
      <c r="A89" s="34"/>
      <c r="B89" s="4" t="s">
        <v>151</v>
      </c>
      <c r="C89" s="4" t="s">
        <v>152</v>
      </c>
      <c r="D89" s="22" t="s">
        <v>450</v>
      </c>
      <c r="E89" s="19">
        <f t="shared" si="4"/>
        <v>139968.95833333334</v>
      </c>
      <c r="F89" s="4">
        <v>0.48</v>
      </c>
      <c r="G89" s="5">
        <v>67185.100000000006</v>
      </c>
      <c r="H89" s="33">
        <f t="shared" si="3"/>
        <v>139.96895833333335</v>
      </c>
    </row>
    <row r="90" spans="1:8" x14ac:dyDescent="0.45">
      <c r="A90" s="34" t="s">
        <v>226</v>
      </c>
      <c r="B90" s="4" t="s">
        <v>153</v>
      </c>
      <c r="C90" s="4" t="s">
        <v>154</v>
      </c>
      <c r="D90" s="22" t="s">
        <v>450</v>
      </c>
      <c r="E90" s="4">
        <f t="shared" si="4"/>
        <v>0</v>
      </c>
      <c r="F90" s="4">
        <v>0.14000000000000001</v>
      </c>
      <c r="G90" s="5">
        <v>0</v>
      </c>
      <c r="H90" s="33">
        <f t="shared" si="3"/>
        <v>0</v>
      </c>
    </row>
    <row r="91" spans="1:8" x14ac:dyDescent="0.45">
      <c r="A91" s="34"/>
      <c r="B91" s="4" t="s">
        <v>155</v>
      </c>
      <c r="C91" s="4" t="s">
        <v>156</v>
      </c>
      <c r="D91" s="22" t="s">
        <v>450</v>
      </c>
      <c r="E91" s="4">
        <f t="shared" si="4"/>
        <v>0</v>
      </c>
      <c r="F91" s="4">
        <v>0.3</v>
      </c>
      <c r="G91" s="5">
        <v>0</v>
      </c>
      <c r="H91" s="33">
        <f t="shared" si="3"/>
        <v>0</v>
      </c>
    </row>
    <row r="92" spans="1:8" x14ac:dyDescent="0.45">
      <c r="A92" s="34" t="s">
        <v>227</v>
      </c>
      <c r="B92" s="4" t="s">
        <v>157</v>
      </c>
      <c r="C92" s="4" t="s">
        <v>158</v>
      </c>
      <c r="D92" s="22" t="s">
        <v>450</v>
      </c>
      <c r="E92" s="4">
        <f t="shared" si="4"/>
        <v>0</v>
      </c>
      <c r="F92" s="4">
        <v>0.06</v>
      </c>
      <c r="G92" s="5">
        <v>0</v>
      </c>
      <c r="H92" s="33">
        <f t="shared" si="3"/>
        <v>0</v>
      </c>
    </row>
    <row r="93" spans="1:8" x14ac:dyDescent="0.45">
      <c r="A93" s="34"/>
      <c r="B93" s="4" t="s">
        <v>159</v>
      </c>
      <c r="C93" s="4" t="s">
        <v>160</v>
      </c>
      <c r="D93" s="22" t="s">
        <v>450</v>
      </c>
      <c r="E93" s="4">
        <f t="shared" si="4"/>
        <v>0</v>
      </c>
      <c r="F93" s="4">
        <v>0.14599999999999999</v>
      </c>
      <c r="G93" s="5">
        <v>0</v>
      </c>
      <c r="H93" s="33">
        <f t="shared" si="3"/>
        <v>0</v>
      </c>
    </row>
    <row r="94" spans="1:8" x14ac:dyDescent="0.45">
      <c r="A94" s="34" t="s">
        <v>228</v>
      </c>
      <c r="B94" s="4" t="s">
        <v>161</v>
      </c>
      <c r="C94" s="4" t="s">
        <v>162</v>
      </c>
      <c r="D94" s="22" t="s">
        <v>450</v>
      </c>
      <c r="E94" s="4">
        <f t="shared" si="4"/>
        <v>0</v>
      </c>
      <c r="F94" s="4">
        <v>0.3</v>
      </c>
      <c r="G94" s="5">
        <v>0</v>
      </c>
      <c r="H94" s="33">
        <f t="shared" si="3"/>
        <v>0</v>
      </c>
    </row>
    <row r="95" spans="1:8" x14ac:dyDescent="0.45">
      <c r="A95" s="34"/>
      <c r="B95" s="4" t="s">
        <v>163</v>
      </c>
      <c r="C95" s="4" t="s">
        <v>164</v>
      </c>
      <c r="D95" s="22" t="s">
        <v>450</v>
      </c>
      <c r="E95" s="4">
        <f t="shared" si="4"/>
        <v>0</v>
      </c>
      <c r="F95" s="4">
        <v>0.41</v>
      </c>
      <c r="G95" s="5">
        <v>0</v>
      </c>
      <c r="H95" s="33">
        <f t="shared" si="3"/>
        <v>0</v>
      </c>
    </row>
    <row r="96" spans="1:8" x14ac:dyDescent="0.45">
      <c r="A96" s="34" t="s">
        <v>229</v>
      </c>
      <c r="B96" s="4" t="s">
        <v>165</v>
      </c>
      <c r="C96" s="4" t="s">
        <v>166</v>
      </c>
      <c r="D96" s="22" t="s">
        <v>450</v>
      </c>
      <c r="E96" s="19">
        <f t="shared" si="4"/>
        <v>66914.590361445793</v>
      </c>
      <c r="F96" s="4">
        <v>0.83</v>
      </c>
      <c r="G96" s="5">
        <v>55539.11</v>
      </c>
      <c r="H96" s="33">
        <f t="shared" si="3"/>
        <v>66.914590361445789</v>
      </c>
    </row>
    <row r="97" spans="1:9" x14ac:dyDescent="0.45">
      <c r="A97" s="34"/>
      <c r="B97" s="4" t="s">
        <v>167</v>
      </c>
      <c r="C97" s="4" t="s">
        <v>168</v>
      </c>
      <c r="D97" s="22" t="s">
        <v>450</v>
      </c>
      <c r="E97" s="4">
        <f t="shared" si="4"/>
        <v>0</v>
      </c>
      <c r="F97" s="4">
        <v>0.9</v>
      </c>
      <c r="G97" s="5">
        <v>0</v>
      </c>
      <c r="H97" s="33">
        <f t="shared" si="3"/>
        <v>0</v>
      </c>
    </row>
    <row r="98" spans="1:9" x14ac:dyDescent="0.45">
      <c r="A98" s="34" t="s">
        <v>230</v>
      </c>
      <c r="B98" s="4" t="s">
        <v>169</v>
      </c>
      <c r="C98" s="4" t="s">
        <v>170</v>
      </c>
      <c r="D98" s="22" t="s">
        <v>450</v>
      </c>
      <c r="E98" s="4">
        <f t="shared" si="4"/>
        <v>0</v>
      </c>
      <c r="F98" s="4">
        <v>0.11</v>
      </c>
      <c r="G98" s="5">
        <v>0</v>
      </c>
      <c r="H98" s="33">
        <f t="shared" si="3"/>
        <v>0</v>
      </c>
    </row>
    <row r="99" spans="1:9" x14ac:dyDescent="0.45">
      <c r="A99" s="34"/>
      <c r="B99" s="4" t="s">
        <v>171</v>
      </c>
      <c r="C99" s="4" t="s">
        <v>172</v>
      </c>
      <c r="D99" s="22" t="s">
        <v>450</v>
      </c>
      <c r="E99" s="4">
        <f t="shared" si="4"/>
        <v>0</v>
      </c>
      <c r="F99" s="4">
        <v>0.35</v>
      </c>
      <c r="G99" s="5">
        <v>0</v>
      </c>
      <c r="H99" s="33">
        <f t="shared" si="3"/>
        <v>0</v>
      </c>
    </row>
    <row r="100" spans="1:9" x14ac:dyDescent="0.45">
      <c r="A100" s="34" t="s">
        <v>231</v>
      </c>
      <c r="B100" s="4" t="s">
        <v>173</v>
      </c>
      <c r="C100" s="4" t="s">
        <v>174</v>
      </c>
      <c r="D100" s="22" t="s">
        <v>450</v>
      </c>
      <c r="E100" s="4">
        <f t="shared" si="4"/>
        <v>0</v>
      </c>
      <c r="F100" s="4">
        <v>0.22</v>
      </c>
      <c r="G100" s="5">
        <v>0</v>
      </c>
      <c r="H100" s="33">
        <f t="shared" si="3"/>
        <v>0</v>
      </c>
    </row>
    <row r="101" spans="1:9" x14ac:dyDescent="0.45">
      <c r="A101" s="34"/>
      <c r="B101" s="4" t="s">
        <v>175</v>
      </c>
      <c r="C101" s="4" t="s">
        <v>176</v>
      </c>
      <c r="D101" s="22" t="s">
        <v>450</v>
      </c>
      <c r="E101" s="4">
        <f t="shared" si="4"/>
        <v>0</v>
      </c>
      <c r="F101" s="4">
        <v>0.33</v>
      </c>
      <c r="G101" s="5">
        <v>0</v>
      </c>
      <c r="H101" s="33">
        <f t="shared" si="3"/>
        <v>0</v>
      </c>
    </row>
    <row r="102" spans="1:9" x14ac:dyDescent="0.45">
      <c r="A102" s="34" t="s">
        <v>232</v>
      </c>
      <c r="B102" s="4" t="s">
        <v>177</v>
      </c>
      <c r="C102" s="4" t="s">
        <v>178</v>
      </c>
      <c r="D102" s="22" t="s">
        <v>450</v>
      </c>
      <c r="E102" s="4">
        <f t="shared" si="4"/>
        <v>0</v>
      </c>
      <c r="F102" s="4">
        <v>0.32</v>
      </c>
      <c r="G102" s="5">
        <v>0</v>
      </c>
      <c r="H102" s="33">
        <f t="shared" si="3"/>
        <v>0</v>
      </c>
    </row>
    <row r="103" spans="1:9" x14ac:dyDescent="0.45">
      <c r="A103" s="34"/>
      <c r="B103" s="4" t="s">
        <v>179</v>
      </c>
      <c r="C103" s="4" t="s">
        <v>180</v>
      </c>
      <c r="D103" s="22" t="s">
        <v>450</v>
      </c>
      <c r="E103" s="4">
        <f t="shared" si="4"/>
        <v>0</v>
      </c>
      <c r="F103" s="4">
        <v>0.42</v>
      </c>
      <c r="G103" s="5">
        <v>0</v>
      </c>
      <c r="H103" s="33">
        <f t="shared" si="3"/>
        <v>0</v>
      </c>
    </row>
    <row r="104" spans="1:9" ht="52.5" x14ac:dyDescent="0.45">
      <c r="A104" s="4" t="s">
        <v>233</v>
      </c>
      <c r="B104" s="4" t="s">
        <v>381</v>
      </c>
      <c r="C104" s="4" t="s">
        <v>181</v>
      </c>
      <c r="D104" s="22" t="s">
        <v>450</v>
      </c>
      <c r="E104" s="4">
        <f t="shared" si="4"/>
        <v>0</v>
      </c>
      <c r="F104" s="4">
        <v>0.33</v>
      </c>
      <c r="G104" s="5">
        <v>0</v>
      </c>
      <c r="H104" s="33">
        <f t="shared" si="3"/>
        <v>0</v>
      </c>
    </row>
    <row r="105" spans="1:9" x14ac:dyDescent="0.45">
      <c r="A105" s="34" t="s">
        <v>297</v>
      </c>
      <c r="B105" s="4" t="s">
        <v>280</v>
      </c>
      <c r="C105" s="4" t="s">
        <v>325</v>
      </c>
      <c r="D105" s="4" t="s">
        <v>451</v>
      </c>
      <c r="E105" s="24">
        <f>F105*G105</f>
        <v>1.4341845274747032E-4</v>
      </c>
      <c r="F105" s="4">
        <v>2048</v>
      </c>
      <c r="G105" s="26">
        <f>K13/(10^12)</f>
        <v>7.0028541380600743E-8</v>
      </c>
      <c r="H105" s="33">
        <f>E105*1000000</f>
        <v>143.41845274747033</v>
      </c>
      <c r="I105" s="28" t="s">
        <v>550</v>
      </c>
    </row>
    <row r="106" spans="1:9" x14ac:dyDescent="0.45">
      <c r="A106" s="34"/>
      <c r="B106" s="4" t="s">
        <v>281</v>
      </c>
      <c r="C106" s="4" t="s">
        <v>326</v>
      </c>
      <c r="D106" s="4" t="s">
        <v>451</v>
      </c>
      <c r="E106" s="24">
        <f t="shared" ref="E106:E107" si="5">F106*G106</f>
        <v>1.3642777452492624E-4</v>
      </c>
      <c r="F106" s="4">
        <v>1884</v>
      </c>
      <c r="G106" s="26">
        <f>O13/(10^12)</f>
        <v>7.241389305993961E-8</v>
      </c>
      <c r="H106" s="33">
        <f t="shared" ref="H106:H150" si="6">E106*1000000</f>
        <v>136.42777452492624</v>
      </c>
      <c r="I106" s="28" t="s">
        <v>550</v>
      </c>
    </row>
    <row r="107" spans="1:9" x14ac:dyDescent="0.45">
      <c r="A107" s="34"/>
      <c r="B107" s="4" t="s">
        <v>282</v>
      </c>
      <c r="C107" s="4" t="s">
        <v>327</v>
      </c>
      <c r="D107" s="4" t="s">
        <v>451</v>
      </c>
      <c r="E107" s="24">
        <f t="shared" si="5"/>
        <v>1.0713494319E-4</v>
      </c>
      <c r="F107" s="4">
        <v>1929</v>
      </c>
      <c r="G107" s="26">
        <f>55539.11/(10^12)</f>
        <v>5.5539110000000001E-8</v>
      </c>
      <c r="H107" s="33">
        <f t="shared" si="6"/>
        <v>107.13494319</v>
      </c>
      <c r="I107" s="28" t="s">
        <v>550</v>
      </c>
    </row>
    <row r="108" spans="1:9" x14ac:dyDescent="0.45">
      <c r="A108" s="34"/>
      <c r="B108" s="4" t="s">
        <v>283</v>
      </c>
      <c r="C108" s="4" t="s">
        <v>328</v>
      </c>
      <c r="D108" s="4" t="s">
        <v>451</v>
      </c>
      <c r="E108" s="4">
        <v>0</v>
      </c>
      <c r="F108" s="4">
        <v>360</v>
      </c>
      <c r="G108" s="26">
        <v>0</v>
      </c>
      <c r="H108" s="33">
        <f t="shared" si="6"/>
        <v>0</v>
      </c>
      <c r="I108" s="28" t="s">
        <v>550</v>
      </c>
    </row>
    <row r="109" spans="1:9" x14ac:dyDescent="0.45">
      <c r="A109" s="34"/>
      <c r="B109" s="4" t="s">
        <v>284</v>
      </c>
      <c r="C109" s="4" t="s">
        <v>329</v>
      </c>
      <c r="D109" s="4" t="s">
        <v>451</v>
      </c>
      <c r="E109" s="4">
        <v>6.5199999999999999E-5</v>
      </c>
      <c r="F109" s="4">
        <v>193</v>
      </c>
      <c r="G109" s="26">
        <f>E109/F109</f>
        <v>3.378238341968912E-7</v>
      </c>
      <c r="H109" s="33">
        <f t="shared" si="6"/>
        <v>65.2</v>
      </c>
      <c r="I109" s="28" t="s">
        <v>550</v>
      </c>
    </row>
    <row r="110" spans="1:9" x14ac:dyDescent="0.45">
      <c r="A110" s="34"/>
      <c r="B110" s="4" t="s">
        <v>291</v>
      </c>
      <c r="C110" s="4" t="s">
        <v>330</v>
      </c>
      <c r="D110" s="4" t="s">
        <v>451</v>
      </c>
      <c r="E110" s="4">
        <v>0</v>
      </c>
      <c r="F110" s="4">
        <v>827</v>
      </c>
      <c r="G110" s="26">
        <v>0</v>
      </c>
      <c r="H110" s="33">
        <f t="shared" si="6"/>
        <v>0</v>
      </c>
      <c r="I110" s="28" t="s">
        <v>550</v>
      </c>
    </row>
    <row r="111" spans="1:9" x14ac:dyDescent="0.45">
      <c r="A111" s="34"/>
      <c r="B111" s="4" t="s">
        <v>285</v>
      </c>
      <c r="C111" s="4" t="s">
        <v>331</v>
      </c>
      <c r="D111" s="4" t="s">
        <v>451</v>
      </c>
      <c r="E111" s="24">
        <f>F111*G111</f>
        <v>2.6540817183247681E-4</v>
      </c>
      <c r="F111" s="4">
        <v>3790</v>
      </c>
      <c r="G111" s="26">
        <f>K13/(10^12)</f>
        <v>7.0028541380600743E-8</v>
      </c>
      <c r="H111" s="33">
        <f t="shared" si="6"/>
        <v>265.4081718324768</v>
      </c>
      <c r="I111" s="28" t="s">
        <v>550</v>
      </c>
    </row>
    <row r="112" spans="1:9" x14ac:dyDescent="0.45">
      <c r="A112" s="34"/>
      <c r="B112" s="4" t="s">
        <v>286</v>
      </c>
      <c r="C112" s="4" t="s">
        <v>332</v>
      </c>
      <c r="D112" s="4" t="s">
        <v>451</v>
      </c>
      <c r="E112" s="24">
        <f t="shared" ref="E112" si="7">F112*G112</f>
        <v>2.5243483120694946E-4</v>
      </c>
      <c r="F112" s="4">
        <v>3486</v>
      </c>
      <c r="G112" s="26">
        <f>O13/(10^12)</f>
        <v>7.241389305993961E-8</v>
      </c>
      <c r="H112" s="33">
        <f t="shared" si="6"/>
        <v>252.43483120694947</v>
      </c>
      <c r="I112" s="28" t="s">
        <v>550</v>
      </c>
    </row>
    <row r="113" spans="1:9" x14ac:dyDescent="0.45">
      <c r="A113" s="34"/>
      <c r="B113" s="4" t="s">
        <v>287</v>
      </c>
      <c r="C113" s="4" t="s">
        <v>333</v>
      </c>
      <c r="D113" s="4" t="s">
        <v>451</v>
      </c>
      <c r="E113" s="24">
        <f>F113*G113</f>
        <v>1.1990893849000001E-4</v>
      </c>
      <c r="F113" s="4">
        <v>2159</v>
      </c>
      <c r="G113" s="26">
        <f>55539.11/(10^12)</f>
        <v>5.5539110000000001E-8</v>
      </c>
      <c r="H113" s="33">
        <f t="shared" si="6"/>
        <v>119.90893849000001</v>
      </c>
      <c r="I113" s="28" t="s">
        <v>550</v>
      </c>
    </row>
    <row r="114" spans="1:9" x14ac:dyDescent="0.45">
      <c r="A114" s="34"/>
      <c r="B114" s="4" t="s">
        <v>288</v>
      </c>
      <c r="C114" s="4" t="s">
        <v>334</v>
      </c>
      <c r="D114" s="4" t="s">
        <v>451</v>
      </c>
      <c r="E114" s="4">
        <v>0</v>
      </c>
      <c r="F114" s="4">
        <v>500</v>
      </c>
      <c r="G114" s="26">
        <v>0</v>
      </c>
      <c r="H114" s="33">
        <f t="shared" si="6"/>
        <v>0</v>
      </c>
      <c r="I114" s="28" t="s">
        <v>550</v>
      </c>
    </row>
    <row r="115" spans="1:9" x14ac:dyDescent="0.45">
      <c r="A115" s="34"/>
      <c r="B115" s="4" t="s">
        <v>289</v>
      </c>
      <c r="C115" s="4" t="s">
        <v>335</v>
      </c>
      <c r="D115" s="4" t="s">
        <v>451</v>
      </c>
      <c r="E115" s="4">
        <v>9.8499999999999995E-5</v>
      </c>
      <c r="F115" s="4">
        <v>320</v>
      </c>
      <c r="G115" s="26">
        <f>E115/F115</f>
        <v>3.0781249999999996E-7</v>
      </c>
      <c r="H115" s="33">
        <f t="shared" si="6"/>
        <v>98.5</v>
      </c>
      <c r="I115" s="28" t="s">
        <v>550</v>
      </c>
    </row>
    <row r="116" spans="1:9" x14ac:dyDescent="0.45">
      <c r="A116" s="34"/>
      <c r="B116" s="4" t="s">
        <v>290</v>
      </c>
      <c r="C116" s="4" t="s">
        <v>336</v>
      </c>
      <c r="D116" s="4" t="s">
        <v>451</v>
      </c>
      <c r="E116" s="4">
        <v>0</v>
      </c>
      <c r="F116" s="4">
        <v>886</v>
      </c>
      <c r="G116" s="26">
        <v>0</v>
      </c>
      <c r="H116" s="33">
        <f t="shared" si="6"/>
        <v>0</v>
      </c>
      <c r="I116" s="28" t="s">
        <v>550</v>
      </c>
    </row>
    <row r="117" spans="1:9" x14ac:dyDescent="0.45">
      <c r="A117" s="34"/>
      <c r="B117" s="4" t="s">
        <v>292</v>
      </c>
      <c r="C117" s="4" t="s">
        <v>337</v>
      </c>
      <c r="D117" s="4" t="s">
        <v>451</v>
      </c>
      <c r="E117" s="24">
        <f>F117*G117</f>
        <v>7.1289055125451555E-5</v>
      </c>
      <c r="F117" s="4">
        <v>1018</v>
      </c>
      <c r="G117" s="26">
        <f>K13/(10^12)</f>
        <v>7.0028541380600743E-8</v>
      </c>
      <c r="H117" s="33">
        <f t="shared" si="6"/>
        <v>71.289055125451554</v>
      </c>
      <c r="I117" s="28" t="s">
        <v>550</v>
      </c>
    </row>
    <row r="118" spans="1:9" x14ac:dyDescent="0.45">
      <c r="A118" s="34"/>
      <c r="B118" s="4" t="s">
        <v>293</v>
      </c>
      <c r="C118" s="4" t="s">
        <v>338</v>
      </c>
      <c r="D118" s="4" t="s">
        <v>451</v>
      </c>
      <c r="E118" s="24">
        <f t="shared" ref="E118" si="8">F118*G118</f>
        <v>6.7851817797163415E-5</v>
      </c>
      <c r="F118" s="4">
        <v>937</v>
      </c>
      <c r="G118" s="26">
        <f>O13/(10^12)</f>
        <v>7.241389305993961E-8</v>
      </c>
      <c r="H118" s="33">
        <f t="shared" si="6"/>
        <v>67.85181779716342</v>
      </c>
      <c r="I118" s="28" t="s">
        <v>550</v>
      </c>
    </row>
    <row r="119" spans="1:9" x14ac:dyDescent="0.45">
      <c r="A119" s="34"/>
      <c r="B119" s="4" t="s">
        <v>294</v>
      </c>
      <c r="C119" s="4" t="s">
        <v>339</v>
      </c>
      <c r="D119" s="4" t="s">
        <v>451</v>
      </c>
      <c r="E119" s="24">
        <f>F119*G119</f>
        <v>1.7056060681E-4</v>
      </c>
      <c r="F119" s="4">
        <v>3071</v>
      </c>
      <c r="G119" s="26">
        <f>55539.11/(10^12)</f>
        <v>5.5539110000000001E-8</v>
      </c>
      <c r="H119" s="33">
        <f t="shared" si="6"/>
        <v>170.56060681</v>
      </c>
      <c r="I119" s="28" t="s">
        <v>550</v>
      </c>
    </row>
    <row r="120" spans="1:9" x14ac:dyDescent="0.45">
      <c r="A120" s="34"/>
      <c r="B120" s="4" t="s">
        <v>295</v>
      </c>
      <c r="C120" s="4" t="s">
        <v>340</v>
      </c>
      <c r="D120" s="4" t="s">
        <v>451</v>
      </c>
      <c r="E120" s="4">
        <v>0</v>
      </c>
      <c r="F120" s="4">
        <v>142</v>
      </c>
      <c r="G120" s="26">
        <v>0</v>
      </c>
      <c r="H120" s="33">
        <f t="shared" si="6"/>
        <v>0</v>
      </c>
      <c r="I120" s="28" t="s">
        <v>550</v>
      </c>
    </row>
    <row r="121" spans="1:9" x14ac:dyDescent="0.45">
      <c r="A121" s="34"/>
      <c r="B121" s="4" t="s">
        <v>296</v>
      </c>
      <c r="C121" s="4" t="s">
        <v>341</v>
      </c>
      <c r="D121" s="4" t="s">
        <v>451</v>
      </c>
      <c r="E121" s="4">
        <v>0</v>
      </c>
      <c r="F121" s="4">
        <v>1033</v>
      </c>
      <c r="G121" s="26">
        <v>0</v>
      </c>
      <c r="H121" s="33">
        <f t="shared" si="6"/>
        <v>0</v>
      </c>
      <c r="I121" s="28" t="s">
        <v>550</v>
      </c>
    </row>
    <row r="122" spans="1:9" x14ac:dyDescent="0.45">
      <c r="A122" s="34" t="s">
        <v>313</v>
      </c>
      <c r="B122" s="4" t="s">
        <v>298</v>
      </c>
      <c r="C122" s="4" t="s">
        <v>342</v>
      </c>
      <c r="D122" s="4" t="s">
        <v>451</v>
      </c>
      <c r="E122" s="24">
        <f>F122*G122</f>
        <v>1.6183595913056833E-4</v>
      </c>
      <c r="F122" s="4">
        <v>2311</v>
      </c>
      <c r="G122" s="26">
        <f>K13/(10^12)</f>
        <v>7.0028541380600743E-8</v>
      </c>
      <c r="H122" s="33">
        <f t="shared" si="6"/>
        <v>161.83595913056834</v>
      </c>
      <c r="I122" s="28" t="s">
        <v>550</v>
      </c>
    </row>
    <row r="123" spans="1:9" x14ac:dyDescent="0.45">
      <c r="A123" s="34"/>
      <c r="B123" s="4" t="s">
        <v>299</v>
      </c>
      <c r="C123" s="4" t="s">
        <v>343</v>
      </c>
      <c r="D123" s="4" t="s">
        <v>451</v>
      </c>
      <c r="E123" s="24">
        <f t="shared" ref="E123:E124" si="9">F123*G123</f>
        <v>1.5395193664543162E-4</v>
      </c>
      <c r="F123" s="4">
        <v>2126</v>
      </c>
      <c r="G123" s="26">
        <f>O13/(10^12)</f>
        <v>7.241389305993961E-8</v>
      </c>
      <c r="H123" s="33">
        <f t="shared" si="6"/>
        <v>153.9519366454316</v>
      </c>
      <c r="I123" s="28" t="s">
        <v>550</v>
      </c>
    </row>
    <row r="124" spans="1:9" x14ac:dyDescent="0.45">
      <c r="A124" s="34"/>
      <c r="B124" s="4" t="s">
        <v>300</v>
      </c>
      <c r="C124" s="4" t="s">
        <v>344</v>
      </c>
      <c r="D124" s="4" t="s">
        <v>451</v>
      </c>
      <c r="E124" s="24">
        <f t="shared" si="9"/>
        <v>1.5078868365000001E-4</v>
      </c>
      <c r="F124" s="4">
        <v>2715</v>
      </c>
      <c r="G124" s="26">
        <f>55539.11/(10^12)</f>
        <v>5.5539110000000001E-8</v>
      </c>
      <c r="H124" s="33">
        <f t="shared" si="6"/>
        <v>150.78868365</v>
      </c>
      <c r="I124" s="28" t="s">
        <v>550</v>
      </c>
    </row>
    <row r="125" spans="1:9" x14ac:dyDescent="0.45">
      <c r="A125" s="34"/>
      <c r="B125" s="4" t="s">
        <v>301</v>
      </c>
      <c r="C125" s="4" t="s">
        <v>345</v>
      </c>
      <c r="D125" s="4" t="s">
        <v>451</v>
      </c>
      <c r="E125" s="4">
        <v>0</v>
      </c>
      <c r="F125" s="4">
        <v>564</v>
      </c>
      <c r="G125" s="26">
        <v>0</v>
      </c>
      <c r="H125" s="33">
        <f t="shared" si="6"/>
        <v>0</v>
      </c>
      <c r="I125" s="28" t="s">
        <v>550</v>
      </c>
    </row>
    <row r="126" spans="1:9" x14ac:dyDescent="0.45">
      <c r="A126" s="34"/>
      <c r="B126" s="4" t="s">
        <v>302</v>
      </c>
      <c r="C126" s="4" t="s">
        <v>346</v>
      </c>
      <c r="D126" s="4" t="s">
        <v>451</v>
      </c>
      <c r="E126" s="4">
        <v>6.5199999999999999E-5</v>
      </c>
      <c r="F126" s="4">
        <v>500</v>
      </c>
      <c r="G126" s="26">
        <f>E126/F126</f>
        <v>1.304E-7</v>
      </c>
      <c r="H126" s="33">
        <f t="shared" si="6"/>
        <v>65.2</v>
      </c>
      <c r="I126" s="28" t="s">
        <v>550</v>
      </c>
    </row>
    <row r="127" spans="1:9" x14ac:dyDescent="0.45">
      <c r="A127" s="34"/>
      <c r="B127" s="4" t="s">
        <v>303</v>
      </c>
      <c r="C127" s="4" t="s">
        <v>347</v>
      </c>
      <c r="D127" s="4" t="s">
        <v>451</v>
      </c>
      <c r="E127" s="4">
        <v>0</v>
      </c>
      <c r="F127" s="4">
        <v>1127</v>
      </c>
      <c r="G127" s="26">
        <v>0</v>
      </c>
      <c r="H127" s="33">
        <f t="shared" si="6"/>
        <v>0</v>
      </c>
      <c r="I127" s="28" t="s">
        <v>550</v>
      </c>
    </row>
    <row r="128" spans="1:9" x14ac:dyDescent="0.45">
      <c r="A128" s="34"/>
      <c r="B128" s="4" t="s">
        <v>304</v>
      </c>
      <c r="C128" s="4" t="s">
        <v>348</v>
      </c>
      <c r="D128" s="4" t="s">
        <v>451</v>
      </c>
      <c r="E128" s="24">
        <f>F128*G128</f>
        <v>2.7591245303956693E-5</v>
      </c>
      <c r="F128" s="4">
        <v>394</v>
      </c>
      <c r="G128" s="26">
        <f>K13/(10^12)</f>
        <v>7.0028541380600743E-8</v>
      </c>
      <c r="H128" s="33">
        <f t="shared" si="6"/>
        <v>27.591245303956693</v>
      </c>
      <c r="I128" s="28" t="s">
        <v>550</v>
      </c>
    </row>
    <row r="129" spans="1:9" x14ac:dyDescent="0.45">
      <c r="A129" s="34"/>
      <c r="B129" s="4" t="s">
        <v>305</v>
      </c>
      <c r="C129" s="4" t="s">
        <v>349</v>
      </c>
      <c r="D129" s="4" t="s">
        <v>451</v>
      </c>
      <c r="E129" s="24">
        <f t="shared" ref="E129:E130" si="10">F129*G129</f>
        <v>2.6286243180758078E-5</v>
      </c>
      <c r="F129" s="4">
        <v>363</v>
      </c>
      <c r="G129" s="26">
        <f>O13/(10^12)</f>
        <v>7.241389305993961E-8</v>
      </c>
      <c r="H129" s="33">
        <f t="shared" si="6"/>
        <v>26.286243180758078</v>
      </c>
      <c r="I129" s="28" t="s">
        <v>550</v>
      </c>
    </row>
    <row r="130" spans="1:9" x14ac:dyDescent="0.45">
      <c r="A130" s="34"/>
      <c r="B130" s="4" t="s">
        <v>306</v>
      </c>
      <c r="C130" s="4" t="s">
        <v>350</v>
      </c>
      <c r="D130" s="4" t="s">
        <v>451</v>
      </c>
      <c r="E130" s="24">
        <f t="shared" si="10"/>
        <v>2.0382853369999999E-5</v>
      </c>
      <c r="F130" s="4">
        <v>367</v>
      </c>
      <c r="G130" s="26">
        <f>55539.11/(10^12)</f>
        <v>5.5539110000000001E-8</v>
      </c>
      <c r="H130" s="33">
        <f t="shared" si="6"/>
        <v>20.382853369999999</v>
      </c>
      <c r="I130" s="28" t="s">
        <v>550</v>
      </c>
    </row>
    <row r="131" spans="1:9" x14ac:dyDescent="0.45">
      <c r="A131" s="34"/>
      <c r="B131" s="4" t="s">
        <v>311</v>
      </c>
      <c r="C131" s="4" t="s">
        <v>351</v>
      </c>
      <c r="D131" s="4" t="s">
        <v>451</v>
      </c>
      <c r="E131" s="4">
        <v>0</v>
      </c>
      <c r="F131" s="4">
        <v>260</v>
      </c>
      <c r="G131" s="26">
        <v>0</v>
      </c>
      <c r="H131" s="33">
        <f t="shared" si="6"/>
        <v>0</v>
      </c>
      <c r="I131" s="28" t="s">
        <v>550</v>
      </c>
    </row>
    <row r="132" spans="1:9" x14ac:dyDescent="0.45">
      <c r="A132" s="34"/>
      <c r="B132" s="4" t="s">
        <v>307</v>
      </c>
      <c r="C132" s="4" t="s">
        <v>352</v>
      </c>
      <c r="D132" s="4" t="s">
        <v>451</v>
      </c>
      <c r="E132" s="4">
        <v>0</v>
      </c>
      <c r="F132" s="4">
        <v>296</v>
      </c>
      <c r="G132" s="26">
        <v>0</v>
      </c>
      <c r="H132" s="33">
        <f t="shared" si="6"/>
        <v>0</v>
      </c>
      <c r="I132" s="28" t="s">
        <v>550</v>
      </c>
    </row>
    <row r="133" spans="1:9" x14ac:dyDescent="0.45">
      <c r="A133" s="34"/>
      <c r="B133" s="4" t="s">
        <v>367</v>
      </c>
      <c r="C133" s="4" t="s">
        <v>184</v>
      </c>
      <c r="D133" s="4" t="s">
        <v>451</v>
      </c>
      <c r="E133" s="24">
        <f>F133*G133</f>
        <v>1.6666792848582976E-5</v>
      </c>
      <c r="F133" s="4">
        <v>238</v>
      </c>
      <c r="G133" s="26">
        <f>K13/(10^12)</f>
        <v>7.0028541380600743E-8</v>
      </c>
      <c r="H133" s="33">
        <f t="shared" si="6"/>
        <v>16.666792848582975</v>
      </c>
      <c r="I133" s="28" t="s">
        <v>550</v>
      </c>
    </row>
    <row r="134" spans="1:9" x14ac:dyDescent="0.45">
      <c r="A134" s="34"/>
      <c r="B134" s="4" t="s">
        <v>308</v>
      </c>
      <c r="C134" s="4" t="s">
        <v>182</v>
      </c>
      <c r="D134" s="4" t="s">
        <v>451</v>
      </c>
      <c r="E134" s="24">
        <f t="shared" ref="E134:E135" si="11">F134*G134</f>
        <v>1.3831053574448465E-5</v>
      </c>
      <c r="F134" s="4">
        <v>191</v>
      </c>
      <c r="G134" s="26">
        <f>O13/(10^12)</f>
        <v>7.241389305993961E-8</v>
      </c>
      <c r="H134" s="33">
        <f t="shared" si="6"/>
        <v>13.831053574448465</v>
      </c>
      <c r="I134" s="28" t="s">
        <v>550</v>
      </c>
    </row>
    <row r="135" spans="1:9" x14ac:dyDescent="0.45">
      <c r="A135" s="34"/>
      <c r="B135" s="4" t="s">
        <v>309</v>
      </c>
      <c r="C135" s="4" t="s">
        <v>353</v>
      </c>
      <c r="D135" s="4" t="s">
        <v>451</v>
      </c>
      <c r="E135" s="24">
        <f t="shared" si="11"/>
        <v>7.2200842999999999E-6</v>
      </c>
      <c r="F135" s="4">
        <v>130</v>
      </c>
      <c r="G135" s="26">
        <f>55539.11/(10^12)</f>
        <v>5.5539110000000001E-8</v>
      </c>
      <c r="H135" s="33">
        <f t="shared" si="6"/>
        <v>7.2200842999999999</v>
      </c>
      <c r="I135" s="28" t="s">
        <v>550</v>
      </c>
    </row>
    <row r="136" spans="1:9" x14ac:dyDescent="0.45">
      <c r="A136" s="34"/>
      <c r="B136" s="4" t="s">
        <v>312</v>
      </c>
      <c r="C136" s="4" t="s">
        <v>183</v>
      </c>
      <c r="D136" s="4" t="s">
        <v>451</v>
      </c>
      <c r="E136" s="4">
        <v>0</v>
      </c>
      <c r="F136" s="4">
        <v>69</v>
      </c>
      <c r="G136" s="26">
        <v>0</v>
      </c>
      <c r="H136" s="33">
        <f t="shared" si="6"/>
        <v>0</v>
      </c>
      <c r="I136" s="28" t="s">
        <v>550</v>
      </c>
    </row>
    <row r="137" spans="1:9" x14ac:dyDescent="0.45">
      <c r="A137" s="34"/>
      <c r="B137" s="4" t="s">
        <v>310</v>
      </c>
      <c r="C137" s="4" t="s">
        <v>185</v>
      </c>
      <c r="D137" s="4" t="s">
        <v>451</v>
      </c>
      <c r="E137" s="4">
        <v>0</v>
      </c>
      <c r="F137" s="4">
        <v>76</v>
      </c>
      <c r="G137" s="26">
        <v>0</v>
      </c>
      <c r="H137" s="33">
        <f t="shared" si="6"/>
        <v>0</v>
      </c>
      <c r="I137" s="28" t="s">
        <v>550</v>
      </c>
    </row>
    <row r="138" spans="1:9" x14ac:dyDescent="0.45">
      <c r="A138" s="34" t="s">
        <v>324</v>
      </c>
      <c r="B138" s="4" t="s">
        <v>316</v>
      </c>
      <c r="C138" s="4" t="s">
        <v>354</v>
      </c>
      <c r="D138" s="4" t="s">
        <v>452</v>
      </c>
      <c r="E138" s="24">
        <f>F138*G138</f>
        <v>1.605754453857175E-4</v>
      </c>
      <c r="F138" s="4">
        <v>2293</v>
      </c>
      <c r="G138" s="26">
        <f>K13/(10^12)</f>
        <v>7.0028541380600743E-8</v>
      </c>
      <c r="H138" s="33">
        <f t="shared" si="6"/>
        <v>160.5754453857175</v>
      </c>
      <c r="I138" s="29" t="s">
        <v>551</v>
      </c>
    </row>
    <row r="139" spans="1:9" x14ac:dyDescent="0.45">
      <c r="A139" s="34"/>
      <c r="B139" s="4" t="s">
        <v>314</v>
      </c>
      <c r="C139" s="4" t="s">
        <v>355</v>
      </c>
      <c r="D139" s="4" t="s">
        <v>452</v>
      </c>
      <c r="E139" s="24">
        <f t="shared" ref="E139:E140" si="12">F139*G139</f>
        <v>1.5778987297760842E-4</v>
      </c>
      <c r="F139" s="4">
        <v>2179</v>
      </c>
      <c r="G139" s="26">
        <f>O13/(10^12)</f>
        <v>7.241389305993961E-8</v>
      </c>
      <c r="H139" s="33">
        <f t="shared" si="6"/>
        <v>157.78987297760841</v>
      </c>
      <c r="I139" s="29" t="s">
        <v>551</v>
      </c>
    </row>
    <row r="140" spans="1:9" x14ac:dyDescent="0.45">
      <c r="A140" s="34"/>
      <c r="B140" s="4" t="s">
        <v>315</v>
      </c>
      <c r="C140" s="4" t="s">
        <v>356</v>
      </c>
      <c r="D140" s="4" t="s">
        <v>452</v>
      </c>
      <c r="E140" s="24">
        <f t="shared" si="12"/>
        <v>6.8868496399999995E-5</v>
      </c>
      <c r="F140" s="4">
        <v>1240</v>
      </c>
      <c r="G140" s="26">
        <f>55539.11/(10^12)</f>
        <v>5.5539110000000001E-8</v>
      </c>
      <c r="H140" s="33">
        <f t="shared" si="6"/>
        <v>68.868496399999998</v>
      </c>
      <c r="I140" s="29" t="s">
        <v>551</v>
      </c>
    </row>
    <row r="141" spans="1:9" x14ac:dyDescent="0.45">
      <c r="A141" s="34"/>
      <c r="B141" s="4" t="s">
        <v>317</v>
      </c>
      <c r="C141" s="4" t="s">
        <v>357</v>
      </c>
      <c r="D141" s="4" t="s">
        <v>452</v>
      </c>
      <c r="E141" s="4">
        <v>0</v>
      </c>
      <c r="F141" s="4">
        <v>375</v>
      </c>
      <c r="G141" s="26">
        <v>0</v>
      </c>
      <c r="H141" s="33">
        <f t="shared" si="6"/>
        <v>0</v>
      </c>
      <c r="I141" s="29" t="s">
        <v>551</v>
      </c>
    </row>
    <row r="142" spans="1:9" x14ac:dyDescent="0.45">
      <c r="A142" s="34"/>
      <c r="B142" s="4" t="s">
        <v>318</v>
      </c>
      <c r="C142" s="4" t="s">
        <v>358</v>
      </c>
      <c r="D142" s="4" t="s">
        <v>452</v>
      </c>
      <c r="E142" s="4">
        <v>0</v>
      </c>
      <c r="F142" s="4">
        <v>395</v>
      </c>
      <c r="G142" s="26">
        <v>0</v>
      </c>
      <c r="H142" s="33">
        <f t="shared" si="6"/>
        <v>0</v>
      </c>
      <c r="I142" s="29" t="s">
        <v>551</v>
      </c>
    </row>
    <row r="143" spans="1:9" x14ac:dyDescent="0.45">
      <c r="A143" s="34"/>
      <c r="B143" s="4" t="s">
        <v>321</v>
      </c>
      <c r="C143" s="4" t="s">
        <v>359</v>
      </c>
      <c r="D143" s="4" t="s">
        <v>452</v>
      </c>
      <c r="E143" s="24">
        <f>F143*G143</f>
        <v>7.1569169290973958E-5</v>
      </c>
      <c r="F143" s="4">
        <v>1022</v>
      </c>
      <c r="G143" s="26">
        <f>K13/(10^12)</f>
        <v>7.0028541380600743E-8</v>
      </c>
      <c r="H143" s="33">
        <f t="shared" si="6"/>
        <v>71.56916929097396</v>
      </c>
      <c r="I143" s="29" t="s">
        <v>551</v>
      </c>
    </row>
    <row r="144" spans="1:9" x14ac:dyDescent="0.45">
      <c r="A144" s="34"/>
      <c r="B144" s="4" t="s">
        <v>319</v>
      </c>
      <c r="C144" s="4" t="s">
        <v>360</v>
      </c>
      <c r="D144" s="4" t="s">
        <v>452</v>
      </c>
      <c r="E144" s="24">
        <f t="shared" ref="E144:E145" si="13">F144*G144</f>
        <v>6.3072500855207401E-5</v>
      </c>
      <c r="F144" s="4">
        <v>871</v>
      </c>
      <c r="G144" s="26">
        <f>O13/(10^12)</f>
        <v>7.241389305993961E-8</v>
      </c>
      <c r="H144" s="33">
        <f t="shared" si="6"/>
        <v>63.072500855207402</v>
      </c>
      <c r="I144" s="29" t="s">
        <v>551</v>
      </c>
    </row>
    <row r="145" spans="1:9" x14ac:dyDescent="0.45">
      <c r="A145" s="34"/>
      <c r="B145" s="4" t="s">
        <v>320</v>
      </c>
      <c r="C145" s="4" t="s">
        <v>361</v>
      </c>
      <c r="D145" s="4" t="s">
        <v>452</v>
      </c>
      <c r="E145" s="24">
        <f t="shared" si="13"/>
        <v>6.8646339960000004E-5</v>
      </c>
      <c r="F145" s="4">
        <v>1236</v>
      </c>
      <c r="G145" s="26">
        <f>55539.11/(10^12)</f>
        <v>5.5539110000000001E-8</v>
      </c>
      <c r="H145" s="33">
        <f t="shared" si="6"/>
        <v>68.646339960000006</v>
      </c>
      <c r="I145" s="29" t="s">
        <v>551</v>
      </c>
    </row>
    <row r="146" spans="1:9" x14ac:dyDescent="0.45">
      <c r="A146" s="34"/>
      <c r="B146" s="4" t="s">
        <v>322</v>
      </c>
      <c r="C146" s="4" t="s">
        <v>362</v>
      </c>
      <c r="D146" s="4" t="s">
        <v>452</v>
      </c>
      <c r="E146" s="4">
        <v>0</v>
      </c>
      <c r="F146" s="4">
        <v>103</v>
      </c>
      <c r="G146" s="26">
        <v>0</v>
      </c>
      <c r="H146" s="33">
        <f t="shared" si="6"/>
        <v>0</v>
      </c>
      <c r="I146" s="29" t="s">
        <v>551</v>
      </c>
    </row>
    <row r="147" spans="1:9" x14ac:dyDescent="0.45">
      <c r="A147" s="34"/>
      <c r="B147" s="4" t="s">
        <v>323</v>
      </c>
      <c r="C147" s="4" t="s">
        <v>363</v>
      </c>
      <c r="D147" s="4" t="s">
        <v>452</v>
      </c>
      <c r="E147" s="4">
        <v>0</v>
      </c>
      <c r="F147" s="4">
        <v>108</v>
      </c>
      <c r="G147" s="26">
        <v>0</v>
      </c>
      <c r="H147" s="33">
        <f t="shared" si="6"/>
        <v>0</v>
      </c>
      <c r="I147" s="29" t="s">
        <v>551</v>
      </c>
    </row>
    <row r="148" spans="1:9" ht="52.5" x14ac:dyDescent="0.45">
      <c r="A148" s="4" t="s">
        <v>236</v>
      </c>
      <c r="B148" s="4" t="s">
        <v>186</v>
      </c>
      <c r="C148" s="4" t="s">
        <v>187</v>
      </c>
      <c r="D148" s="4" t="s">
        <v>451</v>
      </c>
      <c r="E148" s="24">
        <f>F148*G148</f>
        <v>6.8225075800000003E-5</v>
      </c>
      <c r="F148" s="4">
        <v>1211</v>
      </c>
      <c r="G148" s="26">
        <f>56337.8/(10^12)</f>
        <v>5.63378E-8</v>
      </c>
      <c r="H148" s="33">
        <f t="shared" si="6"/>
        <v>68.225075799999999</v>
      </c>
      <c r="I148" s="28" t="s">
        <v>550</v>
      </c>
    </row>
    <row r="149" spans="1:9" ht="52.5" x14ac:dyDescent="0.45">
      <c r="A149" s="4" t="s">
        <v>237</v>
      </c>
      <c r="B149" s="4" t="s">
        <v>188</v>
      </c>
      <c r="C149" s="4" t="s">
        <v>189</v>
      </c>
      <c r="D149" s="4" t="s">
        <v>452</v>
      </c>
      <c r="E149" s="24">
        <f>F149*G149</f>
        <v>2.2448305900000001E-5</v>
      </c>
      <c r="F149" s="4">
        <v>310</v>
      </c>
      <c r="G149" s="26">
        <f>72413.89/(10^12)</f>
        <v>7.241389E-8</v>
      </c>
      <c r="H149" s="33">
        <f t="shared" si="6"/>
        <v>22.448305900000001</v>
      </c>
      <c r="I149" s="29" t="s">
        <v>551</v>
      </c>
    </row>
    <row r="150" spans="1:9" ht="52.5" x14ac:dyDescent="0.45">
      <c r="A150" s="4" t="s">
        <v>387</v>
      </c>
      <c r="B150" s="4" t="s">
        <v>190</v>
      </c>
      <c r="C150" s="4" t="s">
        <v>191</v>
      </c>
      <c r="D150" s="4" t="s">
        <v>451</v>
      </c>
      <c r="E150" s="4">
        <v>0</v>
      </c>
      <c r="F150" s="4">
        <v>8</v>
      </c>
      <c r="G150" s="26">
        <v>0</v>
      </c>
      <c r="H150" s="33">
        <f t="shared" si="6"/>
        <v>0</v>
      </c>
      <c r="I150" s="28" t="s">
        <v>550</v>
      </c>
    </row>
    <row r="151" spans="1:9" x14ac:dyDescent="0.45">
      <c r="A151" s="34" t="s">
        <v>224</v>
      </c>
      <c r="B151" s="4" t="s">
        <v>192</v>
      </c>
      <c r="C151" s="4" t="s">
        <v>193</v>
      </c>
      <c r="D151" s="4" t="s">
        <v>450</v>
      </c>
      <c r="E151" s="6">
        <f>G151/F151</f>
        <v>62403.494382022473</v>
      </c>
      <c r="F151" s="4">
        <v>0.89</v>
      </c>
      <c r="G151" s="5">
        <v>55539.11</v>
      </c>
      <c r="H151" s="33">
        <f>E151/1000</f>
        <v>62.403494382022473</v>
      </c>
      <c r="I151" s="29" t="s">
        <v>549</v>
      </c>
    </row>
    <row r="152" spans="1:9" x14ac:dyDescent="0.45">
      <c r="A152" s="34"/>
      <c r="B152" s="4" t="s">
        <v>194</v>
      </c>
      <c r="C152" s="4" t="s">
        <v>195</v>
      </c>
      <c r="D152" s="4" t="s">
        <v>450</v>
      </c>
      <c r="E152" s="6">
        <f t="shared" ref="E152:E156" si="14">G152/F152</f>
        <v>109176.82926829268</v>
      </c>
      <c r="F152" s="4">
        <v>0.82</v>
      </c>
      <c r="G152" s="5">
        <v>89525</v>
      </c>
      <c r="H152" s="33">
        <f t="shared" ref="H152:H156" si="15">E152/1000</f>
        <v>109.17682926829268</v>
      </c>
      <c r="I152" s="29" t="s">
        <v>549</v>
      </c>
    </row>
    <row r="153" spans="1:9" x14ac:dyDescent="0.45">
      <c r="A153" s="34"/>
      <c r="B153" s="4" t="s">
        <v>196</v>
      </c>
      <c r="C153" s="4" t="s">
        <v>197</v>
      </c>
      <c r="D153" s="4" t="s">
        <v>450</v>
      </c>
      <c r="E153" s="6">
        <f t="shared" si="14"/>
        <v>86317.906976744183</v>
      </c>
      <c r="F153" s="4">
        <v>0.86</v>
      </c>
      <c r="G153" s="5">
        <v>74233.399999999994</v>
      </c>
      <c r="H153" s="33">
        <f t="shared" si="15"/>
        <v>86.317906976744183</v>
      </c>
      <c r="I153" s="29" t="s">
        <v>549</v>
      </c>
    </row>
    <row r="154" spans="1:9" x14ac:dyDescent="0.45">
      <c r="A154" s="34"/>
      <c r="B154" s="4" t="s">
        <v>198</v>
      </c>
      <c r="C154" s="4" t="s">
        <v>199</v>
      </c>
      <c r="D154" s="4" t="s">
        <v>450</v>
      </c>
      <c r="E154" s="6">
        <f t="shared" si="14"/>
        <v>0</v>
      </c>
      <c r="F154" s="4">
        <v>0.99</v>
      </c>
      <c r="G154" s="5">
        <v>0</v>
      </c>
      <c r="H154" s="33">
        <f t="shared" si="15"/>
        <v>0</v>
      </c>
      <c r="I154" s="29" t="s">
        <v>549</v>
      </c>
    </row>
    <row r="155" spans="1:9" x14ac:dyDescent="0.45">
      <c r="A155" s="34"/>
      <c r="B155" s="4" t="s">
        <v>200</v>
      </c>
      <c r="C155" s="4" t="s">
        <v>201</v>
      </c>
      <c r="D155" s="4" t="s">
        <v>450</v>
      </c>
      <c r="E155" s="6">
        <f t="shared" si="14"/>
        <v>93558.488372093023</v>
      </c>
      <c r="F155" s="4">
        <v>0.86</v>
      </c>
      <c r="G155" s="5">
        <v>80460.3</v>
      </c>
      <c r="H155" s="33">
        <f t="shared" si="15"/>
        <v>93.558488372093024</v>
      </c>
      <c r="I155" s="29" t="s">
        <v>549</v>
      </c>
    </row>
    <row r="156" spans="1:9" x14ac:dyDescent="0.45">
      <c r="A156" s="34"/>
      <c r="B156" s="4" t="s">
        <v>202</v>
      </c>
      <c r="C156" s="4" t="s">
        <v>203</v>
      </c>
      <c r="D156" s="4" t="s">
        <v>450</v>
      </c>
      <c r="E156" s="6">
        <f t="shared" si="14"/>
        <v>80608.953488372092</v>
      </c>
      <c r="F156" s="4">
        <v>0.86</v>
      </c>
      <c r="G156" s="5">
        <v>69323.7</v>
      </c>
      <c r="H156" s="33">
        <f t="shared" si="15"/>
        <v>80.608953488372094</v>
      </c>
      <c r="I156" s="29" t="s">
        <v>549</v>
      </c>
    </row>
  </sheetData>
  <mergeCells count="29">
    <mergeCell ref="J8:L8"/>
    <mergeCell ref="K13:L13"/>
    <mergeCell ref="N8:P8"/>
    <mergeCell ref="O13:P13"/>
    <mergeCell ref="A151:A156"/>
    <mergeCell ref="A98:A99"/>
    <mergeCell ref="A100:A101"/>
    <mergeCell ref="A102:A103"/>
    <mergeCell ref="A105:A121"/>
    <mergeCell ref="A122:A137"/>
    <mergeCell ref="A138:A147"/>
    <mergeCell ref="A96:A97"/>
    <mergeCell ref="A61:A65"/>
    <mergeCell ref="A66:A68"/>
    <mergeCell ref="A69:A70"/>
    <mergeCell ref="A71:A74"/>
    <mergeCell ref="A92:A93"/>
    <mergeCell ref="A94:A95"/>
    <mergeCell ref="A59:A60"/>
    <mergeCell ref="A3:A19"/>
    <mergeCell ref="A20:A26"/>
    <mergeCell ref="A27:A47"/>
    <mergeCell ref="A48:A55"/>
    <mergeCell ref="A56:A58"/>
    <mergeCell ref="A75:A76"/>
    <mergeCell ref="A77:A81"/>
    <mergeCell ref="A82:A85"/>
    <mergeCell ref="A86:A89"/>
    <mergeCell ref="A90:A9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6A55-A67B-4228-9B36-A1AE82460EAA}">
  <dimension ref="B2:I15"/>
  <sheetViews>
    <sheetView zoomScale="70" zoomScaleNormal="70" workbookViewId="0">
      <selection activeCell="E3" sqref="E3:E7"/>
    </sheetView>
  </sheetViews>
  <sheetFormatPr baseColWidth="10" defaultRowHeight="17.5" x14ac:dyDescent="0.45"/>
  <cols>
    <col min="2" max="2" width="34.765625" customWidth="1"/>
    <col min="3" max="3" width="18.765625" customWidth="1"/>
    <col min="4" max="4" width="19.84375" bestFit="1" customWidth="1"/>
    <col min="5" max="5" width="19.84375" customWidth="1"/>
    <col min="7" max="7" width="23.69140625" customWidth="1"/>
    <col min="9" max="9" width="14.3046875" bestFit="1" customWidth="1"/>
  </cols>
  <sheetData>
    <row r="2" spans="2:9" x14ac:dyDescent="0.45">
      <c r="B2" s="23" t="s">
        <v>364</v>
      </c>
      <c r="C2" s="23" t="s">
        <v>205</v>
      </c>
      <c r="D2" s="23" t="s">
        <v>453</v>
      </c>
      <c r="E2" s="23" t="s">
        <v>559</v>
      </c>
      <c r="I2" t="s">
        <v>240</v>
      </c>
    </row>
    <row r="3" spans="2:9" x14ac:dyDescent="0.45">
      <c r="B3" s="23" t="s">
        <v>39</v>
      </c>
      <c r="C3" s="4" t="s">
        <v>40</v>
      </c>
      <c r="D3" s="23">
        <v>198306</v>
      </c>
      <c r="E3" s="23">
        <f>D3/1000</f>
        <v>198.30600000000001</v>
      </c>
      <c r="G3" s="3" t="s">
        <v>454</v>
      </c>
      <c r="H3" s="3">
        <v>360</v>
      </c>
      <c r="I3" t="s">
        <v>455</v>
      </c>
    </row>
    <row r="4" spans="2:9" x14ac:dyDescent="0.45">
      <c r="B4" s="4" t="s">
        <v>43</v>
      </c>
      <c r="C4" s="4" t="s">
        <v>44</v>
      </c>
      <c r="D4" s="23">
        <v>116244.65</v>
      </c>
      <c r="E4" s="23">
        <f t="shared" ref="E4:E7" si="0">D4/1000</f>
        <v>116.24464999999999</v>
      </c>
    </row>
    <row r="5" spans="2:9" x14ac:dyDescent="0.45">
      <c r="B5" s="4" t="s">
        <v>47</v>
      </c>
      <c r="C5" s="4" t="s">
        <v>48</v>
      </c>
      <c r="D5" s="23">
        <v>268575</v>
      </c>
      <c r="E5" s="23">
        <f t="shared" si="0"/>
        <v>268.57499999999999</v>
      </c>
    </row>
    <row r="6" spans="2:9" x14ac:dyDescent="0.45">
      <c r="B6" s="4" t="s">
        <v>51</v>
      </c>
      <c r="C6" s="4" t="s">
        <v>52</v>
      </c>
      <c r="D6" s="23">
        <v>268575</v>
      </c>
      <c r="E6" s="23">
        <f t="shared" si="0"/>
        <v>268.57499999999999</v>
      </c>
    </row>
    <row r="7" spans="2:9" x14ac:dyDescent="0.45">
      <c r="B7" s="4" t="s">
        <v>87</v>
      </c>
      <c r="C7" s="4" t="s">
        <v>88</v>
      </c>
      <c r="D7" s="23">
        <v>75735.149999999994</v>
      </c>
      <c r="E7" s="23">
        <f t="shared" si="0"/>
        <v>75.73514999999999</v>
      </c>
    </row>
    <row r="10" spans="2:9" x14ac:dyDescent="0.45">
      <c r="B10" s="5" t="s">
        <v>364</v>
      </c>
      <c r="C10" s="5" t="s">
        <v>205</v>
      </c>
      <c r="D10" s="5" t="s">
        <v>559</v>
      </c>
    </row>
    <row r="11" spans="2:9" x14ac:dyDescent="0.45">
      <c r="B11" s="5" t="s">
        <v>39</v>
      </c>
      <c r="C11" s="4" t="s">
        <v>40</v>
      </c>
      <c r="D11" s="33">
        <v>198.30600000000001</v>
      </c>
      <c r="F11" s="30"/>
    </row>
    <row r="12" spans="2:9" x14ac:dyDescent="0.45">
      <c r="B12" s="4" t="s">
        <v>43</v>
      </c>
      <c r="C12" s="4" t="s">
        <v>44</v>
      </c>
      <c r="D12" s="33">
        <v>116.24464999999999</v>
      </c>
    </row>
    <row r="13" spans="2:9" x14ac:dyDescent="0.45">
      <c r="B13" s="4" t="s">
        <v>47</v>
      </c>
      <c r="C13" s="4" t="s">
        <v>48</v>
      </c>
      <c r="D13" s="33">
        <v>268.57499999999999</v>
      </c>
    </row>
    <row r="14" spans="2:9" x14ac:dyDescent="0.45">
      <c r="B14" s="4" t="s">
        <v>51</v>
      </c>
      <c r="C14" s="4" t="s">
        <v>52</v>
      </c>
      <c r="D14" s="33">
        <v>268.57499999999999</v>
      </c>
    </row>
    <row r="15" spans="2:9" x14ac:dyDescent="0.45">
      <c r="B15" s="4" t="s">
        <v>87</v>
      </c>
      <c r="C15" s="4" t="s">
        <v>88</v>
      </c>
      <c r="D15" s="33">
        <v>75.73514999999999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311D-B553-407C-8AAB-78F0487729A0}">
  <dimension ref="A1:H155"/>
  <sheetViews>
    <sheetView zoomScale="70" zoomScaleNormal="70" workbookViewId="0">
      <selection activeCell="G11" sqref="G11"/>
    </sheetView>
  </sheetViews>
  <sheetFormatPr baseColWidth="10" defaultRowHeight="17.5" x14ac:dyDescent="0.45"/>
  <cols>
    <col min="2" max="2" width="40.53515625" bestFit="1" customWidth="1"/>
    <col min="3" max="3" width="14.07421875" customWidth="1"/>
    <col min="5" max="5" width="28.4609375" bestFit="1" customWidth="1"/>
  </cols>
  <sheetData>
    <row r="1" spans="1:8" ht="35" x14ac:dyDescent="0.45">
      <c r="A1" s="4"/>
      <c r="B1" s="12" t="s">
        <v>204</v>
      </c>
      <c r="C1" s="12" t="s">
        <v>205</v>
      </c>
      <c r="D1" s="12" t="s">
        <v>399</v>
      </c>
      <c r="E1" s="12" t="s">
        <v>240</v>
      </c>
    </row>
    <row r="2" spans="1:8" x14ac:dyDescent="0.45">
      <c r="A2" s="34" t="s">
        <v>207</v>
      </c>
      <c r="B2" s="4" t="s">
        <v>0</v>
      </c>
      <c r="C2" s="5" t="s">
        <v>1</v>
      </c>
      <c r="D2" s="4">
        <v>1</v>
      </c>
      <c r="E2" s="4" t="s">
        <v>366</v>
      </c>
    </row>
    <row r="3" spans="1:8" x14ac:dyDescent="0.45">
      <c r="A3" s="34"/>
      <c r="B3" s="4" t="s">
        <v>2</v>
      </c>
      <c r="C3" s="5" t="s">
        <v>3</v>
      </c>
      <c r="D3" s="4">
        <v>1</v>
      </c>
      <c r="E3" s="4" t="s">
        <v>366</v>
      </c>
    </row>
    <row r="4" spans="1:8" x14ac:dyDescent="0.45">
      <c r="A4" s="34"/>
      <c r="B4" s="4" t="s">
        <v>6</v>
      </c>
      <c r="C4" s="5" t="s">
        <v>7</v>
      </c>
      <c r="D4" s="4">
        <v>1</v>
      </c>
      <c r="E4" s="4" t="s">
        <v>366</v>
      </c>
    </row>
    <row r="5" spans="1:8" x14ac:dyDescent="0.45">
      <c r="A5" s="34"/>
      <c r="B5" s="4" t="s">
        <v>10</v>
      </c>
      <c r="C5" s="5" t="s">
        <v>11</v>
      </c>
      <c r="D5" s="4">
        <v>1</v>
      </c>
      <c r="E5" s="4" t="s">
        <v>366</v>
      </c>
    </row>
    <row r="6" spans="1:8" x14ac:dyDescent="0.45">
      <c r="A6" s="34"/>
      <c r="B6" s="4" t="s">
        <v>12</v>
      </c>
      <c r="C6" s="5" t="s">
        <v>13</v>
      </c>
      <c r="D6" s="4">
        <v>1</v>
      </c>
      <c r="E6" s="4" t="s">
        <v>366</v>
      </c>
      <c r="H6" s="30"/>
    </row>
    <row r="7" spans="1:8" x14ac:dyDescent="0.45">
      <c r="A7" s="34"/>
      <c r="B7" s="4" t="s">
        <v>14</v>
      </c>
      <c r="C7" s="5" t="s">
        <v>15</v>
      </c>
      <c r="D7" s="4">
        <v>1</v>
      </c>
      <c r="E7" s="4" t="s">
        <v>366</v>
      </c>
    </row>
    <row r="8" spans="1:8" x14ac:dyDescent="0.45">
      <c r="A8" s="34"/>
      <c r="B8" s="4" t="s">
        <v>16</v>
      </c>
      <c r="C8" s="5" t="s">
        <v>17</v>
      </c>
      <c r="D8" s="4">
        <v>1</v>
      </c>
      <c r="E8" s="4" t="s">
        <v>366</v>
      </c>
    </row>
    <row r="9" spans="1:8" ht="35" x14ac:dyDescent="0.45">
      <c r="A9" s="34"/>
      <c r="B9" s="4" t="s">
        <v>18</v>
      </c>
      <c r="C9" s="5" t="s">
        <v>19</v>
      </c>
      <c r="D9" s="4">
        <v>1</v>
      </c>
      <c r="E9" s="4" t="s">
        <v>366</v>
      </c>
      <c r="H9" s="30"/>
    </row>
    <row r="10" spans="1:8" x14ac:dyDescent="0.45">
      <c r="A10" s="34"/>
      <c r="B10" s="4" t="s">
        <v>20</v>
      </c>
      <c r="C10" s="5" t="s">
        <v>21</v>
      </c>
      <c r="D10" s="4">
        <v>1</v>
      </c>
      <c r="E10" s="4" t="s">
        <v>366</v>
      </c>
    </row>
    <row r="11" spans="1:8" x14ac:dyDescent="0.45">
      <c r="A11" s="34"/>
      <c r="B11" s="4" t="s">
        <v>256</v>
      </c>
      <c r="C11" s="5" t="s">
        <v>258</v>
      </c>
      <c r="D11" s="4">
        <v>1</v>
      </c>
      <c r="E11" s="4" t="s">
        <v>366</v>
      </c>
    </row>
    <row r="12" spans="1:8" x14ac:dyDescent="0.45">
      <c r="A12" s="34"/>
      <c r="B12" s="4" t="s">
        <v>257</v>
      </c>
      <c r="C12" s="5" t="s">
        <v>259</v>
      </c>
      <c r="D12" s="4">
        <v>1</v>
      </c>
      <c r="E12" s="4" t="s">
        <v>366</v>
      </c>
    </row>
    <row r="13" spans="1:8" x14ac:dyDescent="0.45">
      <c r="A13" s="34"/>
      <c r="B13" s="4" t="s">
        <v>22</v>
      </c>
      <c r="C13" s="5" t="s">
        <v>23</v>
      </c>
      <c r="D13" s="4">
        <v>1</v>
      </c>
      <c r="E13" s="4" t="s">
        <v>366</v>
      </c>
    </row>
    <row r="14" spans="1:8" x14ac:dyDescent="0.45">
      <c r="A14" s="34"/>
      <c r="B14" s="4" t="s">
        <v>24</v>
      </c>
      <c r="C14" s="5" t="s">
        <v>25</v>
      </c>
      <c r="D14" s="4">
        <v>1</v>
      </c>
      <c r="E14" s="4" t="s">
        <v>366</v>
      </c>
    </row>
    <row r="15" spans="1:8" x14ac:dyDescent="0.45">
      <c r="A15" s="34"/>
      <c r="B15" s="4" t="s">
        <v>249</v>
      </c>
      <c r="C15" s="5" t="s">
        <v>26</v>
      </c>
      <c r="D15" s="4">
        <v>1</v>
      </c>
      <c r="E15" s="4" t="s">
        <v>366</v>
      </c>
    </row>
    <row r="16" spans="1:8" x14ac:dyDescent="0.45">
      <c r="A16" s="34"/>
      <c r="B16" s="4" t="s">
        <v>250</v>
      </c>
      <c r="C16" s="5" t="s">
        <v>251</v>
      </c>
      <c r="D16" s="4">
        <v>1</v>
      </c>
      <c r="E16" s="4" t="s">
        <v>366</v>
      </c>
    </row>
    <row r="17" spans="1:5" x14ac:dyDescent="0.45">
      <c r="A17" s="34"/>
      <c r="B17" s="4" t="s">
        <v>252</v>
      </c>
      <c r="C17" s="5" t="s">
        <v>255</v>
      </c>
      <c r="D17" s="4">
        <v>1</v>
      </c>
      <c r="E17" s="4" t="s">
        <v>366</v>
      </c>
    </row>
    <row r="18" spans="1:5" x14ac:dyDescent="0.45">
      <c r="A18" s="34"/>
      <c r="B18" s="4" t="s">
        <v>253</v>
      </c>
      <c r="C18" s="5" t="s">
        <v>254</v>
      </c>
      <c r="D18" s="4">
        <v>1</v>
      </c>
      <c r="E18" s="4" t="s">
        <v>366</v>
      </c>
    </row>
    <row r="19" spans="1:5" x14ac:dyDescent="0.45">
      <c r="A19" s="34" t="s">
        <v>208</v>
      </c>
      <c r="B19" s="4" t="s">
        <v>4</v>
      </c>
      <c r="C19" s="5" t="s">
        <v>5</v>
      </c>
      <c r="D19" s="4">
        <v>1</v>
      </c>
      <c r="E19" s="4" t="s">
        <v>366</v>
      </c>
    </row>
    <row r="20" spans="1:5" x14ac:dyDescent="0.45">
      <c r="A20" s="34"/>
      <c r="B20" s="4" t="s">
        <v>8</v>
      </c>
      <c r="C20" s="5" t="s">
        <v>9</v>
      </c>
      <c r="D20" s="4">
        <v>1</v>
      </c>
      <c r="E20" s="4" t="s">
        <v>366</v>
      </c>
    </row>
    <row r="21" spans="1:5" x14ac:dyDescent="0.45">
      <c r="A21" s="34"/>
      <c r="B21" s="4" t="s">
        <v>27</v>
      </c>
      <c r="C21" s="5" t="s">
        <v>28</v>
      </c>
      <c r="D21" s="4">
        <v>1</v>
      </c>
      <c r="E21" s="4" t="s">
        <v>366</v>
      </c>
    </row>
    <row r="22" spans="1:5" x14ac:dyDescent="0.45">
      <c r="A22" s="34"/>
      <c r="B22" s="4" t="s">
        <v>29</v>
      </c>
      <c r="C22" s="5" t="s">
        <v>30</v>
      </c>
      <c r="D22" s="4">
        <v>1</v>
      </c>
      <c r="E22" s="4" t="s">
        <v>366</v>
      </c>
    </row>
    <row r="23" spans="1:5" x14ac:dyDescent="0.45">
      <c r="A23" s="34"/>
      <c r="B23" s="4" t="s">
        <v>31</v>
      </c>
      <c r="C23" s="5" t="s">
        <v>32</v>
      </c>
      <c r="D23" s="4">
        <v>1</v>
      </c>
      <c r="E23" s="4" t="s">
        <v>366</v>
      </c>
    </row>
    <row r="24" spans="1:5" x14ac:dyDescent="0.45">
      <c r="A24" s="34"/>
      <c r="B24" s="4" t="s">
        <v>33</v>
      </c>
      <c r="C24" s="5" t="s">
        <v>34</v>
      </c>
      <c r="D24" s="4">
        <v>1</v>
      </c>
      <c r="E24" s="4" t="s">
        <v>366</v>
      </c>
    </row>
    <row r="25" spans="1:5" x14ac:dyDescent="0.45">
      <c r="A25" s="34"/>
      <c r="B25" s="4" t="s">
        <v>35</v>
      </c>
      <c r="C25" s="5" t="s">
        <v>36</v>
      </c>
      <c r="D25" s="4">
        <v>1</v>
      </c>
      <c r="E25" s="4" t="s">
        <v>366</v>
      </c>
    </row>
    <row r="26" spans="1:5" x14ac:dyDescent="0.45">
      <c r="A26" s="34" t="s">
        <v>209</v>
      </c>
      <c r="B26" s="4" t="s">
        <v>37</v>
      </c>
      <c r="C26" s="5" t="s">
        <v>38</v>
      </c>
      <c r="D26" s="4">
        <v>0.85</v>
      </c>
      <c r="E26" s="4" t="s">
        <v>397</v>
      </c>
    </row>
    <row r="27" spans="1:5" x14ac:dyDescent="0.45">
      <c r="A27" s="34"/>
      <c r="B27" s="4" t="s">
        <v>39</v>
      </c>
      <c r="C27" s="5" t="s">
        <v>40</v>
      </c>
      <c r="D27" s="4">
        <v>0.85</v>
      </c>
      <c r="E27" s="4" t="s">
        <v>400</v>
      </c>
    </row>
    <row r="28" spans="1:5" x14ac:dyDescent="0.45">
      <c r="A28" s="34"/>
      <c r="B28" s="4" t="s">
        <v>41</v>
      </c>
      <c r="C28" s="5" t="s">
        <v>42</v>
      </c>
      <c r="D28" s="4">
        <v>0.85</v>
      </c>
      <c r="E28" s="4" t="s">
        <v>397</v>
      </c>
    </row>
    <row r="29" spans="1:5" x14ac:dyDescent="0.45">
      <c r="A29" s="34"/>
      <c r="B29" s="4" t="s">
        <v>43</v>
      </c>
      <c r="C29" s="5" t="s">
        <v>44</v>
      </c>
      <c r="D29" s="4">
        <v>0.85</v>
      </c>
      <c r="E29" s="4" t="s">
        <v>400</v>
      </c>
    </row>
    <row r="30" spans="1:5" x14ac:dyDescent="0.45">
      <c r="A30" s="34"/>
      <c r="B30" s="4" t="s">
        <v>45</v>
      </c>
      <c r="C30" s="5" t="s">
        <v>46</v>
      </c>
      <c r="D30" s="4">
        <v>0.66</v>
      </c>
      <c r="E30" s="4" t="s">
        <v>397</v>
      </c>
    </row>
    <row r="31" spans="1:5" x14ac:dyDescent="0.45">
      <c r="A31" s="34"/>
      <c r="B31" s="4" t="s">
        <v>47</v>
      </c>
      <c r="C31" s="5" t="s">
        <v>48</v>
      </c>
      <c r="D31" s="4">
        <v>0.8</v>
      </c>
      <c r="E31" s="4" t="s">
        <v>409</v>
      </c>
    </row>
    <row r="32" spans="1:5" x14ac:dyDescent="0.45">
      <c r="A32" s="34"/>
      <c r="B32" s="4" t="s">
        <v>49</v>
      </c>
      <c r="C32" s="5" t="s">
        <v>50</v>
      </c>
      <c r="D32" s="4">
        <v>0.66</v>
      </c>
      <c r="E32" s="4" t="s">
        <v>397</v>
      </c>
    </row>
    <row r="33" spans="1:5" x14ac:dyDescent="0.45">
      <c r="A33" s="34"/>
      <c r="B33" s="4" t="s">
        <v>51</v>
      </c>
      <c r="C33" s="5" t="s">
        <v>52</v>
      </c>
      <c r="D33" s="4">
        <v>0.8</v>
      </c>
      <c r="E33" s="4" t="s">
        <v>409</v>
      </c>
    </row>
    <row r="34" spans="1:5" x14ac:dyDescent="0.45">
      <c r="A34" s="34"/>
      <c r="B34" s="4" t="s">
        <v>53</v>
      </c>
      <c r="C34" s="5" t="s">
        <v>54</v>
      </c>
      <c r="D34" s="4">
        <v>0.85</v>
      </c>
      <c r="E34" s="4" t="s">
        <v>400</v>
      </c>
    </row>
    <row r="35" spans="1:5" x14ac:dyDescent="0.45">
      <c r="A35" s="34"/>
      <c r="B35" s="4" t="s">
        <v>63</v>
      </c>
      <c r="C35" s="5" t="s">
        <v>64</v>
      </c>
      <c r="D35" s="4">
        <v>0.5</v>
      </c>
      <c r="E35" s="4" t="s">
        <v>397</v>
      </c>
    </row>
    <row r="36" spans="1:5" ht="29" x14ac:dyDescent="0.45">
      <c r="A36" s="34"/>
      <c r="B36" s="4" t="s">
        <v>65</v>
      </c>
      <c r="C36" s="5" t="s">
        <v>66</v>
      </c>
      <c r="D36" s="4">
        <v>0.37</v>
      </c>
      <c r="E36" s="14" t="s">
        <v>395</v>
      </c>
    </row>
    <row r="37" spans="1:5" x14ac:dyDescent="0.45">
      <c r="A37" s="34"/>
      <c r="B37" s="4" t="s">
        <v>241</v>
      </c>
      <c r="C37" s="5" t="s">
        <v>242</v>
      </c>
      <c r="D37" s="4">
        <v>0.85</v>
      </c>
      <c r="E37" s="4" t="s">
        <v>397</v>
      </c>
    </row>
    <row r="38" spans="1:5" x14ac:dyDescent="0.45">
      <c r="A38" s="34"/>
      <c r="B38" s="4" t="s">
        <v>67</v>
      </c>
      <c r="C38" s="5" t="s">
        <v>68</v>
      </c>
      <c r="D38" s="4">
        <v>0.85</v>
      </c>
      <c r="E38" s="4" t="s">
        <v>397</v>
      </c>
    </row>
    <row r="39" spans="1:5" x14ac:dyDescent="0.45">
      <c r="A39" s="34"/>
      <c r="B39" s="4" t="s">
        <v>69</v>
      </c>
      <c r="C39" s="5" t="s">
        <v>70</v>
      </c>
      <c r="D39" s="4">
        <v>0.24</v>
      </c>
      <c r="E39" s="4" t="s">
        <v>397</v>
      </c>
    </row>
    <row r="40" spans="1:5" x14ac:dyDescent="0.45">
      <c r="A40" s="34"/>
      <c r="B40" s="4" t="s">
        <v>71</v>
      </c>
      <c r="C40" s="5" t="s">
        <v>72</v>
      </c>
      <c r="D40" s="4">
        <v>0.32</v>
      </c>
      <c r="E40" s="4" t="s">
        <v>408</v>
      </c>
    </row>
    <row r="41" spans="1:5" x14ac:dyDescent="0.45">
      <c r="A41" s="34"/>
      <c r="B41" s="4" t="s">
        <v>73</v>
      </c>
      <c r="C41" s="5" t="s">
        <v>74</v>
      </c>
      <c r="D41" s="4">
        <v>0.4</v>
      </c>
      <c r="E41" s="4" t="s">
        <v>397</v>
      </c>
    </row>
    <row r="42" spans="1:5" ht="29" x14ac:dyDescent="0.45">
      <c r="A42" s="34"/>
      <c r="B42" s="4" t="s">
        <v>75</v>
      </c>
      <c r="C42" s="5" t="s">
        <v>76</v>
      </c>
      <c r="D42" s="4">
        <v>0.3</v>
      </c>
      <c r="E42" s="14" t="s">
        <v>395</v>
      </c>
    </row>
    <row r="43" spans="1:5" x14ac:dyDescent="0.45">
      <c r="A43" s="34"/>
      <c r="B43" s="4" t="s">
        <v>77</v>
      </c>
      <c r="C43" s="5" t="s">
        <v>78</v>
      </c>
      <c r="D43" s="4">
        <v>0.4</v>
      </c>
      <c r="E43" s="4" t="s">
        <v>408</v>
      </c>
    </row>
    <row r="44" spans="1:5" ht="29" x14ac:dyDescent="0.45">
      <c r="A44" s="34"/>
      <c r="B44" s="4" t="s">
        <v>79</v>
      </c>
      <c r="C44" s="5" t="s">
        <v>80</v>
      </c>
      <c r="D44" s="4">
        <v>0.4</v>
      </c>
      <c r="E44" s="14" t="s">
        <v>395</v>
      </c>
    </row>
    <row r="45" spans="1:5" x14ac:dyDescent="0.45">
      <c r="A45" s="34"/>
      <c r="B45" s="4" t="s">
        <v>81</v>
      </c>
      <c r="C45" s="5" t="s">
        <v>82</v>
      </c>
      <c r="D45" s="4">
        <v>0.53</v>
      </c>
      <c r="E45" s="4" t="s">
        <v>408</v>
      </c>
    </row>
    <row r="46" spans="1:5" ht="29" x14ac:dyDescent="0.45">
      <c r="A46" s="34"/>
      <c r="B46" s="4" t="s">
        <v>83</v>
      </c>
      <c r="C46" s="5" t="s">
        <v>84</v>
      </c>
      <c r="D46" s="4">
        <v>0.67</v>
      </c>
      <c r="E46" s="14" t="s">
        <v>395</v>
      </c>
    </row>
    <row r="47" spans="1:5" ht="17.25" customHeight="1" x14ac:dyDescent="0.45">
      <c r="A47" s="35" t="s">
        <v>210</v>
      </c>
      <c r="B47" s="4" t="s">
        <v>55</v>
      </c>
      <c r="C47" s="5" t="s">
        <v>56</v>
      </c>
      <c r="D47" s="4">
        <v>1</v>
      </c>
      <c r="E47" s="4" t="s">
        <v>366</v>
      </c>
    </row>
    <row r="48" spans="1:5" x14ac:dyDescent="0.45">
      <c r="A48" s="36"/>
      <c r="B48" s="4" t="s">
        <v>57</v>
      </c>
      <c r="C48" s="5" t="s">
        <v>58</v>
      </c>
      <c r="D48" s="4">
        <v>0.85</v>
      </c>
      <c r="E48" s="4" t="s">
        <v>420</v>
      </c>
    </row>
    <row r="49" spans="1:5" x14ac:dyDescent="0.45">
      <c r="A49" s="36"/>
      <c r="B49" s="4" t="s">
        <v>59</v>
      </c>
      <c r="C49" s="5" t="s">
        <v>60</v>
      </c>
      <c r="D49" s="4">
        <v>1</v>
      </c>
      <c r="E49" s="4" t="s">
        <v>366</v>
      </c>
    </row>
    <row r="50" spans="1:5" x14ac:dyDescent="0.45">
      <c r="A50" s="36"/>
      <c r="B50" s="4" t="s">
        <v>61</v>
      </c>
      <c r="C50" s="5" t="s">
        <v>62</v>
      </c>
      <c r="D50" s="4">
        <v>1</v>
      </c>
      <c r="E50" s="4" t="s">
        <v>366</v>
      </c>
    </row>
    <row r="51" spans="1:5" x14ac:dyDescent="0.45">
      <c r="A51" s="36"/>
      <c r="B51" s="4" t="s">
        <v>85</v>
      </c>
      <c r="C51" s="5" t="s">
        <v>86</v>
      </c>
      <c r="D51" s="4">
        <v>0.9</v>
      </c>
      <c r="E51" s="4" t="s">
        <v>248</v>
      </c>
    </row>
    <row r="52" spans="1:5" x14ac:dyDescent="0.45">
      <c r="A52" s="36"/>
      <c r="B52" s="4" t="s">
        <v>87</v>
      </c>
      <c r="C52" s="5" t="s">
        <v>88</v>
      </c>
      <c r="D52" s="4">
        <v>0.9</v>
      </c>
      <c r="E52" s="4" t="s">
        <v>248</v>
      </c>
    </row>
    <row r="53" spans="1:5" x14ac:dyDescent="0.45">
      <c r="A53" s="36"/>
      <c r="B53" s="4" t="s">
        <v>89</v>
      </c>
      <c r="C53" s="5" t="s">
        <v>90</v>
      </c>
      <c r="D53" s="4">
        <v>0.94</v>
      </c>
      <c r="E53" s="4" t="s">
        <v>248</v>
      </c>
    </row>
    <row r="54" spans="1:5" x14ac:dyDescent="0.45">
      <c r="A54" s="37"/>
      <c r="B54" s="4" t="s">
        <v>430</v>
      </c>
      <c r="C54" s="5" t="s">
        <v>431</v>
      </c>
      <c r="D54" s="4">
        <v>0.93</v>
      </c>
      <c r="E54" s="4" t="s">
        <v>420</v>
      </c>
    </row>
    <row r="55" spans="1:5" x14ac:dyDescent="0.45">
      <c r="A55" s="34" t="s">
        <v>211</v>
      </c>
      <c r="B55" s="4" t="s">
        <v>91</v>
      </c>
      <c r="C55" s="5" t="s">
        <v>92</v>
      </c>
      <c r="D55" s="4">
        <v>0.24</v>
      </c>
      <c r="E55" s="4" t="s">
        <v>397</v>
      </c>
    </row>
    <row r="56" spans="1:5" x14ac:dyDescent="0.45">
      <c r="A56" s="34"/>
      <c r="B56" s="4" t="s">
        <v>93</v>
      </c>
      <c r="C56" s="5" t="s">
        <v>94</v>
      </c>
      <c r="D56" s="4">
        <v>0.12</v>
      </c>
      <c r="E56" s="4" t="s">
        <v>409</v>
      </c>
    </row>
    <row r="57" spans="1:5" x14ac:dyDescent="0.45">
      <c r="A57" s="34"/>
      <c r="B57" s="4" t="s">
        <v>95</v>
      </c>
      <c r="C57" s="5" t="s">
        <v>96</v>
      </c>
      <c r="D57" s="4">
        <v>0.4</v>
      </c>
      <c r="E57" s="4" t="s">
        <v>397</v>
      </c>
    </row>
    <row r="58" spans="1:5" x14ac:dyDescent="0.45">
      <c r="A58" s="34" t="s">
        <v>212</v>
      </c>
      <c r="B58" s="4" t="s">
        <v>97</v>
      </c>
      <c r="C58" s="5" t="s">
        <v>98</v>
      </c>
      <c r="D58" s="4">
        <v>1</v>
      </c>
      <c r="E58" s="4" t="s">
        <v>366</v>
      </c>
    </row>
    <row r="59" spans="1:5" x14ac:dyDescent="0.45">
      <c r="A59" s="34"/>
      <c r="B59" s="4" t="s">
        <v>99</v>
      </c>
      <c r="C59" s="5" t="s">
        <v>100</v>
      </c>
      <c r="D59" s="4">
        <v>1</v>
      </c>
      <c r="E59" s="4" t="s">
        <v>366</v>
      </c>
    </row>
    <row r="60" spans="1:5" x14ac:dyDescent="0.45">
      <c r="A60" s="34" t="s">
        <v>382</v>
      </c>
      <c r="B60" s="4" t="s">
        <v>213</v>
      </c>
      <c r="C60" s="5" t="s">
        <v>101</v>
      </c>
      <c r="D60" s="4">
        <v>0.35</v>
      </c>
      <c r="E60" s="4" t="s">
        <v>409</v>
      </c>
    </row>
    <row r="61" spans="1:5" x14ac:dyDescent="0.45">
      <c r="A61" s="34"/>
      <c r="B61" s="4" t="s">
        <v>214</v>
      </c>
      <c r="C61" s="5" t="s">
        <v>102</v>
      </c>
      <c r="D61" s="4">
        <v>0.35</v>
      </c>
      <c r="E61" s="4" t="s">
        <v>409</v>
      </c>
    </row>
    <row r="62" spans="1:5" x14ac:dyDescent="0.45">
      <c r="A62" s="34"/>
      <c r="B62" s="4" t="s">
        <v>215</v>
      </c>
      <c r="C62" s="5" t="s">
        <v>103</v>
      </c>
      <c r="D62" s="4">
        <v>0.35</v>
      </c>
      <c r="E62" s="4" t="s">
        <v>409</v>
      </c>
    </row>
    <row r="63" spans="1:5" x14ac:dyDescent="0.45">
      <c r="A63" s="34"/>
      <c r="B63" s="4" t="s">
        <v>216</v>
      </c>
      <c r="C63" s="5" t="s">
        <v>206</v>
      </c>
      <c r="D63" s="4">
        <v>0.35</v>
      </c>
      <c r="E63" s="4" t="s">
        <v>409</v>
      </c>
    </row>
    <row r="64" spans="1:5" x14ac:dyDescent="0.45">
      <c r="A64" s="34"/>
      <c r="B64" s="4" t="s">
        <v>217</v>
      </c>
      <c r="C64" s="5" t="s">
        <v>104</v>
      </c>
      <c r="D64" s="4">
        <v>0.35</v>
      </c>
      <c r="E64" s="4" t="s">
        <v>415</v>
      </c>
    </row>
    <row r="65" spans="1:5" x14ac:dyDescent="0.45">
      <c r="A65" s="34" t="s">
        <v>219</v>
      </c>
      <c r="B65" s="4" t="s">
        <v>105</v>
      </c>
      <c r="C65" s="5" t="s">
        <v>106</v>
      </c>
      <c r="D65" s="4">
        <v>0.4</v>
      </c>
      <c r="E65" s="4" t="s">
        <v>409</v>
      </c>
    </row>
    <row r="66" spans="1:5" x14ac:dyDescent="0.45">
      <c r="A66" s="34"/>
      <c r="B66" s="4" t="s">
        <v>107</v>
      </c>
      <c r="C66" s="5" t="s">
        <v>108</v>
      </c>
      <c r="D66" s="4">
        <v>0.4</v>
      </c>
      <c r="E66" s="4" t="s">
        <v>409</v>
      </c>
    </row>
    <row r="67" spans="1:5" x14ac:dyDescent="0.45">
      <c r="A67" s="34"/>
      <c r="B67" s="4" t="s">
        <v>109</v>
      </c>
      <c r="C67" s="5" t="s">
        <v>110</v>
      </c>
      <c r="D67" s="4">
        <v>0.4</v>
      </c>
      <c r="E67" s="4" t="s">
        <v>415</v>
      </c>
    </row>
    <row r="68" spans="1:5" x14ac:dyDescent="0.45">
      <c r="A68" s="34" t="s">
        <v>220</v>
      </c>
      <c r="B68" s="4" t="s">
        <v>111</v>
      </c>
      <c r="C68" s="5" t="s">
        <v>112</v>
      </c>
      <c r="D68" s="4">
        <v>0.4</v>
      </c>
      <c r="E68" s="4" t="s">
        <v>409</v>
      </c>
    </row>
    <row r="69" spans="1:5" x14ac:dyDescent="0.45">
      <c r="A69" s="34"/>
      <c r="B69" s="4" t="s">
        <v>113</v>
      </c>
      <c r="C69" s="5" t="s">
        <v>114</v>
      </c>
      <c r="D69" s="4">
        <v>0.4</v>
      </c>
      <c r="E69" s="4" t="s">
        <v>415</v>
      </c>
    </row>
    <row r="70" spans="1:5" x14ac:dyDescent="0.45">
      <c r="A70" s="34" t="s">
        <v>221</v>
      </c>
      <c r="B70" s="4" t="s">
        <v>115</v>
      </c>
      <c r="C70" s="5" t="s">
        <v>116</v>
      </c>
      <c r="D70" s="4">
        <v>0.35</v>
      </c>
      <c r="E70" s="4" t="s">
        <v>409</v>
      </c>
    </row>
    <row r="71" spans="1:5" x14ac:dyDescent="0.45">
      <c r="A71" s="34"/>
      <c r="B71" s="4" t="s">
        <v>117</v>
      </c>
      <c r="C71" s="5" t="s">
        <v>118</v>
      </c>
      <c r="D71" s="4">
        <v>0.35</v>
      </c>
      <c r="E71" s="4" t="s">
        <v>409</v>
      </c>
    </row>
    <row r="72" spans="1:5" x14ac:dyDescent="0.45">
      <c r="A72" s="34"/>
      <c r="B72" s="4" t="s">
        <v>119</v>
      </c>
      <c r="C72" s="5" t="s">
        <v>120</v>
      </c>
      <c r="D72" s="4">
        <v>0.35</v>
      </c>
      <c r="E72" s="4" t="s">
        <v>409</v>
      </c>
    </row>
    <row r="73" spans="1:5" x14ac:dyDescent="0.45">
      <c r="A73" s="34"/>
      <c r="B73" s="4" t="s">
        <v>121</v>
      </c>
      <c r="C73" s="5" t="s">
        <v>122</v>
      </c>
      <c r="D73" s="4">
        <v>0.35</v>
      </c>
      <c r="E73" s="4" t="s">
        <v>415</v>
      </c>
    </row>
    <row r="74" spans="1:5" x14ac:dyDescent="0.45">
      <c r="A74" s="34" t="s">
        <v>222</v>
      </c>
      <c r="B74" s="4" t="s">
        <v>123</v>
      </c>
      <c r="C74" s="5" t="s">
        <v>124</v>
      </c>
      <c r="D74" s="4">
        <v>0.4</v>
      </c>
      <c r="E74" s="4" t="s">
        <v>409</v>
      </c>
    </row>
    <row r="75" spans="1:5" x14ac:dyDescent="0.45">
      <c r="A75" s="34"/>
      <c r="B75" s="4" t="s">
        <v>125</v>
      </c>
      <c r="C75" s="5" t="s">
        <v>126</v>
      </c>
      <c r="D75" s="4">
        <v>0.4</v>
      </c>
      <c r="E75" s="4" t="s">
        <v>415</v>
      </c>
    </row>
    <row r="76" spans="1:5" x14ac:dyDescent="0.45">
      <c r="A76" s="34" t="s">
        <v>223</v>
      </c>
      <c r="B76" s="4" t="s">
        <v>127</v>
      </c>
      <c r="C76" s="5" t="s">
        <v>128</v>
      </c>
      <c r="D76" s="4">
        <v>0.35</v>
      </c>
      <c r="E76" s="4" t="s">
        <v>409</v>
      </c>
    </row>
    <row r="77" spans="1:5" x14ac:dyDescent="0.45">
      <c r="A77" s="34"/>
      <c r="B77" s="4" t="s">
        <v>129</v>
      </c>
      <c r="C77" s="5" t="s">
        <v>130</v>
      </c>
      <c r="D77" s="4">
        <v>0.35</v>
      </c>
      <c r="E77" s="4" t="s">
        <v>409</v>
      </c>
    </row>
    <row r="78" spans="1:5" x14ac:dyDescent="0.45">
      <c r="A78" s="34"/>
      <c r="B78" s="4" t="s">
        <v>131</v>
      </c>
      <c r="C78" s="5" t="s">
        <v>132</v>
      </c>
      <c r="D78" s="4">
        <v>0.35</v>
      </c>
      <c r="E78" s="4" t="s">
        <v>409</v>
      </c>
    </row>
    <row r="79" spans="1:5" x14ac:dyDescent="0.45">
      <c r="A79" s="34"/>
      <c r="B79" s="4" t="s">
        <v>133</v>
      </c>
      <c r="C79" s="5" t="s">
        <v>134</v>
      </c>
      <c r="D79" s="4">
        <v>0.35</v>
      </c>
      <c r="E79" s="4" t="s">
        <v>409</v>
      </c>
    </row>
    <row r="80" spans="1:5" x14ac:dyDescent="0.45">
      <c r="A80" s="34"/>
      <c r="B80" s="4" t="s">
        <v>135</v>
      </c>
      <c r="C80" s="5" t="s">
        <v>136</v>
      </c>
      <c r="D80" s="4">
        <v>0.35</v>
      </c>
      <c r="E80" s="4" t="s">
        <v>415</v>
      </c>
    </row>
    <row r="81" spans="1:5" x14ac:dyDescent="0.45">
      <c r="A81" s="34" t="s">
        <v>224</v>
      </c>
      <c r="B81" s="4" t="s">
        <v>137</v>
      </c>
      <c r="C81" s="5" t="s">
        <v>138</v>
      </c>
      <c r="D81" s="4">
        <v>0.35</v>
      </c>
      <c r="E81" s="4" t="s">
        <v>409</v>
      </c>
    </row>
    <row r="82" spans="1:5" x14ac:dyDescent="0.45">
      <c r="A82" s="34"/>
      <c r="B82" s="4" t="s">
        <v>139</v>
      </c>
      <c r="C82" s="5" t="s">
        <v>140</v>
      </c>
      <c r="D82" s="4">
        <v>0.35</v>
      </c>
      <c r="E82" s="4" t="s">
        <v>409</v>
      </c>
    </row>
    <row r="83" spans="1:5" x14ac:dyDescent="0.45">
      <c r="A83" s="34"/>
      <c r="B83" s="4" t="s">
        <v>141</v>
      </c>
      <c r="C83" s="5" t="s">
        <v>142</v>
      </c>
      <c r="D83" s="4">
        <v>0.35</v>
      </c>
      <c r="E83" s="4" t="s">
        <v>409</v>
      </c>
    </row>
    <row r="84" spans="1:5" x14ac:dyDescent="0.45">
      <c r="A84" s="34"/>
      <c r="B84" s="4" t="s">
        <v>143</v>
      </c>
      <c r="C84" s="5" t="s">
        <v>144</v>
      </c>
      <c r="D84" s="4">
        <v>0.35</v>
      </c>
      <c r="E84" s="4" t="s">
        <v>415</v>
      </c>
    </row>
    <row r="85" spans="1:5" x14ac:dyDescent="0.45">
      <c r="A85" s="34" t="s">
        <v>225</v>
      </c>
      <c r="B85" s="4" t="s">
        <v>145</v>
      </c>
      <c r="C85" s="5" t="s">
        <v>146</v>
      </c>
      <c r="D85" s="4">
        <v>1</v>
      </c>
      <c r="E85" s="4" t="s">
        <v>366</v>
      </c>
    </row>
    <row r="86" spans="1:5" x14ac:dyDescent="0.45">
      <c r="A86" s="34"/>
      <c r="B86" s="4" t="s">
        <v>147</v>
      </c>
      <c r="C86" s="5" t="s">
        <v>148</v>
      </c>
      <c r="D86" s="4">
        <v>1</v>
      </c>
      <c r="E86" s="4" t="s">
        <v>366</v>
      </c>
    </row>
    <row r="87" spans="1:5" x14ac:dyDescent="0.45">
      <c r="A87" s="34"/>
      <c r="B87" s="4" t="s">
        <v>149</v>
      </c>
      <c r="C87" s="5" t="s">
        <v>150</v>
      </c>
      <c r="D87" s="4">
        <v>1</v>
      </c>
      <c r="E87" s="4" t="s">
        <v>366</v>
      </c>
    </row>
    <row r="88" spans="1:5" x14ac:dyDescent="0.45">
      <c r="A88" s="34"/>
      <c r="B88" s="4" t="s">
        <v>151</v>
      </c>
      <c r="C88" s="5" t="s">
        <v>152</v>
      </c>
      <c r="D88" s="4">
        <v>1</v>
      </c>
      <c r="E88" s="4" t="s">
        <v>366</v>
      </c>
    </row>
    <row r="89" spans="1:5" x14ac:dyDescent="0.45">
      <c r="A89" s="34" t="s">
        <v>226</v>
      </c>
      <c r="B89" s="4" t="s">
        <v>153</v>
      </c>
      <c r="C89" s="5" t="s">
        <v>154</v>
      </c>
      <c r="D89" s="4">
        <v>1</v>
      </c>
      <c r="E89" s="4" t="s">
        <v>366</v>
      </c>
    </row>
    <row r="90" spans="1:5" x14ac:dyDescent="0.45">
      <c r="A90" s="34"/>
      <c r="B90" s="4" t="s">
        <v>155</v>
      </c>
      <c r="C90" s="5" t="s">
        <v>156</v>
      </c>
      <c r="D90" s="4">
        <v>1</v>
      </c>
      <c r="E90" s="4" t="s">
        <v>366</v>
      </c>
    </row>
    <row r="91" spans="1:5" x14ac:dyDescent="0.45">
      <c r="A91" s="34" t="s">
        <v>227</v>
      </c>
      <c r="B91" s="4" t="s">
        <v>157</v>
      </c>
      <c r="C91" s="5" t="s">
        <v>158</v>
      </c>
      <c r="D91" s="4">
        <v>1</v>
      </c>
      <c r="E91" s="4" t="s">
        <v>366</v>
      </c>
    </row>
    <row r="92" spans="1:5" x14ac:dyDescent="0.45">
      <c r="A92" s="34"/>
      <c r="B92" s="4" t="s">
        <v>159</v>
      </c>
      <c r="C92" s="5" t="s">
        <v>160</v>
      </c>
      <c r="D92" s="4">
        <v>1</v>
      </c>
      <c r="E92" s="4" t="s">
        <v>366</v>
      </c>
    </row>
    <row r="93" spans="1:5" x14ac:dyDescent="0.45">
      <c r="A93" s="34" t="s">
        <v>228</v>
      </c>
      <c r="B93" s="4" t="s">
        <v>161</v>
      </c>
      <c r="C93" s="5" t="s">
        <v>162</v>
      </c>
      <c r="D93" s="4">
        <v>1</v>
      </c>
      <c r="E93" s="4" t="s">
        <v>366</v>
      </c>
    </row>
    <row r="94" spans="1:5" x14ac:dyDescent="0.45">
      <c r="A94" s="34"/>
      <c r="B94" s="4" t="s">
        <v>163</v>
      </c>
      <c r="C94" s="5" t="s">
        <v>164</v>
      </c>
      <c r="D94" s="4">
        <v>1</v>
      </c>
      <c r="E94" s="4" t="s">
        <v>366</v>
      </c>
    </row>
    <row r="95" spans="1:5" x14ac:dyDescent="0.45">
      <c r="A95" s="34" t="s">
        <v>229</v>
      </c>
      <c r="B95" s="4" t="s">
        <v>165</v>
      </c>
      <c r="C95" s="5" t="s">
        <v>166</v>
      </c>
      <c r="D95" s="4">
        <v>1</v>
      </c>
      <c r="E95" s="4" t="s">
        <v>366</v>
      </c>
    </row>
    <row r="96" spans="1:5" x14ac:dyDescent="0.45">
      <c r="A96" s="34"/>
      <c r="B96" s="4" t="s">
        <v>167</v>
      </c>
      <c r="C96" s="5" t="s">
        <v>168</v>
      </c>
      <c r="D96" s="4">
        <v>1</v>
      </c>
      <c r="E96" s="4" t="s">
        <v>366</v>
      </c>
    </row>
    <row r="97" spans="1:5" x14ac:dyDescent="0.45">
      <c r="A97" s="34" t="s">
        <v>230</v>
      </c>
      <c r="B97" s="4" t="s">
        <v>169</v>
      </c>
      <c r="C97" s="5" t="s">
        <v>170</v>
      </c>
      <c r="D97" s="4">
        <v>1</v>
      </c>
      <c r="E97" s="4" t="s">
        <v>366</v>
      </c>
    </row>
    <row r="98" spans="1:5" x14ac:dyDescent="0.45">
      <c r="A98" s="34"/>
      <c r="B98" s="4" t="s">
        <v>171</v>
      </c>
      <c r="C98" s="5" t="s">
        <v>172</v>
      </c>
      <c r="D98" s="4">
        <v>1</v>
      </c>
      <c r="E98" s="4" t="s">
        <v>366</v>
      </c>
    </row>
    <row r="99" spans="1:5" x14ac:dyDescent="0.45">
      <c r="A99" s="34" t="s">
        <v>231</v>
      </c>
      <c r="B99" s="4" t="s">
        <v>173</v>
      </c>
      <c r="C99" s="5" t="s">
        <v>174</v>
      </c>
      <c r="D99" s="4">
        <v>1</v>
      </c>
      <c r="E99" s="4" t="s">
        <v>366</v>
      </c>
    </row>
    <row r="100" spans="1:5" x14ac:dyDescent="0.45">
      <c r="A100" s="34"/>
      <c r="B100" s="4" t="s">
        <v>175</v>
      </c>
      <c r="C100" s="5" t="s">
        <v>176</v>
      </c>
      <c r="D100" s="4">
        <v>1</v>
      </c>
      <c r="E100" s="4" t="s">
        <v>366</v>
      </c>
    </row>
    <row r="101" spans="1:5" x14ac:dyDescent="0.45">
      <c r="A101" s="34" t="s">
        <v>232</v>
      </c>
      <c r="B101" s="4" t="s">
        <v>177</v>
      </c>
      <c r="C101" s="5" t="s">
        <v>547</v>
      </c>
      <c r="D101" s="4">
        <v>1</v>
      </c>
      <c r="E101" s="4" t="s">
        <v>366</v>
      </c>
    </row>
    <row r="102" spans="1:5" x14ac:dyDescent="0.45">
      <c r="A102" s="34"/>
      <c r="B102" s="4" t="s">
        <v>179</v>
      </c>
      <c r="C102" s="5" t="s">
        <v>548</v>
      </c>
      <c r="D102" s="4">
        <v>1</v>
      </c>
      <c r="E102" s="4" t="s">
        <v>366</v>
      </c>
    </row>
    <row r="103" spans="1:5" ht="52.5" x14ac:dyDescent="0.45">
      <c r="A103" s="4" t="s">
        <v>233</v>
      </c>
      <c r="B103" s="4" t="s">
        <v>381</v>
      </c>
      <c r="C103" s="5" t="s">
        <v>181</v>
      </c>
      <c r="D103" s="4">
        <v>1</v>
      </c>
      <c r="E103" s="4" t="s">
        <v>366</v>
      </c>
    </row>
    <row r="104" spans="1:5" x14ac:dyDescent="0.45">
      <c r="A104" s="34" t="s">
        <v>297</v>
      </c>
      <c r="B104" s="4" t="s">
        <v>280</v>
      </c>
      <c r="C104" s="5" t="s">
        <v>325</v>
      </c>
      <c r="D104" s="4">
        <v>1</v>
      </c>
      <c r="E104" s="4" t="s">
        <v>366</v>
      </c>
    </row>
    <row r="105" spans="1:5" x14ac:dyDescent="0.45">
      <c r="A105" s="34"/>
      <c r="B105" s="4" t="s">
        <v>281</v>
      </c>
      <c r="C105" s="5" t="s">
        <v>326</v>
      </c>
      <c r="D105" s="4">
        <v>1</v>
      </c>
      <c r="E105" s="4" t="s">
        <v>366</v>
      </c>
    </row>
    <row r="106" spans="1:5" x14ac:dyDescent="0.45">
      <c r="A106" s="34"/>
      <c r="B106" s="4" t="s">
        <v>282</v>
      </c>
      <c r="C106" s="5" t="s">
        <v>327</v>
      </c>
      <c r="D106" s="4">
        <v>1</v>
      </c>
      <c r="E106" s="4" t="s">
        <v>366</v>
      </c>
    </row>
    <row r="107" spans="1:5" x14ac:dyDescent="0.45">
      <c r="A107" s="34"/>
      <c r="B107" s="4" t="s">
        <v>283</v>
      </c>
      <c r="C107" s="5" t="s">
        <v>328</v>
      </c>
      <c r="D107" s="4">
        <v>1</v>
      </c>
      <c r="E107" s="4" t="s">
        <v>366</v>
      </c>
    </row>
    <row r="108" spans="1:5" x14ac:dyDescent="0.45">
      <c r="A108" s="34"/>
      <c r="B108" s="4" t="s">
        <v>284</v>
      </c>
      <c r="C108" s="5" t="s">
        <v>329</v>
      </c>
      <c r="D108" s="4">
        <v>1</v>
      </c>
      <c r="E108" s="4" t="s">
        <v>366</v>
      </c>
    </row>
    <row r="109" spans="1:5" x14ac:dyDescent="0.45">
      <c r="A109" s="34"/>
      <c r="B109" s="4" t="s">
        <v>291</v>
      </c>
      <c r="C109" s="5" t="s">
        <v>330</v>
      </c>
      <c r="D109" s="4">
        <v>1</v>
      </c>
      <c r="E109" s="4" t="s">
        <v>366</v>
      </c>
    </row>
    <row r="110" spans="1:5" x14ac:dyDescent="0.45">
      <c r="A110" s="34"/>
      <c r="B110" s="4" t="s">
        <v>285</v>
      </c>
      <c r="C110" s="5" t="s">
        <v>331</v>
      </c>
      <c r="D110" s="4">
        <v>1</v>
      </c>
      <c r="E110" s="4" t="s">
        <v>366</v>
      </c>
    </row>
    <row r="111" spans="1:5" x14ac:dyDescent="0.45">
      <c r="A111" s="34"/>
      <c r="B111" s="4" t="s">
        <v>286</v>
      </c>
      <c r="C111" s="5" t="s">
        <v>332</v>
      </c>
      <c r="D111" s="4">
        <v>1</v>
      </c>
      <c r="E111" s="4" t="s">
        <v>366</v>
      </c>
    </row>
    <row r="112" spans="1:5" x14ac:dyDescent="0.45">
      <c r="A112" s="34"/>
      <c r="B112" s="4" t="s">
        <v>287</v>
      </c>
      <c r="C112" s="5" t="s">
        <v>333</v>
      </c>
      <c r="D112" s="4">
        <v>1</v>
      </c>
      <c r="E112" s="4" t="s">
        <v>366</v>
      </c>
    </row>
    <row r="113" spans="1:5" x14ac:dyDescent="0.45">
      <c r="A113" s="34"/>
      <c r="B113" s="4" t="s">
        <v>288</v>
      </c>
      <c r="C113" s="5" t="s">
        <v>334</v>
      </c>
      <c r="D113" s="4">
        <v>1</v>
      </c>
      <c r="E113" s="4" t="s">
        <v>366</v>
      </c>
    </row>
    <row r="114" spans="1:5" x14ac:dyDescent="0.45">
      <c r="A114" s="34"/>
      <c r="B114" s="4" t="s">
        <v>289</v>
      </c>
      <c r="C114" s="5" t="s">
        <v>335</v>
      </c>
      <c r="D114" s="4">
        <v>1</v>
      </c>
      <c r="E114" s="4" t="s">
        <v>366</v>
      </c>
    </row>
    <row r="115" spans="1:5" x14ac:dyDescent="0.45">
      <c r="A115" s="34"/>
      <c r="B115" s="4" t="s">
        <v>290</v>
      </c>
      <c r="C115" s="5" t="s">
        <v>336</v>
      </c>
      <c r="D115" s="4">
        <v>1</v>
      </c>
      <c r="E115" s="4" t="s">
        <v>366</v>
      </c>
    </row>
    <row r="116" spans="1:5" x14ac:dyDescent="0.45">
      <c r="A116" s="34"/>
      <c r="B116" s="4" t="s">
        <v>292</v>
      </c>
      <c r="C116" s="5" t="s">
        <v>337</v>
      </c>
      <c r="D116" s="4">
        <v>1</v>
      </c>
      <c r="E116" s="4" t="s">
        <v>366</v>
      </c>
    </row>
    <row r="117" spans="1:5" x14ac:dyDescent="0.45">
      <c r="A117" s="34"/>
      <c r="B117" s="4" t="s">
        <v>293</v>
      </c>
      <c r="C117" s="5" t="s">
        <v>338</v>
      </c>
      <c r="D117" s="4">
        <v>1</v>
      </c>
      <c r="E117" s="4" t="s">
        <v>366</v>
      </c>
    </row>
    <row r="118" spans="1:5" x14ac:dyDescent="0.45">
      <c r="A118" s="34"/>
      <c r="B118" s="4" t="s">
        <v>294</v>
      </c>
      <c r="C118" s="5" t="s">
        <v>339</v>
      </c>
      <c r="D118" s="4">
        <v>1</v>
      </c>
      <c r="E118" s="4" t="s">
        <v>366</v>
      </c>
    </row>
    <row r="119" spans="1:5" x14ac:dyDescent="0.45">
      <c r="A119" s="34"/>
      <c r="B119" s="4" t="s">
        <v>295</v>
      </c>
      <c r="C119" s="5" t="s">
        <v>340</v>
      </c>
      <c r="D119" s="4">
        <v>1</v>
      </c>
      <c r="E119" s="4" t="s">
        <v>366</v>
      </c>
    </row>
    <row r="120" spans="1:5" x14ac:dyDescent="0.45">
      <c r="A120" s="34"/>
      <c r="B120" s="4" t="s">
        <v>296</v>
      </c>
      <c r="C120" s="5" t="s">
        <v>341</v>
      </c>
      <c r="D120" s="4">
        <v>1</v>
      </c>
      <c r="E120" s="4" t="s">
        <v>366</v>
      </c>
    </row>
    <row r="121" spans="1:5" x14ac:dyDescent="0.45">
      <c r="A121" s="34" t="s">
        <v>313</v>
      </c>
      <c r="B121" s="4" t="s">
        <v>298</v>
      </c>
      <c r="C121" s="5" t="s">
        <v>342</v>
      </c>
      <c r="D121" s="4">
        <v>1</v>
      </c>
      <c r="E121" s="4" t="s">
        <v>366</v>
      </c>
    </row>
    <row r="122" spans="1:5" x14ac:dyDescent="0.45">
      <c r="A122" s="34"/>
      <c r="B122" s="4" t="s">
        <v>299</v>
      </c>
      <c r="C122" s="5" t="s">
        <v>343</v>
      </c>
      <c r="D122" s="4">
        <v>1</v>
      </c>
      <c r="E122" s="4" t="s">
        <v>366</v>
      </c>
    </row>
    <row r="123" spans="1:5" x14ac:dyDescent="0.45">
      <c r="A123" s="34"/>
      <c r="B123" s="4" t="s">
        <v>300</v>
      </c>
      <c r="C123" s="5" t="s">
        <v>344</v>
      </c>
      <c r="D123" s="4">
        <v>1</v>
      </c>
      <c r="E123" s="4" t="s">
        <v>366</v>
      </c>
    </row>
    <row r="124" spans="1:5" x14ac:dyDescent="0.45">
      <c r="A124" s="34"/>
      <c r="B124" s="4" t="s">
        <v>301</v>
      </c>
      <c r="C124" s="5" t="s">
        <v>345</v>
      </c>
      <c r="D124" s="4">
        <v>1</v>
      </c>
      <c r="E124" s="4" t="s">
        <v>366</v>
      </c>
    </row>
    <row r="125" spans="1:5" x14ac:dyDescent="0.45">
      <c r="A125" s="34"/>
      <c r="B125" s="4" t="s">
        <v>302</v>
      </c>
      <c r="C125" s="5" t="s">
        <v>346</v>
      </c>
      <c r="D125" s="4">
        <v>1</v>
      </c>
      <c r="E125" s="4" t="s">
        <v>366</v>
      </c>
    </row>
    <row r="126" spans="1:5" x14ac:dyDescent="0.45">
      <c r="A126" s="34"/>
      <c r="B126" s="4" t="s">
        <v>303</v>
      </c>
      <c r="C126" s="5" t="s">
        <v>347</v>
      </c>
      <c r="D126" s="4">
        <v>1</v>
      </c>
      <c r="E126" s="4" t="s">
        <v>366</v>
      </c>
    </row>
    <row r="127" spans="1:5" x14ac:dyDescent="0.45">
      <c r="A127" s="34"/>
      <c r="B127" s="4" t="s">
        <v>304</v>
      </c>
      <c r="C127" s="5" t="s">
        <v>348</v>
      </c>
      <c r="D127" s="4">
        <v>1</v>
      </c>
      <c r="E127" s="4" t="s">
        <v>366</v>
      </c>
    </row>
    <row r="128" spans="1:5" x14ac:dyDescent="0.45">
      <c r="A128" s="34"/>
      <c r="B128" s="4" t="s">
        <v>305</v>
      </c>
      <c r="C128" s="5" t="s">
        <v>349</v>
      </c>
      <c r="D128" s="4">
        <v>1</v>
      </c>
      <c r="E128" s="4" t="s">
        <v>366</v>
      </c>
    </row>
    <row r="129" spans="1:5" x14ac:dyDescent="0.45">
      <c r="A129" s="34"/>
      <c r="B129" s="4" t="s">
        <v>306</v>
      </c>
      <c r="C129" s="5" t="s">
        <v>350</v>
      </c>
      <c r="D129" s="4">
        <v>1</v>
      </c>
      <c r="E129" s="4" t="s">
        <v>366</v>
      </c>
    </row>
    <row r="130" spans="1:5" x14ac:dyDescent="0.45">
      <c r="A130" s="34"/>
      <c r="B130" s="4" t="s">
        <v>311</v>
      </c>
      <c r="C130" s="5" t="s">
        <v>351</v>
      </c>
      <c r="D130" s="4">
        <v>1</v>
      </c>
      <c r="E130" s="4" t="s">
        <v>366</v>
      </c>
    </row>
    <row r="131" spans="1:5" x14ac:dyDescent="0.45">
      <c r="A131" s="34"/>
      <c r="B131" s="4" t="s">
        <v>307</v>
      </c>
      <c r="C131" s="5" t="s">
        <v>352</v>
      </c>
      <c r="D131" s="4">
        <v>1</v>
      </c>
      <c r="E131" s="4" t="s">
        <v>366</v>
      </c>
    </row>
    <row r="132" spans="1:5" x14ac:dyDescent="0.45">
      <c r="A132" s="34"/>
      <c r="B132" s="4" t="s">
        <v>367</v>
      </c>
      <c r="C132" s="5" t="s">
        <v>184</v>
      </c>
      <c r="D132" s="4">
        <v>1</v>
      </c>
      <c r="E132" s="4" t="s">
        <v>366</v>
      </c>
    </row>
    <row r="133" spans="1:5" x14ac:dyDescent="0.45">
      <c r="A133" s="34"/>
      <c r="B133" s="4" t="s">
        <v>308</v>
      </c>
      <c r="C133" s="5" t="s">
        <v>182</v>
      </c>
      <c r="D133" s="4">
        <v>1</v>
      </c>
      <c r="E133" s="4" t="s">
        <v>366</v>
      </c>
    </row>
    <row r="134" spans="1:5" x14ac:dyDescent="0.45">
      <c r="A134" s="34"/>
      <c r="B134" s="4" t="s">
        <v>309</v>
      </c>
      <c r="C134" s="5" t="s">
        <v>353</v>
      </c>
      <c r="D134" s="4">
        <v>1</v>
      </c>
      <c r="E134" s="4" t="s">
        <v>366</v>
      </c>
    </row>
    <row r="135" spans="1:5" x14ac:dyDescent="0.45">
      <c r="A135" s="34"/>
      <c r="B135" s="4" t="s">
        <v>312</v>
      </c>
      <c r="C135" s="5" t="s">
        <v>183</v>
      </c>
      <c r="D135" s="4">
        <v>1</v>
      </c>
      <c r="E135" s="4" t="s">
        <v>366</v>
      </c>
    </row>
    <row r="136" spans="1:5" x14ac:dyDescent="0.45">
      <c r="A136" s="34"/>
      <c r="B136" s="4" t="s">
        <v>310</v>
      </c>
      <c r="C136" s="5" t="s">
        <v>185</v>
      </c>
      <c r="D136" s="4">
        <v>1</v>
      </c>
      <c r="E136" s="4" t="s">
        <v>366</v>
      </c>
    </row>
    <row r="137" spans="1:5" x14ac:dyDescent="0.45">
      <c r="A137" s="34" t="s">
        <v>324</v>
      </c>
      <c r="B137" s="4" t="s">
        <v>316</v>
      </c>
      <c r="C137" s="5" t="s">
        <v>354</v>
      </c>
      <c r="D137" s="4">
        <v>1</v>
      </c>
      <c r="E137" s="4" t="s">
        <v>366</v>
      </c>
    </row>
    <row r="138" spans="1:5" x14ac:dyDescent="0.45">
      <c r="A138" s="34"/>
      <c r="B138" s="4" t="s">
        <v>314</v>
      </c>
      <c r="C138" s="5" t="s">
        <v>355</v>
      </c>
      <c r="D138" s="4">
        <v>1</v>
      </c>
      <c r="E138" s="4" t="s">
        <v>366</v>
      </c>
    </row>
    <row r="139" spans="1:5" x14ac:dyDescent="0.45">
      <c r="A139" s="34"/>
      <c r="B139" s="4" t="s">
        <v>315</v>
      </c>
      <c r="C139" s="5" t="s">
        <v>356</v>
      </c>
      <c r="D139" s="4">
        <v>1</v>
      </c>
      <c r="E139" s="4" t="s">
        <v>366</v>
      </c>
    </row>
    <row r="140" spans="1:5" x14ac:dyDescent="0.45">
      <c r="A140" s="34"/>
      <c r="B140" s="4" t="s">
        <v>317</v>
      </c>
      <c r="C140" s="5" t="s">
        <v>357</v>
      </c>
      <c r="D140" s="4">
        <v>1</v>
      </c>
      <c r="E140" s="4" t="s">
        <v>366</v>
      </c>
    </row>
    <row r="141" spans="1:5" x14ac:dyDescent="0.45">
      <c r="A141" s="34"/>
      <c r="B141" s="4" t="s">
        <v>318</v>
      </c>
      <c r="C141" s="5" t="s">
        <v>358</v>
      </c>
      <c r="D141" s="4">
        <v>1</v>
      </c>
      <c r="E141" s="4" t="s">
        <v>366</v>
      </c>
    </row>
    <row r="142" spans="1:5" x14ac:dyDescent="0.45">
      <c r="A142" s="34"/>
      <c r="B142" s="4" t="s">
        <v>321</v>
      </c>
      <c r="C142" s="5" t="s">
        <v>359</v>
      </c>
      <c r="D142" s="4">
        <v>1</v>
      </c>
      <c r="E142" s="4" t="s">
        <v>366</v>
      </c>
    </row>
    <row r="143" spans="1:5" x14ac:dyDescent="0.45">
      <c r="A143" s="34"/>
      <c r="B143" s="4" t="s">
        <v>319</v>
      </c>
      <c r="C143" s="5" t="s">
        <v>360</v>
      </c>
      <c r="D143" s="4">
        <v>1</v>
      </c>
      <c r="E143" s="4" t="s">
        <v>366</v>
      </c>
    </row>
    <row r="144" spans="1:5" x14ac:dyDescent="0.45">
      <c r="A144" s="34"/>
      <c r="B144" s="4" t="s">
        <v>320</v>
      </c>
      <c r="C144" s="5" t="s">
        <v>361</v>
      </c>
      <c r="D144" s="4">
        <v>1</v>
      </c>
      <c r="E144" s="4" t="s">
        <v>366</v>
      </c>
    </row>
    <row r="145" spans="1:5" x14ac:dyDescent="0.45">
      <c r="A145" s="34"/>
      <c r="B145" s="4" t="s">
        <v>322</v>
      </c>
      <c r="C145" s="5" t="s">
        <v>362</v>
      </c>
      <c r="D145" s="4">
        <v>1</v>
      </c>
      <c r="E145" s="4" t="s">
        <v>366</v>
      </c>
    </row>
    <row r="146" spans="1:5" x14ac:dyDescent="0.45">
      <c r="A146" s="34"/>
      <c r="B146" s="4" t="s">
        <v>323</v>
      </c>
      <c r="C146" s="5" t="s">
        <v>363</v>
      </c>
      <c r="D146" s="4">
        <v>1</v>
      </c>
      <c r="E146" s="4" t="s">
        <v>366</v>
      </c>
    </row>
    <row r="147" spans="1:5" ht="52.5" x14ac:dyDescent="0.45">
      <c r="A147" s="4" t="s">
        <v>236</v>
      </c>
      <c r="B147" s="4" t="s">
        <v>186</v>
      </c>
      <c r="C147" s="5" t="s">
        <v>187</v>
      </c>
      <c r="D147" s="4">
        <v>1</v>
      </c>
      <c r="E147" s="4" t="s">
        <v>366</v>
      </c>
    </row>
    <row r="148" spans="1:5" ht="52.5" x14ac:dyDescent="0.45">
      <c r="A148" s="4" t="s">
        <v>237</v>
      </c>
      <c r="B148" s="4" t="s">
        <v>188</v>
      </c>
      <c r="C148" s="5" t="s">
        <v>189</v>
      </c>
      <c r="D148" s="4">
        <v>1</v>
      </c>
      <c r="E148" s="4" t="s">
        <v>366</v>
      </c>
    </row>
    <row r="149" spans="1:5" ht="52.5" x14ac:dyDescent="0.45">
      <c r="A149" s="4" t="s">
        <v>387</v>
      </c>
      <c r="B149" s="4" t="s">
        <v>190</v>
      </c>
      <c r="C149" s="5" t="s">
        <v>191</v>
      </c>
      <c r="D149" s="4">
        <v>1</v>
      </c>
      <c r="E149" s="4" t="s">
        <v>366</v>
      </c>
    </row>
    <row r="150" spans="1:5" x14ac:dyDescent="0.45">
      <c r="A150" s="34" t="s">
        <v>224</v>
      </c>
      <c r="B150" s="4" t="s">
        <v>192</v>
      </c>
      <c r="C150" s="5" t="s">
        <v>193</v>
      </c>
      <c r="D150" s="4">
        <v>0.35</v>
      </c>
      <c r="E150" s="4" t="s">
        <v>409</v>
      </c>
    </row>
    <row r="151" spans="1:5" x14ac:dyDescent="0.45">
      <c r="A151" s="34"/>
      <c r="B151" s="4" t="s">
        <v>194</v>
      </c>
      <c r="C151" s="5" t="s">
        <v>195</v>
      </c>
      <c r="D151" s="4">
        <v>0.35</v>
      </c>
      <c r="E151" s="4" t="s">
        <v>409</v>
      </c>
    </row>
    <row r="152" spans="1:5" x14ac:dyDescent="0.45">
      <c r="A152" s="34"/>
      <c r="B152" s="4" t="s">
        <v>196</v>
      </c>
      <c r="C152" s="5" t="s">
        <v>197</v>
      </c>
      <c r="D152" s="4">
        <v>0.35</v>
      </c>
      <c r="E152" s="4" t="s">
        <v>409</v>
      </c>
    </row>
    <row r="153" spans="1:5" x14ac:dyDescent="0.45">
      <c r="A153" s="34"/>
      <c r="B153" s="4" t="s">
        <v>198</v>
      </c>
      <c r="C153" s="5" t="s">
        <v>199</v>
      </c>
      <c r="D153" s="4">
        <v>0.35</v>
      </c>
      <c r="E153" s="4" t="s">
        <v>409</v>
      </c>
    </row>
    <row r="154" spans="1:5" x14ac:dyDescent="0.45">
      <c r="A154" s="34"/>
      <c r="B154" s="4" t="s">
        <v>200</v>
      </c>
      <c r="C154" s="5" t="s">
        <v>201</v>
      </c>
      <c r="D154" s="4">
        <v>0.35</v>
      </c>
      <c r="E154" s="4" t="s">
        <v>409</v>
      </c>
    </row>
    <row r="155" spans="1:5" x14ac:dyDescent="0.45">
      <c r="A155" s="34"/>
      <c r="B155" s="4" t="s">
        <v>202</v>
      </c>
      <c r="C155" s="5" t="s">
        <v>203</v>
      </c>
      <c r="D155" s="4">
        <v>0.35</v>
      </c>
      <c r="E155" s="4" t="s">
        <v>409</v>
      </c>
    </row>
  </sheetData>
  <mergeCells count="25">
    <mergeCell ref="A150:A155"/>
    <mergeCell ref="A97:A98"/>
    <mergeCell ref="A99:A100"/>
    <mergeCell ref="A101:A102"/>
    <mergeCell ref="A104:A120"/>
    <mergeCell ref="A121:A136"/>
    <mergeCell ref="A137:A146"/>
    <mergeCell ref="A95:A96"/>
    <mergeCell ref="A60:A64"/>
    <mergeCell ref="A65:A67"/>
    <mergeCell ref="A68:A69"/>
    <mergeCell ref="A70:A73"/>
    <mergeCell ref="A74:A75"/>
    <mergeCell ref="A76:A80"/>
    <mergeCell ref="A81:A84"/>
    <mergeCell ref="A85:A88"/>
    <mergeCell ref="A89:A90"/>
    <mergeCell ref="A91:A92"/>
    <mergeCell ref="A93:A94"/>
    <mergeCell ref="A58:A59"/>
    <mergeCell ref="A2:A18"/>
    <mergeCell ref="A19:A25"/>
    <mergeCell ref="A26:A46"/>
    <mergeCell ref="A55:A57"/>
    <mergeCell ref="A47:A5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55"/>
  <sheetViews>
    <sheetView zoomScale="70" zoomScaleNormal="70" workbookViewId="0">
      <selection sqref="A1:XFD1"/>
    </sheetView>
  </sheetViews>
  <sheetFormatPr baseColWidth="10" defaultRowHeight="17.5" x14ac:dyDescent="0.45"/>
  <cols>
    <col min="2" max="2" width="40.53515625" bestFit="1" customWidth="1"/>
    <col min="4" max="4" width="21.4609375" bestFit="1" customWidth="1"/>
    <col min="5" max="5" width="33.3828125" customWidth="1"/>
    <col min="7" max="7" width="32.53515625" customWidth="1"/>
  </cols>
  <sheetData>
    <row r="1" spans="1:5" ht="35" x14ac:dyDescent="0.45">
      <c r="A1" s="4"/>
      <c r="B1" s="12" t="s">
        <v>204</v>
      </c>
      <c r="C1" s="12" t="s">
        <v>205</v>
      </c>
      <c r="D1" s="12" t="s">
        <v>245</v>
      </c>
      <c r="E1" s="12" t="s">
        <v>240</v>
      </c>
    </row>
    <row r="2" spans="1:5" ht="17.25" customHeight="1" x14ac:dyDescent="0.45">
      <c r="A2" s="34" t="s">
        <v>207</v>
      </c>
      <c r="B2" s="4" t="s">
        <v>0</v>
      </c>
      <c r="C2" s="4" t="s">
        <v>1</v>
      </c>
      <c r="D2" s="4">
        <v>100</v>
      </c>
      <c r="E2" s="4" t="s">
        <v>366</v>
      </c>
    </row>
    <row r="3" spans="1:5" x14ac:dyDescent="0.45">
      <c r="A3" s="34"/>
      <c r="B3" s="4" t="s">
        <v>2</v>
      </c>
      <c r="C3" s="4" t="s">
        <v>3</v>
      </c>
      <c r="D3" s="4">
        <v>100</v>
      </c>
      <c r="E3" s="4" t="s">
        <v>366</v>
      </c>
    </row>
    <row r="4" spans="1:5" x14ac:dyDescent="0.45">
      <c r="A4" s="34"/>
      <c r="B4" s="4" t="s">
        <v>6</v>
      </c>
      <c r="C4" s="4" t="s">
        <v>7</v>
      </c>
      <c r="D4" s="4">
        <v>100</v>
      </c>
      <c r="E4" s="4" t="s">
        <v>366</v>
      </c>
    </row>
    <row r="5" spans="1:5" x14ac:dyDescent="0.45">
      <c r="A5" s="34"/>
      <c r="B5" s="4" t="s">
        <v>10</v>
      </c>
      <c r="C5" s="4" t="s">
        <v>11</v>
      </c>
      <c r="D5" s="4">
        <v>100</v>
      </c>
      <c r="E5" s="4" t="s">
        <v>366</v>
      </c>
    </row>
    <row r="6" spans="1:5" x14ac:dyDescent="0.45">
      <c r="A6" s="34"/>
      <c r="B6" s="4" t="s">
        <v>12</v>
      </c>
      <c r="C6" s="4" t="s">
        <v>13</v>
      </c>
      <c r="D6" s="4">
        <v>100</v>
      </c>
      <c r="E6" s="4" t="s">
        <v>366</v>
      </c>
    </row>
    <row r="7" spans="1:5" x14ac:dyDescent="0.45">
      <c r="A7" s="34"/>
      <c r="B7" s="4" t="s">
        <v>14</v>
      </c>
      <c r="C7" s="4" t="s">
        <v>15</v>
      </c>
      <c r="D7" s="4">
        <v>100</v>
      </c>
      <c r="E7" s="4" t="s">
        <v>366</v>
      </c>
    </row>
    <row r="8" spans="1:5" x14ac:dyDescent="0.45">
      <c r="A8" s="34"/>
      <c r="B8" s="4" t="s">
        <v>16</v>
      </c>
      <c r="C8" s="4" t="s">
        <v>17</v>
      </c>
      <c r="D8" s="4">
        <v>100</v>
      </c>
      <c r="E8" s="4" t="s">
        <v>366</v>
      </c>
    </row>
    <row r="9" spans="1:5" ht="35" x14ac:dyDescent="0.45">
      <c r="A9" s="34"/>
      <c r="B9" s="4" t="s">
        <v>18</v>
      </c>
      <c r="C9" s="4" t="s">
        <v>19</v>
      </c>
      <c r="D9" s="4">
        <v>100</v>
      </c>
      <c r="E9" s="4" t="s">
        <v>366</v>
      </c>
    </row>
    <row r="10" spans="1:5" x14ac:dyDescent="0.45">
      <c r="A10" s="34"/>
      <c r="B10" s="4" t="s">
        <v>20</v>
      </c>
      <c r="C10" s="4" t="s">
        <v>21</v>
      </c>
      <c r="D10" s="4">
        <v>100</v>
      </c>
      <c r="E10" s="4" t="s">
        <v>366</v>
      </c>
    </row>
    <row r="11" spans="1:5" x14ac:dyDescent="0.45">
      <c r="A11" s="34"/>
      <c r="B11" s="4" t="s">
        <v>256</v>
      </c>
      <c r="C11" s="4" t="s">
        <v>258</v>
      </c>
      <c r="D11" s="4">
        <v>100</v>
      </c>
      <c r="E11" s="4" t="s">
        <v>366</v>
      </c>
    </row>
    <row r="12" spans="1:5" x14ac:dyDescent="0.45">
      <c r="A12" s="34"/>
      <c r="B12" s="4" t="s">
        <v>257</v>
      </c>
      <c r="C12" s="4" t="s">
        <v>259</v>
      </c>
      <c r="D12" s="4">
        <v>100</v>
      </c>
      <c r="E12" s="4" t="s">
        <v>366</v>
      </c>
    </row>
    <row r="13" spans="1:5" x14ac:dyDescent="0.45">
      <c r="A13" s="34"/>
      <c r="B13" s="4" t="s">
        <v>22</v>
      </c>
      <c r="C13" s="4" t="s">
        <v>23</v>
      </c>
      <c r="D13" s="4">
        <v>100</v>
      </c>
      <c r="E13" s="4" t="s">
        <v>366</v>
      </c>
    </row>
    <row r="14" spans="1:5" x14ac:dyDescent="0.45">
      <c r="A14" s="34"/>
      <c r="B14" s="4" t="s">
        <v>24</v>
      </c>
      <c r="C14" s="4" t="s">
        <v>25</v>
      </c>
      <c r="D14" s="4">
        <v>100</v>
      </c>
      <c r="E14" s="4" t="s">
        <v>366</v>
      </c>
    </row>
    <row r="15" spans="1:5" x14ac:dyDescent="0.45">
      <c r="A15" s="34"/>
      <c r="B15" s="4" t="s">
        <v>249</v>
      </c>
      <c r="C15" s="4" t="s">
        <v>26</v>
      </c>
      <c r="D15" s="4">
        <v>100</v>
      </c>
      <c r="E15" s="4" t="s">
        <v>366</v>
      </c>
    </row>
    <row r="16" spans="1:5" ht="17.25" customHeight="1" x14ac:dyDescent="0.45">
      <c r="A16" s="34"/>
      <c r="B16" s="4" t="s">
        <v>250</v>
      </c>
      <c r="C16" s="4" t="s">
        <v>251</v>
      </c>
      <c r="D16" s="4">
        <v>100</v>
      </c>
      <c r="E16" s="4" t="s">
        <v>366</v>
      </c>
    </row>
    <row r="17" spans="1:5" x14ac:dyDescent="0.45">
      <c r="A17" s="34"/>
      <c r="B17" s="4" t="s">
        <v>252</v>
      </c>
      <c r="C17" s="4" t="s">
        <v>255</v>
      </c>
      <c r="D17" s="4">
        <v>100</v>
      </c>
      <c r="E17" s="4" t="s">
        <v>366</v>
      </c>
    </row>
    <row r="18" spans="1:5" x14ac:dyDescent="0.45">
      <c r="A18" s="34"/>
      <c r="B18" s="4" t="s">
        <v>253</v>
      </c>
      <c r="C18" s="4" t="s">
        <v>254</v>
      </c>
      <c r="D18" s="4">
        <v>100</v>
      </c>
      <c r="E18" s="4" t="s">
        <v>366</v>
      </c>
    </row>
    <row r="19" spans="1:5" x14ac:dyDescent="0.45">
      <c r="A19" s="34" t="s">
        <v>208</v>
      </c>
      <c r="B19" s="4" t="s">
        <v>4</v>
      </c>
      <c r="C19" s="4" t="s">
        <v>5</v>
      </c>
      <c r="D19" s="4">
        <v>100</v>
      </c>
      <c r="E19" s="4" t="s">
        <v>366</v>
      </c>
    </row>
    <row r="20" spans="1:5" x14ac:dyDescent="0.45">
      <c r="A20" s="34"/>
      <c r="B20" s="4" t="s">
        <v>8</v>
      </c>
      <c r="C20" s="4" t="s">
        <v>9</v>
      </c>
      <c r="D20" s="4">
        <v>100</v>
      </c>
      <c r="E20" s="4" t="s">
        <v>366</v>
      </c>
    </row>
    <row r="21" spans="1:5" x14ac:dyDescent="0.45">
      <c r="A21" s="34"/>
      <c r="B21" s="4" t="s">
        <v>27</v>
      </c>
      <c r="C21" s="4" t="s">
        <v>28</v>
      </c>
      <c r="D21" s="4">
        <v>100</v>
      </c>
      <c r="E21" s="4" t="s">
        <v>366</v>
      </c>
    </row>
    <row r="22" spans="1:5" x14ac:dyDescent="0.45">
      <c r="A22" s="34"/>
      <c r="B22" s="4" t="s">
        <v>29</v>
      </c>
      <c r="C22" s="4" t="s">
        <v>30</v>
      </c>
      <c r="D22" s="4">
        <v>100</v>
      </c>
      <c r="E22" s="4" t="s">
        <v>366</v>
      </c>
    </row>
    <row r="23" spans="1:5" ht="17.25" customHeight="1" x14ac:dyDescent="0.45">
      <c r="A23" s="34"/>
      <c r="B23" s="4" t="s">
        <v>31</v>
      </c>
      <c r="C23" s="4" t="s">
        <v>32</v>
      </c>
      <c r="D23" s="4">
        <v>100</v>
      </c>
      <c r="E23" s="4" t="s">
        <v>366</v>
      </c>
    </row>
    <row r="24" spans="1:5" x14ac:dyDescent="0.45">
      <c r="A24" s="34"/>
      <c r="B24" s="4" t="s">
        <v>33</v>
      </c>
      <c r="C24" s="4" t="s">
        <v>34</v>
      </c>
      <c r="D24" s="4">
        <v>100</v>
      </c>
      <c r="E24" s="4" t="s">
        <v>366</v>
      </c>
    </row>
    <row r="25" spans="1:5" x14ac:dyDescent="0.45">
      <c r="A25" s="34"/>
      <c r="B25" s="4" t="s">
        <v>35</v>
      </c>
      <c r="C25" s="4" t="s">
        <v>36</v>
      </c>
      <c r="D25" s="4">
        <v>100</v>
      </c>
      <c r="E25" s="4" t="s">
        <v>366</v>
      </c>
    </row>
    <row r="26" spans="1:5" x14ac:dyDescent="0.45">
      <c r="A26" s="34" t="s">
        <v>209</v>
      </c>
      <c r="B26" s="4" t="s">
        <v>37</v>
      </c>
      <c r="C26" s="4" t="s">
        <v>38</v>
      </c>
      <c r="D26" s="4">
        <v>40</v>
      </c>
      <c r="E26" s="4" t="s">
        <v>246</v>
      </c>
    </row>
    <row r="27" spans="1:5" x14ac:dyDescent="0.45">
      <c r="A27" s="34"/>
      <c r="B27" s="4" t="s">
        <v>39</v>
      </c>
      <c r="C27" s="4" t="s">
        <v>40</v>
      </c>
      <c r="D27" s="4">
        <v>40</v>
      </c>
      <c r="E27" s="4" t="s">
        <v>247</v>
      </c>
    </row>
    <row r="28" spans="1:5" x14ac:dyDescent="0.45">
      <c r="A28" s="34"/>
      <c r="B28" s="4" t="s">
        <v>41</v>
      </c>
      <c r="C28" s="4" t="s">
        <v>42</v>
      </c>
      <c r="D28" s="4">
        <v>30</v>
      </c>
      <c r="E28" s="4" t="s">
        <v>246</v>
      </c>
    </row>
    <row r="29" spans="1:5" x14ac:dyDescent="0.45">
      <c r="A29" s="34"/>
      <c r="B29" s="4" t="s">
        <v>43</v>
      </c>
      <c r="C29" s="4" t="s">
        <v>44</v>
      </c>
      <c r="D29" s="4">
        <v>30</v>
      </c>
      <c r="E29" s="4" t="s">
        <v>409</v>
      </c>
    </row>
    <row r="30" spans="1:5" x14ac:dyDescent="0.45">
      <c r="A30" s="34"/>
      <c r="B30" s="4" t="s">
        <v>45</v>
      </c>
      <c r="C30" s="4" t="s">
        <v>46</v>
      </c>
      <c r="D30" s="4">
        <v>25</v>
      </c>
      <c r="E30" s="4" t="s">
        <v>246</v>
      </c>
    </row>
    <row r="31" spans="1:5" x14ac:dyDescent="0.45">
      <c r="A31" s="34"/>
      <c r="B31" s="4" t="s">
        <v>47</v>
      </c>
      <c r="C31" s="4" t="s">
        <v>48</v>
      </c>
      <c r="D31" s="4">
        <v>25</v>
      </c>
      <c r="E31" s="4" t="s">
        <v>366</v>
      </c>
    </row>
    <row r="32" spans="1:5" x14ac:dyDescent="0.45">
      <c r="A32" s="34"/>
      <c r="B32" s="4" t="s">
        <v>49</v>
      </c>
      <c r="C32" s="4" t="s">
        <v>50</v>
      </c>
      <c r="D32" s="4">
        <v>25</v>
      </c>
      <c r="E32" s="4" t="s">
        <v>246</v>
      </c>
    </row>
    <row r="33" spans="1:5" x14ac:dyDescent="0.45">
      <c r="A33" s="34"/>
      <c r="B33" s="4" t="s">
        <v>51</v>
      </c>
      <c r="C33" s="4" t="s">
        <v>52</v>
      </c>
      <c r="D33" s="4">
        <v>25</v>
      </c>
      <c r="E33" s="4" t="s">
        <v>366</v>
      </c>
    </row>
    <row r="34" spans="1:5" x14ac:dyDescent="0.45">
      <c r="A34" s="34"/>
      <c r="B34" s="4" t="s">
        <v>53</v>
      </c>
      <c r="C34" s="4" t="s">
        <v>54</v>
      </c>
      <c r="D34" s="4">
        <v>25</v>
      </c>
      <c r="E34" s="4" t="s">
        <v>247</v>
      </c>
    </row>
    <row r="35" spans="1:5" x14ac:dyDescent="0.45">
      <c r="A35" s="34"/>
      <c r="B35" s="4" t="s">
        <v>63</v>
      </c>
      <c r="C35" s="4" t="s">
        <v>64</v>
      </c>
      <c r="D35" s="4">
        <v>60</v>
      </c>
      <c r="E35" s="4" t="s">
        <v>246</v>
      </c>
    </row>
    <row r="36" spans="1:5" x14ac:dyDescent="0.45">
      <c r="A36" s="34"/>
      <c r="B36" s="4" t="s">
        <v>65</v>
      </c>
      <c r="C36" s="4" t="s">
        <v>66</v>
      </c>
      <c r="D36" s="4">
        <v>60</v>
      </c>
      <c r="E36" s="4" t="s">
        <v>246</v>
      </c>
    </row>
    <row r="37" spans="1:5" x14ac:dyDescent="0.45">
      <c r="A37" s="34"/>
      <c r="B37" s="4" t="s">
        <v>241</v>
      </c>
      <c r="C37" s="4" t="s">
        <v>242</v>
      </c>
      <c r="D37" s="4">
        <v>20</v>
      </c>
      <c r="E37" s="4" t="s">
        <v>246</v>
      </c>
    </row>
    <row r="38" spans="1:5" x14ac:dyDescent="0.45">
      <c r="A38" s="34"/>
      <c r="B38" s="4" t="s">
        <v>67</v>
      </c>
      <c r="C38" s="4" t="s">
        <v>68</v>
      </c>
      <c r="D38" s="4">
        <v>40</v>
      </c>
      <c r="E38" s="4" t="s">
        <v>246</v>
      </c>
    </row>
    <row r="39" spans="1:5" x14ac:dyDescent="0.45">
      <c r="A39" s="34"/>
      <c r="B39" s="4" t="s">
        <v>69</v>
      </c>
      <c r="C39" s="4" t="s">
        <v>70</v>
      </c>
      <c r="D39" s="4">
        <v>25</v>
      </c>
      <c r="E39" s="4" t="s">
        <v>246</v>
      </c>
    </row>
    <row r="40" spans="1:5" x14ac:dyDescent="0.45">
      <c r="A40" s="34"/>
      <c r="B40" s="4" t="s">
        <v>71</v>
      </c>
      <c r="C40" s="4" t="s">
        <v>72</v>
      </c>
      <c r="D40" s="4">
        <v>25</v>
      </c>
      <c r="E40" s="11" t="s">
        <v>395</v>
      </c>
    </row>
    <row r="41" spans="1:5" x14ac:dyDescent="0.45">
      <c r="A41" s="34"/>
      <c r="B41" s="4" t="s">
        <v>73</v>
      </c>
      <c r="C41" s="4" t="s">
        <v>74</v>
      </c>
      <c r="D41" s="4">
        <v>40</v>
      </c>
      <c r="E41" s="4" t="s">
        <v>246</v>
      </c>
    </row>
    <row r="42" spans="1:5" x14ac:dyDescent="0.45">
      <c r="A42" s="34"/>
      <c r="B42" s="4" t="s">
        <v>75</v>
      </c>
      <c r="C42" s="4" t="s">
        <v>76</v>
      </c>
      <c r="D42" s="4">
        <v>30</v>
      </c>
      <c r="E42" s="4" t="s">
        <v>246</v>
      </c>
    </row>
    <row r="43" spans="1:5" x14ac:dyDescent="0.45">
      <c r="A43" s="34"/>
      <c r="B43" s="4" t="s">
        <v>77</v>
      </c>
      <c r="C43" s="4" t="s">
        <v>78</v>
      </c>
      <c r="D43" s="4">
        <v>30</v>
      </c>
      <c r="E43" s="4" t="s">
        <v>366</v>
      </c>
    </row>
    <row r="44" spans="1:5" x14ac:dyDescent="0.45">
      <c r="A44" s="34"/>
      <c r="B44" s="4" t="s">
        <v>79</v>
      </c>
      <c r="C44" s="4" t="s">
        <v>80</v>
      </c>
      <c r="D44" s="4">
        <v>25</v>
      </c>
      <c r="E44" s="4" t="s">
        <v>246</v>
      </c>
    </row>
    <row r="45" spans="1:5" ht="17.25" customHeight="1" x14ac:dyDescent="0.45">
      <c r="A45" s="34"/>
      <c r="B45" s="4" t="s">
        <v>81</v>
      </c>
      <c r="C45" s="4" t="s">
        <v>82</v>
      </c>
      <c r="D45" s="4">
        <v>25</v>
      </c>
      <c r="E45" s="4" t="s">
        <v>366</v>
      </c>
    </row>
    <row r="46" spans="1:5" x14ac:dyDescent="0.45">
      <c r="A46" s="34"/>
      <c r="B46" s="4" t="s">
        <v>83</v>
      </c>
      <c r="C46" s="4" t="s">
        <v>84</v>
      </c>
      <c r="D46" s="4">
        <v>60</v>
      </c>
      <c r="E46" s="11" t="s">
        <v>395</v>
      </c>
    </row>
    <row r="47" spans="1:5" ht="17.25" customHeight="1" x14ac:dyDescent="0.45">
      <c r="A47" s="35" t="s">
        <v>210</v>
      </c>
      <c r="B47" s="4" t="s">
        <v>55</v>
      </c>
      <c r="C47" s="4" t="s">
        <v>56</v>
      </c>
      <c r="D47" s="4">
        <v>50</v>
      </c>
      <c r="E47" s="4" t="s">
        <v>248</v>
      </c>
    </row>
    <row r="48" spans="1:5" x14ac:dyDescent="0.45">
      <c r="A48" s="36"/>
      <c r="B48" s="4" t="s">
        <v>57</v>
      </c>
      <c r="C48" s="4" t="s">
        <v>58</v>
      </c>
      <c r="D48" s="4">
        <v>30</v>
      </c>
      <c r="E48" s="4" t="s">
        <v>423</v>
      </c>
    </row>
    <row r="49" spans="1:5" x14ac:dyDescent="0.45">
      <c r="A49" s="36"/>
      <c r="B49" s="4" t="s">
        <v>59</v>
      </c>
      <c r="C49" s="4" t="s">
        <v>60</v>
      </c>
      <c r="D49" s="4">
        <v>25</v>
      </c>
      <c r="E49" s="4" t="s">
        <v>423</v>
      </c>
    </row>
    <row r="50" spans="1:5" x14ac:dyDescent="0.45">
      <c r="A50" s="36"/>
      <c r="B50" s="4" t="s">
        <v>61</v>
      </c>
      <c r="C50" s="4" t="s">
        <v>62</v>
      </c>
      <c r="D50" s="4">
        <v>25</v>
      </c>
      <c r="E50" s="4" t="s">
        <v>423</v>
      </c>
    </row>
    <row r="51" spans="1:5" x14ac:dyDescent="0.45">
      <c r="A51" s="36"/>
      <c r="B51" s="4" t="s">
        <v>85</v>
      </c>
      <c r="C51" s="4" t="s">
        <v>86</v>
      </c>
      <c r="D51" s="4">
        <v>20</v>
      </c>
      <c r="E51" s="4" t="s">
        <v>248</v>
      </c>
    </row>
    <row r="52" spans="1:5" ht="17.25" customHeight="1" x14ac:dyDescent="0.45">
      <c r="A52" s="36"/>
      <c r="B52" s="4" t="s">
        <v>87</v>
      </c>
      <c r="C52" s="4" t="s">
        <v>88</v>
      </c>
      <c r="D52" s="4">
        <v>20</v>
      </c>
      <c r="E52" s="4" t="s">
        <v>248</v>
      </c>
    </row>
    <row r="53" spans="1:5" x14ac:dyDescent="0.45">
      <c r="A53" s="36"/>
      <c r="B53" s="4" t="s">
        <v>89</v>
      </c>
      <c r="C53" s="4" t="s">
        <v>90</v>
      </c>
      <c r="D53" s="4">
        <v>9</v>
      </c>
      <c r="E53" s="4" t="s">
        <v>248</v>
      </c>
    </row>
    <row r="54" spans="1:5" x14ac:dyDescent="0.45">
      <c r="A54" s="37"/>
      <c r="B54" s="4" t="s">
        <v>430</v>
      </c>
      <c r="C54" s="4" t="s">
        <v>431</v>
      </c>
      <c r="D54" s="4">
        <v>25</v>
      </c>
      <c r="E54" s="4" t="s">
        <v>423</v>
      </c>
    </row>
    <row r="55" spans="1:5" x14ac:dyDescent="0.45">
      <c r="A55" s="34" t="s">
        <v>211</v>
      </c>
      <c r="B55" s="4" t="s">
        <v>91</v>
      </c>
      <c r="C55" s="4" t="s">
        <v>92</v>
      </c>
      <c r="D55" s="4">
        <v>25</v>
      </c>
      <c r="E55" s="4" t="s">
        <v>246</v>
      </c>
    </row>
    <row r="56" spans="1:5" ht="17.25" customHeight="1" x14ac:dyDescent="0.45">
      <c r="A56" s="34"/>
      <c r="B56" s="4" t="s">
        <v>93</v>
      </c>
      <c r="C56" s="4" t="s">
        <v>94</v>
      </c>
      <c r="D56" s="4">
        <v>25</v>
      </c>
      <c r="E56" s="4" t="s">
        <v>409</v>
      </c>
    </row>
    <row r="57" spans="1:5" x14ac:dyDescent="0.45">
      <c r="A57" s="34"/>
      <c r="B57" s="4" t="s">
        <v>95</v>
      </c>
      <c r="C57" s="4" t="s">
        <v>96</v>
      </c>
      <c r="D57" s="4">
        <v>20</v>
      </c>
      <c r="E57" s="4" t="s">
        <v>246</v>
      </c>
    </row>
    <row r="58" spans="1:5" ht="17.25" customHeight="1" x14ac:dyDescent="0.45">
      <c r="A58" s="34" t="s">
        <v>212</v>
      </c>
      <c r="B58" s="4" t="s">
        <v>97</v>
      </c>
      <c r="C58" s="4" t="s">
        <v>98</v>
      </c>
      <c r="D58" s="4">
        <v>60</v>
      </c>
      <c r="E58" s="4" t="s">
        <v>246</v>
      </c>
    </row>
    <row r="59" spans="1:5" x14ac:dyDescent="0.45">
      <c r="A59" s="34"/>
      <c r="B59" s="4" t="s">
        <v>99</v>
      </c>
      <c r="C59" s="4" t="s">
        <v>100</v>
      </c>
      <c r="D59" s="4">
        <v>60</v>
      </c>
      <c r="E59" s="4" t="s">
        <v>246</v>
      </c>
    </row>
    <row r="60" spans="1:5" ht="17.25" customHeight="1" x14ac:dyDescent="0.45">
      <c r="A60" s="34" t="s">
        <v>218</v>
      </c>
      <c r="B60" s="4" t="s">
        <v>213</v>
      </c>
      <c r="C60" s="4" t="s">
        <v>101</v>
      </c>
      <c r="D60" s="4">
        <v>25</v>
      </c>
      <c r="E60" s="4" t="s">
        <v>409</v>
      </c>
    </row>
    <row r="61" spans="1:5" x14ac:dyDescent="0.45">
      <c r="A61" s="34"/>
      <c r="B61" s="4" t="s">
        <v>214</v>
      </c>
      <c r="C61" s="4" t="s">
        <v>102</v>
      </c>
      <c r="D61" s="4">
        <v>25</v>
      </c>
      <c r="E61" s="4" t="s">
        <v>409</v>
      </c>
    </row>
    <row r="62" spans="1:5" x14ac:dyDescent="0.45">
      <c r="A62" s="34"/>
      <c r="B62" s="4" t="s">
        <v>215</v>
      </c>
      <c r="C62" s="4" t="s">
        <v>103</v>
      </c>
      <c r="D62" s="4">
        <v>25</v>
      </c>
      <c r="E62" s="4" t="s">
        <v>409</v>
      </c>
    </row>
    <row r="63" spans="1:5" ht="17.25" customHeight="1" x14ac:dyDescent="0.45">
      <c r="A63" s="34"/>
      <c r="B63" s="4" t="s">
        <v>216</v>
      </c>
      <c r="C63" s="4" t="s">
        <v>206</v>
      </c>
      <c r="D63" s="4">
        <v>20</v>
      </c>
      <c r="E63" s="4" t="s">
        <v>409</v>
      </c>
    </row>
    <row r="64" spans="1:5" x14ac:dyDescent="0.45">
      <c r="A64" s="34"/>
      <c r="B64" s="4" t="s">
        <v>217</v>
      </c>
      <c r="C64" s="4" t="s">
        <v>104</v>
      </c>
      <c r="D64" s="4">
        <v>20</v>
      </c>
      <c r="E64" s="4" t="s">
        <v>415</v>
      </c>
    </row>
    <row r="65" spans="1:5" ht="17.25" customHeight="1" x14ac:dyDescent="0.45">
      <c r="A65" s="34" t="s">
        <v>219</v>
      </c>
      <c r="B65" s="4" t="s">
        <v>105</v>
      </c>
      <c r="C65" s="4" t="s">
        <v>106</v>
      </c>
      <c r="D65" s="4">
        <v>25</v>
      </c>
      <c r="E65" s="4" t="s">
        <v>409</v>
      </c>
    </row>
    <row r="66" spans="1:5" x14ac:dyDescent="0.45">
      <c r="A66" s="34"/>
      <c r="B66" s="4" t="s">
        <v>107</v>
      </c>
      <c r="C66" s="4" t="s">
        <v>108</v>
      </c>
      <c r="D66" s="4">
        <v>25</v>
      </c>
      <c r="E66" s="4" t="s">
        <v>409</v>
      </c>
    </row>
    <row r="67" spans="1:5" x14ac:dyDescent="0.45">
      <c r="A67" s="34"/>
      <c r="B67" s="4" t="s">
        <v>109</v>
      </c>
      <c r="C67" s="4" t="s">
        <v>110</v>
      </c>
      <c r="D67" s="4">
        <v>20</v>
      </c>
      <c r="E67" s="4" t="s">
        <v>415</v>
      </c>
    </row>
    <row r="68" spans="1:5" ht="17.25" customHeight="1" x14ac:dyDescent="0.45">
      <c r="A68" s="34" t="s">
        <v>220</v>
      </c>
      <c r="B68" s="4" t="s">
        <v>111</v>
      </c>
      <c r="C68" s="4" t="s">
        <v>112</v>
      </c>
      <c r="D68" s="4">
        <v>25</v>
      </c>
      <c r="E68" s="4" t="s">
        <v>409</v>
      </c>
    </row>
    <row r="69" spans="1:5" x14ac:dyDescent="0.45">
      <c r="A69" s="34"/>
      <c r="B69" s="4" t="s">
        <v>113</v>
      </c>
      <c r="C69" s="4" t="s">
        <v>114</v>
      </c>
      <c r="D69" s="4">
        <v>20</v>
      </c>
      <c r="E69" s="4" t="s">
        <v>415</v>
      </c>
    </row>
    <row r="70" spans="1:5" ht="17.25" customHeight="1" x14ac:dyDescent="0.45">
      <c r="A70" s="34" t="s">
        <v>221</v>
      </c>
      <c r="B70" s="4" t="s">
        <v>115</v>
      </c>
      <c r="C70" s="4" t="s">
        <v>116</v>
      </c>
      <c r="D70" s="4">
        <v>25</v>
      </c>
      <c r="E70" s="4" t="s">
        <v>409</v>
      </c>
    </row>
    <row r="71" spans="1:5" x14ac:dyDescent="0.45">
      <c r="A71" s="34"/>
      <c r="B71" s="4" t="s">
        <v>117</v>
      </c>
      <c r="C71" s="4" t="s">
        <v>118</v>
      </c>
      <c r="D71" s="4">
        <v>25</v>
      </c>
      <c r="E71" s="4" t="s">
        <v>409</v>
      </c>
    </row>
    <row r="72" spans="1:5" ht="17.25" customHeight="1" x14ac:dyDescent="0.45">
      <c r="A72" s="34"/>
      <c r="B72" s="4" t="s">
        <v>119</v>
      </c>
      <c r="C72" s="4" t="s">
        <v>120</v>
      </c>
      <c r="D72" s="4">
        <v>20</v>
      </c>
      <c r="E72" s="4" t="s">
        <v>409</v>
      </c>
    </row>
    <row r="73" spans="1:5" x14ac:dyDescent="0.45">
      <c r="A73" s="34"/>
      <c r="B73" s="4" t="s">
        <v>121</v>
      </c>
      <c r="C73" s="4" t="s">
        <v>122</v>
      </c>
      <c r="D73" s="4">
        <v>20</v>
      </c>
      <c r="E73" s="4" t="s">
        <v>415</v>
      </c>
    </row>
    <row r="74" spans="1:5" ht="17.25" customHeight="1" x14ac:dyDescent="0.45">
      <c r="A74" s="34" t="s">
        <v>222</v>
      </c>
      <c r="B74" s="4" t="s">
        <v>123</v>
      </c>
      <c r="C74" s="4" t="s">
        <v>124</v>
      </c>
      <c r="D74" s="4">
        <v>25</v>
      </c>
      <c r="E74" s="4" t="s">
        <v>409</v>
      </c>
    </row>
    <row r="75" spans="1:5" x14ac:dyDescent="0.45">
      <c r="A75" s="34"/>
      <c r="B75" s="4" t="s">
        <v>125</v>
      </c>
      <c r="C75" s="4" t="s">
        <v>126</v>
      </c>
      <c r="D75" s="4">
        <v>20</v>
      </c>
      <c r="E75" s="4" t="s">
        <v>415</v>
      </c>
    </row>
    <row r="76" spans="1:5" ht="17.25" customHeight="1" x14ac:dyDescent="0.45">
      <c r="A76" s="34" t="s">
        <v>223</v>
      </c>
      <c r="B76" s="4" t="s">
        <v>127</v>
      </c>
      <c r="C76" s="4" t="s">
        <v>128</v>
      </c>
      <c r="D76" s="4">
        <v>25</v>
      </c>
      <c r="E76" s="4" t="s">
        <v>409</v>
      </c>
    </row>
    <row r="77" spans="1:5" x14ac:dyDescent="0.45">
      <c r="A77" s="34"/>
      <c r="B77" s="4" t="s">
        <v>129</v>
      </c>
      <c r="C77" s="4" t="s">
        <v>130</v>
      </c>
      <c r="D77" s="4">
        <v>25</v>
      </c>
      <c r="E77" s="4" t="s">
        <v>409</v>
      </c>
    </row>
    <row r="78" spans="1:5" x14ac:dyDescent="0.45">
      <c r="A78" s="34"/>
      <c r="B78" s="4" t="s">
        <v>131</v>
      </c>
      <c r="C78" s="4" t="s">
        <v>132</v>
      </c>
      <c r="D78" s="4">
        <v>25</v>
      </c>
      <c r="E78" s="4" t="s">
        <v>409</v>
      </c>
    </row>
    <row r="79" spans="1:5" ht="17.25" customHeight="1" x14ac:dyDescent="0.45">
      <c r="A79" s="34"/>
      <c r="B79" s="4" t="s">
        <v>133</v>
      </c>
      <c r="C79" s="4" t="s">
        <v>134</v>
      </c>
      <c r="D79" s="4">
        <v>20</v>
      </c>
      <c r="E79" s="4" t="s">
        <v>409</v>
      </c>
    </row>
    <row r="80" spans="1:5" x14ac:dyDescent="0.45">
      <c r="A80" s="34"/>
      <c r="B80" s="4" t="s">
        <v>135</v>
      </c>
      <c r="C80" s="4" t="s">
        <v>136</v>
      </c>
      <c r="D80" s="4">
        <v>20</v>
      </c>
      <c r="E80" s="4" t="s">
        <v>415</v>
      </c>
    </row>
    <row r="81" spans="1:5" ht="17.25" customHeight="1" x14ac:dyDescent="0.45">
      <c r="A81" s="34" t="s">
        <v>224</v>
      </c>
      <c r="B81" s="4" t="s">
        <v>137</v>
      </c>
      <c r="C81" s="4" t="s">
        <v>138</v>
      </c>
      <c r="D81" s="4">
        <v>25</v>
      </c>
      <c r="E81" s="4" t="s">
        <v>409</v>
      </c>
    </row>
    <row r="82" spans="1:5" x14ac:dyDescent="0.45">
      <c r="A82" s="34"/>
      <c r="B82" s="4" t="s">
        <v>139</v>
      </c>
      <c r="C82" s="4" t="s">
        <v>140</v>
      </c>
      <c r="D82" s="4">
        <v>25</v>
      </c>
      <c r="E82" s="4" t="s">
        <v>409</v>
      </c>
    </row>
    <row r="83" spans="1:5" ht="17.25" customHeight="1" x14ac:dyDescent="0.45">
      <c r="A83" s="34"/>
      <c r="B83" s="4" t="s">
        <v>141</v>
      </c>
      <c r="C83" s="4" t="s">
        <v>142</v>
      </c>
      <c r="D83" s="4">
        <v>20</v>
      </c>
      <c r="E83" s="4" t="s">
        <v>409</v>
      </c>
    </row>
    <row r="84" spans="1:5" x14ac:dyDescent="0.45">
      <c r="A84" s="34"/>
      <c r="B84" s="4" t="s">
        <v>143</v>
      </c>
      <c r="C84" s="4" t="s">
        <v>144</v>
      </c>
      <c r="D84" s="4">
        <v>20</v>
      </c>
      <c r="E84" s="4" t="s">
        <v>415</v>
      </c>
    </row>
    <row r="85" spans="1:5" ht="17.25" customHeight="1" x14ac:dyDescent="0.45">
      <c r="A85" s="34" t="s">
        <v>225</v>
      </c>
      <c r="B85" s="4" t="s">
        <v>145</v>
      </c>
      <c r="C85" s="4" t="s">
        <v>146</v>
      </c>
      <c r="D85" s="4">
        <v>19</v>
      </c>
      <c r="E85" s="4" t="s">
        <v>366</v>
      </c>
    </row>
    <row r="86" spans="1:5" x14ac:dyDescent="0.45">
      <c r="A86" s="34"/>
      <c r="B86" s="4" t="s">
        <v>147</v>
      </c>
      <c r="C86" s="4" t="s">
        <v>148</v>
      </c>
      <c r="D86" s="4">
        <v>19</v>
      </c>
      <c r="E86" s="4" t="s">
        <v>423</v>
      </c>
    </row>
    <row r="87" spans="1:5" ht="17.25" customHeight="1" x14ac:dyDescent="0.45">
      <c r="A87" s="34"/>
      <c r="B87" s="4" t="s">
        <v>149</v>
      </c>
      <c r="C87" s="4" t="s">
        <v>150</v>
      </c>
      <c r="D87" s="4">
        <v>19</v>
      </c>
      <c r="E87" s="4" t="s">
        <v>423</v>
      </c>
    </row>
    <row r="88" spans="1:5" x14ac:dyDescent="0.45">
      <c r="A88" s="34"/>
      <c r="B88" s="4" t="s">
        <v>151</v>
      </c>
      <c r="C88" s="4" t="s">
        <v>152</v>
      </c>
      <c r="D88" s="4">
        <v>19</v>
      </c>
      <c r="E88" s="4" t="s">
        <v>423</v>
      </c>
    </row>
    <row r="89" spans="1:5" ht="17.25" customHeight="1" x14ac:dyDescent="0.45">
      <c r="A89" s="34" t="s">
        <v>226</v>
      </c>
      <c r="B89" s="4" t="s">
        <v>153</v>
      </c>
      <c r="C89" s="4" t="s">
        <v>154</v>
      </c>
      <c r="D89" s="4">
        <v>15</v>
      </c>
      <c r="E89" s="4" t="s">
        <v>423</v>
      </c>
    </row>
    <row r="90" spans="1:5" x14ac:dyDescent="0.45">
      <c r="A90" s="34"/>
      <c r="B90" s="4" t="s">
        <v>155</v>
      </c>
      <c r="C90" s="4" t="s">
        <v>156</v>
      </c>
      <c r="D90" s="4">
        <v>15</v>
      </c>
      <c r="E90" s="4" t="s">
        <v>423</v>
      </c>
    </row>
    <row r="91" spans="1:5" ht="17.25" customHeight="1" x14ac:dyDescent="0.45">
      <c r="A91" s="34" t="s">
        <v>227</v>
      </c>
      <c r="B91" s="4" t="s">
        <v>157</v>
      </c>
      <c r="C91" s="4" t="s">
        <v>158</v>
      </c>
      <c r="D91" s="4">
        <v>1.7</v>
      </c>
      <c r="E91" s="4" t="s">
        <v>423</v>
      </c>
    </row>
    <row r="92" spans="1:5" x14ac:dyDescent="0.45">
      <c r="A92" s="34"/>
      <c r="B92" s="4" t="s">
        <v>159</v>
      </c>
      <c r="C92" s="4" t="s">
        <v>160</v>
      </c>
      <c r="D92" s="4">
        <v>6</v>
      </c>
      <c r="E92" s="4" t="s">
        <v>423</v>
      </c>
    </row>
    <row r="93" spans="1:5" ht="17.25" customHeight="1" x14ac:dyDescent="0.45">
      <c r="A93" s="34" t="s">
        <v>228</v>
      </c>
      <c r="B93" s="4" t="s">
        <v>161</v>
      </c>
      <c r="C93" s="4" t="s">
        <v>162</v>
      </c>
      <c r="D93" s="4">
        <v>14</v>
      </c>
      <c r="E93" s="4" t="s">
        <v>423</v>
      </c>
    </row>
    <row r="94" spans="1:5" x14ac:dyDescent="0.45">
      <c r="A94" s="34"/>
      <c r="B94" s="4" t="s">
        <v>163</v>
      </c>
      <c r="C94" s="4" t="s">
        <v>164</v>
      </c>
      <c r="D94" s="4">
        <v>14</v>
      </c>
      <c r="E94" s="4" t="s">
        <v>423</v>
      </c>
    </row>
    <row r="95" spans="1:5" ht="17.25" customHeight="1" x14ac:dyDescent="0.45">
      <c r="A95" s="34" t="s">
        <v>229</v>
      </c>
      <c r="B95" s="4" t="s">
        <v>165</v>
      </c>
      <c r="C95" s="4" t="s">
        <v>166</v>
      </c>
      <c r="D95" s="4">
        <v>8</v>
      </c>
      <c r="E95" s="4" t="s">
        <v>423</v>
      </c>
    </row>
    <row r="96" spans="1:5" x14ac:dyDescent="0.45">
      <c r="A96" s="34"/>
      <c r="B96" s="4" t="s">
        <v>167</v>
      </c>
      <c r="C96" s="4" t="s">
        <v>168</v>
      </c>
      <c r="D96" s="4">
        <v>8</v>
      </c>
      <c r="E96" s="4" t="s">
        <v>423</v>
      </c>
    </row>
    <row r="97" spans="1:9" ht="17.25" customHeight="1" x14ac:dyDescent="0.45">
      <c r="A97" s="34" t="s">
        <v>230</v>
      </c>
      <c r="B97" s="4" t="s">
        <v>169</v>
      </c>
      <c r="C97" s="4" t="s">
        <v>170</v>
      </c>
      <c r="D97" s="4">
        <v>5</v>
      </c>
      <c r="E97" s="18"/>
    </row>
    <row r="98" spans="1:9" x14ac:dyDescent="0.45">
      <c r="A98" s="34"/>
      <c r="B98" s="4" t="s">
        <v>171</v>
      </c>
      <c r="C98" s="4" t="s">
        <v>172</v>
      </c>
      <c r="D98" s="4">
        <v>5</v>
      </c>
      <c r="E98" s="18"/>
    </row>
    <row r="99" spans="1:9" ht="17.25" customHeight="1" x14ac:dyDescent="0.45">
      <c r="A99" s="34" t="s">
        <v>231</v>
      </c>
      <c r="B99" s="4" t="s">
        <v>173</v>
      </c>
      <c r="C99" s="4" t="s">
        <v>174</v>
      </c>
      <c r="D99" s="4">
        <v>12</v>
      </c>
      <c r="E99" s="4" t="s">
        <v>423</v>
      </c>
    </row>
    <row r="100" spans="1:9" x14ac:dyDescent="0.45">
      <c r="A100" s="34"/>
      <c r="B100" s="4" t="s">
        <v>175</v>
      </c>
      <c r="C100" s="4" t="s">
        <v>176</v>
      </c>
      <c r="D100" s="4">
        <v>12</v>
      </c>
      <c r="E100" s="4" t="s">
        <v>423</v>
      </c>
    </row>
    <row r="101" spans="1:9" ht="17.25" customHeight="1" x14ac:dyDescent="0.45">
      <c r="A101" s="34" t="s">
        <v>232</v>
      </c>
      <c r="B101" s="4" t="s">
        <v>177</v>
      </c>
      <c r="C101" s="4" t="s">
        <v>547</v>
      </c>
      <c r="D101" s="4">
        <v>12</v>
      </c>
      <c r="E101" s="4" t="s">
        <v>366</v>
      </c>
    </row>
    <row r="102" spans="1:9" x14ac:dyDescent="0.45">
      <c r="A102" s="34"/>
      <c r="B102" s="4" t="s">
        <v>179</v>
      </c>
      <c r="C102" s="4" t="s">
        <v>548</v>
      </c>
      <c r="D102" s="4">
        <v>12</v>
      </c>
      <c r="E102" s="4" t="s">
        <v>366</v>
      </c>
    </row>
    <row r="103" spans="1:9" ht="17.25" customHeight="1" x14ac:dyDescent="0.45">
      <c r="A103" s="4" t="s">
        <v>233</v>
      </c>
      <c r="B103" s="4" t="s">
        <v>381</v>
      </c>
      <c r="C103" s="4" t="s">
        <v>181</v>
      </c>
      <c r="D103" s="4">
        <v>5</v>
      </c>
      <c r="E103" s="4" t="s">
        <v>423</v>
      </c>
      <c r="G103" s="39"/>
      <c r="H103" s="39"/>
      <c r="I103" s="40"/>
    </row>
    <row r="104" spans="1:9" x14ac:dyDescent="0.45">
      <c r="A104" s="34" t="s">
        <v>297</v>
      </c>
      <c r="B104" s="4" t="s">
        <v>280</v>
      </c>
      <c r="C104" s="4" t="s">
        <v>325</v>
      </c>
      <c r="D104" s="4">
        <v>20</v>
      </c>
      <c r="E104" s="4" t="s">
        <v>566</v>
      </c>
      <c r="G104" s="40"/>
      <c r="H104" s="39"/>
      <c r="I104" s="40"/>
    </row>
    <row r="105" spans="1:9" x14ac:dyDescent="0.45">
      <c r="A105" s="34"/>
      <c r="B105" s="4" t="s">
        <v>281</v>
      </c>
      <c r="C105" s="4" t="s">
        <v>326</v>
      </c>
      <c r="D105" s="4">
        <v>20</v>
      </c>
      <c r="E105" s="4" t="s">
        <v>566</v>
      </c>
      <c r="G105" s="40"/>
      <c r="H105" s="39"/>
      <c r="I105" s="40"/>
    </row>
    <row r="106" spans="1:9" x14ac:dyDescent="0.45">
      <c r="A106" s="34"/>
      <c r="B106" s="4" t="s">
        <v>282</v>
      </c>
      <c r="C106" s="4" t="s">
        <v>327</v>
      </c>
      <c r="D106" s="4">
        <v>20</v>
      </c>
      <c r="E106" s="4" t="s">
        <v>366</v>
      </c>
      <c r="G106" s="40"/>
      <c r="H106" s="39"/>
      <c r="I106" s="40"/>
    </row>
    <row r="107" spans="1:9" x14ac:dyDescent="0.45">
      <c r="A107" s="34"/>
      <c r="B107" s="4" t="s">
        <v>283</v>
      </c>
      <c r="C107" s="4" t="s">
        <v>328</v>
      </c>
      <c r="D107" s="4">
        <v>17</v>
      </c>
      <c r="E107" s="4" t="s">
        <v>566</v>
      </c>
      <c r="G107" s="40"/>
      <c r="H107" s="39"/>
      <c r="I107" s="40"/>
    </row>
    <row r="108" spans="1:9" x14ac:dyDescent="0.45">
      <c r="A108" s="34"/>
      <c r="B108" s="4" t="s">
        <v>284</v>
      </c>
      <c r="C108" s="4" t="s">
        <v>329</v>
      </c>
      <c r="D108" s="4">
        <v>17</v>
      </c>
      <c r="E108" s="4" t="s">
        <v>566</v>
      </c>
      <c r="G108" s="40"/>
      <c r="H108" s="39"/>
      <c r="I108" s="40"/>
    </row>
    <row r="109" spans="1:9" x14ac:dyDescent="0.45">
      <c r="A109" s="34"/>
      <c r="B109" s="4" t="s">
        <v>291</v>
      </c>
      <c r="C109" s="4" t="s">
        <v>330</v>
      </c>
      <c r="D109" s="4">
        <v>17</v>
      </c>
      <c r="E109" s="4" t="s">
        <v>366</v>
      </c>
      <c r="G109" s="40"/>
      <c r="H109" s="39"/>
      <c r="I109" s="40"/>
    </row>
    <row r="110" spans="1:9" x14ac:dyDescent="0.45">
      <c r="A110" s="34"/>
      <c r="B110" s="4" t="s">
        <v>285</v>
      </c>
      <c r="C110" s="4" t="s">
        <v>331</v>
      </c>
      <c r="D110" s="4">
        <v>20</v>
      </c>
      <c r="E110" s="4" t="s">
        <v>566</v>
      </c>
      <c r="G110" s="40"/>
      <c r="H110" s="39"/>
      <c r="I110" s="40"/>
    </row>
    <row r="111" spans="1:9" x14ac:dyDescent="0.45">
      <c r="A111" s="34"/>
      <c r="B111" s="4" t="s">
        <v>286</v>
      </c>
      <c r="C111" s="4" t="s">
        <v>332</v>
      </c>
      <c r="D111" s="4">
        <v>20</v>
      </c>
      <c r="E111" s="4" t="s">
        <v>566</v>
      </c>
      <c r="G111" s="40"/>
      <c r="H111" s="39"/>
      <c r="I111" s="40"/>
    </row>
    <row r="112" spans="1:9" x14ac:dyDescent="0.45">
      <c r="A112" s="34"/>
      <c r="B112" s="4" t="s">
        <v>287</v>
      </c>
      <c r="C112" s="4" t="s">
        <v>333</v>
      </c>
      <c r="D112" s="4">
        <v>20</v>
      </c>
      <c r="E112" s="4" t="s">
        <v>566</v>
      </c>
      <c r="G112" s="40"/>
      <c r="H112" s="39"/>
      <c r="I112" s="40"/>
    </row>
    <row r="113" spans="1:9" x14ac:dyDescent="0.45">
      <c r="A113" s="34"/>
      <c r="B113" s="4" t="s">
        <v>288</v>
      </c>
      <c r="C113" s="4" t="s">
        <v>334</v>
      </c>
      <c r="D113" s="4">
        <v>17</v>
      </c>
      <c r="E113" s="4" t="s">
        <v>566</v>
      </c>
      <c r="G113" s="40"/>
      <c r="H113" s="39"/>
      <c r="I113" s="40"/>
    </row>
    <row r="114" spans="1:9" x14ac:dyDescent="0.45">
      <c r="A114" s="34"/>
      <c r="B114" s="4" t="s">
        <v>289</v>
      </c>
      <c r="C114" s="4" t="s">
        <v>335</v>
      </c>
      <c r="D114" s="4">
        <v>17</v>
      </c>
      <c r="E114" s="4" t="s">
        <v>566</v>
      </c>
      <c r="G114" s="40"/>
      <c r="H114" s="39"/>
      <c r="I114" s="40"/>
    </row>
    <row r="115" spans="1:9" x14ac:dyDescent="0.45">
      <c r="A115" s="34"/>
      <c r="B115" s="4" t="s">
        <v>290</v>
      </c>
      <c r="C115" s="4" t="s">
        <v>336</v>
      </c>
      <c r="D115" s="4">
        <v>17</v>
      </c>
      <c r="E115" s="4" t="s">
        <v>366</v>
      </c>
      <c r="G115" s="40"/>
      <c r="H115" s="39"/>
      <c r="I115" s="40"/>
    </row>
    <row r="116" spans="1:9" x14ac:dyDescent="0.45">
      <c r="A116" s="34"/>
      <c r="B116" s="4" t="s">
        <v>292</v>
      </c>
      <c r="C116" s="4" t="s">
        <v>337</v>
      </c>
      <c r="D116" s="4">
        <v>20</v>
      </c>
      <c r="E116" s="4" t="s">
        <v>566</v>
      </c>
      <c r="G116" s="40"/>
      <c r="H116" s="39"/>
      <c r="I116" s="40"/>
    </row>
    <row r="117" spans="1:9" x14ac:dyDescent="0.45">
      <c r="A117" s="34"/>
      <c r="B117" s="4" t="s">
        <v>293</v>
      </c>
      <c r="C117" s="4" t="s">
        <v>338</v>
      </c>
      <c r="D117" s="4">
        <v>20</v>
      </c>
      <c r="E117" s="4" t="s">
        <v>366</v>
      </c>
      <c r="G117" s="40"/>
      <c r="H117" s="39"/>
      <c r="I117" s="40"/>
    </row>
    <row r="118" spans="1:9" x14ac:dyDescent="0.45">
      <c r="A118" s="34"/>
      <c r="B118" s="4" t="s">
        <v>294</v>
      </c>
      <c r="C118" s="4" t="s">
        <v>339</v>
      </c>
      <c r="D118" s="4">
        <v>20</v>
      </c>
      <c r="E118" s="4" t="s">
        <v>366</v>
      </c>
      <c r="G118" s="40"/>
      <c r="H118" s="39"/>
      <c r="I118" s="40"/>
    </row>
    <row r="119" spans="1:9" x14ac:dyDescent="0.45">
      <c r="A119" s="34"/>
      <c r="B119" s="4" t="s">
        <v>295</v>
      </c>
      <c r="C119" s="4" t="s">
        <v>340</v>
      </c>
      <c r="D119" s="4">
        <v>17</v>
      </c>
      <c r="E119" s="4" t="s">
        <v>566</v>
      </c>
      <c r="G119" s="40"/>
      <c r="H119" s="39"/>
      <c r="I119" s="40"/>
    </row>
    <row r="120" spans="1:9" x14ac:dyDescent="0.45">
      <c r="A120" s="34"/>
      <c r="B120" s="4" t="s">
        <v>296</v>
      </c>
      <c r="C120" s="4" t="s">
        <v>341</v>
      </c>
      <c r="D120" s="4">
        <v>17</v>
      </c>
      <c r="E120" s="4" t="s">
        <v>366</v>
      </c>
      <c r="G120" s="40"/>
      <c r="H120" s="39"/>
      <c r="I120" s="40"/>
    </row>
    <row r="121" spans="1:9" x14ac:dyDescent="0.45">
      <c r="A121" s="34" t="s">
        <v>313</v>
      </c>
      <c r="B121" s="4" t="s">
        <v>298</v>
      </c>
      <c r="C121" s="4" t="s">
        <v>342</v>
      </c>
      <c r="D121" s="4">
        <v>20</v>
      </c>
      <c r="E121" s="4" t="s">
        <v>566</v>
      </c>
      <c r="G121" s="40"/>
      <c r="H121" s="39"/>
      <c r="I121" s="40"/>
    </row>
    <row r="122" spans="1:9" x14ac:dyDescent="0.45">
      <c r="A122" s="34"/>
      <c r="B122" s="4" t="s">
        <v>299</v>
      </c>
      <c r="C122" s="4" t="s">
        <v>343</v>
      </c>
      <c r="D122" s="4">
        <v>20</v>
      </c>
      <c r="E122" s="4" t="s">
        <v>566</v>
      </c>
      <c r="G122" s="40"/>
      <c r="H122" s="39"/>
      <c r="I122" s="40"/>
    </row>
    <row r="123" spans="1:9" x14ac:dyDescent="0.45">
      <c r="A123" s="34"/>
      <c r="B123" s="4" t="s">
        <v>300</v>
      </c>
      <c r="C123" s="4" t="s">
        <v>344</v>
      </c>
      <c r="D123" s="4">
        <v>20</v>
      </c>
      <c r="E123" s="4" t="s">
        <v>566</v>
      </c>
      <c r="G123" s="40"/>
      <c r="H123" s="39"/>
      <c r="I123" s="40"/>
    </row>
    <row r="124" spans="1:9" x14ac:dyDescent="0.45">
      <c r="A124" s="34"/>
      <c r="B124" s="4" t="s">
        <v>301</v>
      </c>
      <c r="C124" s="4" t="s">
        <v>345</v>
      </c>
      <c r="D124" s="4">
        <v>20</v>
      </c>
      <c r="E124" s="4" t="s">
        <v>566</v>
      </c>
      <c r="G124" s="40"/>
      <c r="H124" s="39"/>
      <c r="I124" s="40"/>
    </row>
    <row r="125" spans="1:9" x14ac:dyDescent="0.45">
      <c r="A125" s="34"/>
      <c r="B125" s="4" t="s">
        <v>302</v>
      </c>
      <c r="C125" s="4" t="s">
        <v>346</v>
      </c>
      <c r="D125" s="4">
        <v>20</v>
      </c>
      <c r="E125" s="4" t="s">
        <v>566</v>
      </c>
      <c r="G125" s="40"/>
      <c r="H125" s="39"/>
      <c r="I125" s="40"/>
    </row>
    <row r="126" spans="1:9" x14ac:dyDescent="0.45">
      <c r="A126" s="34"/>
      <c r="B126" s="4" t="s">
        <v>303</v>
      </c>
      <c r="C126" s="4" t="s">
        <v>347</v>
      </c>
      <c r="D126" s="4">
        <v>20</v>
      </c>
      <c r="E126" s="4" t="s">
        <v>366</v>
      </c>
      <c r="G126" s="40"/>
      <c r="H126" s="39"/>
      <c r="I126" s="40"/>
    </row>
    <row r="127" spans="1:9" x14ac:dyDescent="0.45">
      <c r="A127" s="34"/>
      <c r="B127" s="4" t="s">
        <v>304</v>
      </c>
      <c r="C127" s="4" t="s">
        <v>348</v>
      </c>
      <c r="D127" s="4">
        <v>25</v>
      </c>
      <c r="E127" s="4" t="s">
        <v>366</v>
      </c>
      <c r="G127" s="40"/>
      <c r="H127" s="39"/>
      <c r="I127" s="40"/>
    </row>
    <row r="128" spans="1:9" x14ac:dyDescent="0.45">
      <c r="A128" s="34"/>
      <c r="B128" s="4" t="s">
        <v>305</v>
      </c>
      <c r="C128" s="4" t="s">
        <v>349</v>
      </c>
      <c r="D128" s="4">
        <v>25</v>
      </c>
      <c r="E128" s="4" t="s">
        <v>566</v>
      </c>
      <c r="G128" s="40"/>
      <c r="H128" s="39"/>
      <c r="I128" s="40"/>
    </row>
    <row r="129" spans="1:9" x14ac:dyDescent="0.45">
      <c r="A129" s="34"/>
      <c r="B129" s="4" t="s">
        <v>306</v>
      </c>
      <c r="C129" s="4" t="s">
        <v>350</v>
      </c>
      <c r="D129" s="4">
        <v>25</v>
      </c>
      <c r="E129" s="4" t="s">
        <v>566</v>
      </c>
      <c r="G129" s="40"/>
      <c r="H129" s="39"/>
      <c r="I129" s="40"/>
    </row>
    <row r="130" spans="1:9" x14ac:dyDescent="0.45">
      <c r="A130" s="34"/>
      <c r="B130" s="4" t="s">
        <v>311</v>
      </c>
      <c r="C130" s="4" t="s">
        <v>351</v>
      </c>
      <c r="D130" s="4">
        <v>22</v>
      </c>
      <c r="E130" s="4" t="s">
        <v>566</v>
      </c>
      <c r="G130" s="40"/>
      <c r="H130" s="39"/>
      <c r="I130" s="40"/>
    </row>
    <row r="131" spans="1:9" x14ac:dyDescent="0.45">
      <c r="A131" s="34"/>
      <c r="B131" s="4" t="s">
        <v>307</v>
      </c>
      <c r="C131" s="4" t="s">
        <v>352</v>
      </c>
      <c r="D131" s="4">
        <v>22</v>
      </c>
      <c r="E131" s="4" t="s">
        <v>566</v>
      </c>
      <c r="G131" s="40"/>
      <c r="H131" s="39"/>
      <c r="I131" s="40"/>
    </row>
    <row r="132" spans="1:9" x14ac:dyDescent="0.45">
      <c r="A132" s="34"/>
      <c r="B132" s="4" t="s">
        <v>367</v>
      </c>
      <c r="C132" s="4" t="s">
        <v>184</v>
      </c>
      <c r="D132" s="4">
        <v>25</v>
      </c>
      <c r="E132" s="4" t="s">
        <v>366</v>
      </c>
      <c r="G132" s="40"/>
      <c r="H132" s="39"/>
      <c r="I132" s="40"/>
    </row>
    <row r="133" spans="1:9" x14ac:dyDescent="0.45">
      <c r="A133" s="34"/>
      <c r="B133" s="4" t="s">
        <v>308</v>
      </c>
      <c r="C133" s="4" t="s">
        <v>182</v>
      </c>
      <c r="D133" s="4">
        <v>25</v>
      </c>
      <c r="E133" s="4" t="s">
        <v>566</v>
      </c>
      <c r="G133" s="40"/>
      <c r="H133" s="39"/>
      <c r="I133" s="40"/>
    </row>
    <row r="134" spans="1:9" x14ac:dyDescent="0.45">
      <c r="A134" s="34"/>
      <c r="B134" s="4" t="s">
        <v>309</v>
      </c>
      <c r="C134" s="4" t="s">
        <v>353</v>
      </c>
      <c r="D134" s="4">
        <v>25</v>
      </c>
      <c r="E134" s="4" t="s">
        <v>566</v>
      </c>
      <c r="G134" s="40"/>
      <c r="H134" s="39"/>
      <c r="I134" s="40"/>
    </row>
    <row r="135" spans="1:9" x14ac:dyDescent="0.45">
      <c r="A135" s="34"/>
      <c r="B135" s="4" t="s">
        <v>312</v>
      </c>
      <c r="C135" s="4" t="s">
        <v>183</v>
      </c>
      <c r="D135" s="4">
        <v>22</v>
      </c>
      <c r="E135" s="4" t="s">
        <v>566</v>
      </c>
      <c r="G135" s="40"/>
      <c r="H135" s="39"/>
      <c r="I135" s="40"/>
    </row>
    <row r="136" spans="1:9" x14ac:dyDescent="0.45">
      <c r="A136" s="34"/>
      <c r="B136" s="4" t="s">
        <v>310</v>
      </c>
      <c r="C136" s="4" t="s">
        <v>185</v>
      </c>
      <c r="D136" s="4">
        <v>22</v>
      </c>
      <c r="E136" s="4" t="s">
        <v>566</v>
      </c>
      <c r="G136" s="40"/>
      <c r="H136" s="39"/>
      <c r="I136" s="40"/>
    </row>
    <row r="137" spans="1:9" x14ac:dyDescent="0.45">
      <c r="A137" s="34" t="s">
        <v>324</v>
      </c>
      <c r="B137" s="4" t="s">
        <v>316</v>
      </c>
      <c r="C137" s="4" t="s">
        <v>354</v>
      </c>
      <c r="D137" s="4">
        <v>25</v>
      </c>
      <c r="E137" s="4" t="s">
        <v>566</v>
      </c>
      <c r="G137" s="40"/>
      <c r="H137" s="39"/>
      <c r="I137" s="40"/>
    </row>
    <row r="138" spans="1:9" x14ac:dyDescent="0.45">
      <c r="A138" s="34"/>
      <c r="B138" s="4" t="s">
        <v>314</v>
      </c>
      <c r="C138" s="4" t="s">
        <v>355</v>
      </c>
      <c r="D138" s="4">
        <v>25</v>
      </c>
      <c r="E138" s="4" t="s">
        <v>566</v>
      </c>
      <c r="G138" s="40"/>
      <c r="H138" s="39"/>
      <c r="I138" s="40"/>
    </row>
    <row r="139" spans="1:9" x14ac:dyDescent="0.45">
      <c r="A139" s="34"/>
      <c r="B139" s="4" t="s">
        <v>315</v>
      </c>
      <c r="C139" s="4" t="s">
        <v>356</v>
      </c>
      <c r="D139" s="4">
        <v>25</v>
      </c>
      <c r="E139" s="4" t="s">
        <v>566</v>
      </c>
      <c r="G139" s="40"/>
      <c r="H139" s="39"/>
      <c r="I139" s="40"/>
    </row>
    <row r="140" spans="1:9" x14ac:dyDescent="0.45">
      <c r="A140" s="34"/>
      <c r="B140" s="4" t="s">
        <v>317</v>
      </c>
      <c r="C140" s="4" t="s">
        <v>357</v>
      </c>
      <c r="D140" s="4">
        <v>25</v>
      </c>
      <c r="E140" s="4" t="s">
        <v>566</v>
      </c>
      <c r="G140" s="40"/>
      <c r="H140" s="39"/>
      <c r="I140" s="40"/>
    </row>
    <row r="141" spans="1:9" x14ac:dyDescent="0.45">
      <c r="A141" s="34"/>
      <c r="B141" s="4" t="s">
        <v>318</v>
      </c>
      <c r="C141" s="4" t="s">
        <v>358</v>
      </c>
      <c r="D141" s="4">
        <v>25</v>
      </c>
      <c r="E141" s="4" t="s">
        <v>566</v>
      </c>
      <c r="G141" s="40"/>
      <c r="H141" s="39"/>
      <c r="I141" s="40"/>
    </row>
    <row r="142" spans="1:9" x14ac:dyDescent="0.45">
      <c r="A142" s="34"/>
      <c r="B142" s="4" t="s">
        <v>321</v>
      </c>
      <c r="C142" s="4" t="s">
        <v>359</v>
      </c>
      <c r="D142" s="4">
        <v>25</v>
      </c>
      <c r="E142" s="4" t="s">
        <v>366</v>
      </c>
      <c r="G142" s="40"/>
      <c r="H142" s="39"/>
      <c r="I142" s="40"/>
    </row>
    <row r="143" spans="1:9" x14ac:dyDescent="0.45">
      <c r="A143" s="34"/>
      <c r="B143" s="4" t="s">
        <v>319</v>
      </c>
      <c r="C143" s="4" t="s">
        <v>360</v>
      </c>
      <c r="D143" s="4">
        <v>25</v>
      </c>
      <c r="E143" s="4" t="s">
        <v>566</v>
      </c>
      <c r="G143" s="40"/>
      <c r="H143" s="39"/>
      <c r="I143" s="40"/>
    </row>
    <row r="144" spans="1:9" x14ac:dyDescent="0.45">
      <c r="A144" s="34"/>
      <c r="B144" s="4" t="s">
        <v>320</v>
      </c>
      <c r="C144" s="4" t="s">
        <v>361</v>
      </c>
      <c r="D144" s="4">
        <v>25</v>
      </c>
      <c r="E144" s="4" t="s">
        <v>566</v>
      </c>
      <c r="G144" s="40"/>
      <c r="H144" s="39"/>
      <c r="I144" s="40"/>
    </row>
    <row r="145" spans="1:9" x14ac:dyDescent="0.45">
      <c r="A145" s="34"/>
      <c r="B145" s="4" t="s">
        <v>322</v>
      </c>
      <c r="C145" s="4" t="s">
        <v>362</v>
      </c>
      <c r="D145" s="4">
        <v>25</v>
      </c>
      <c r="E145" s="4" t="s">
        <v>566</v>
      </c>
      <c r="G145" s="40"/>
      <c r="H145" s="39"/>
      <c r="I145" s="40"/>
    </row>
    <row r="146" spans="1:9" x14ac:dyDescent="0.45">
      <c r="A146" s="34"/>
      <c r="B146" s="4" t="s">
        <v>323</v>
      </c>
      <c r="C146" s="4" t="s">
        <v>363</v>
      </c>
      <c r="D146" s="4">
        <v>25</v>
      </c>
      <c r="E146" s="4" t="s">
        <v>566</v>
      </c>
      <c r="G146" s="40"/>
      <c r="H146" s="39"/>
      <c r="I146" s="40"/>
    </row>
    <row r="147" spans="1:9" ht="52.5" x14ac:dyDescent="0.45">
      <c r="A147" s="4" t="s">
        <v>236</v>
      </c>
      <c r="B147" s="4" t="s">
        <v>186</v>
      </c>
      <c r="C147" s="4" t="s">
        <v>187</v>
      </c>
      <c r="D147" s="4">
        <v>30</v>
      </c>
      <c r="E147" s="4" t="s">
        <v>423</v>
      </c>
    </row>
    <row r="148" spans="1:9" ht="52.5" x14ac:dyDescent="0.45">
      <c r="A148" s="4" t="s">
        <v>237</v>
      </c>
      <c r="B148" s="4" t="s">
        <v>188</v>
      </c>
      <c r="C148" s="4" t="s">
        <v>189</v>
      </c>
      <c r="D148" s="4">
        <v>30</v>
      </c>
      <c r="E148" s="4" t="s">
        <v>423</v>
      </c>
    </row>
    <row r="149" spans="1:9" ht="52.5" x14ac:dyDescent="0.45">
      <c r="A149" s="4" t="s">
        <v>238</v>
      </c>
      <c r="B149" s="4" t="s">
        <v>190</v>
      </c>
      <c r="C149" s="4" t="s">
        <v>191</v>
      </c>
      <c r="D149" s="4">
        <v>35</v>
      </c>
      <c r="E149" s="4" t="s">
        <v>423</v>
      </c>
    </row>
    <row r="150" spans="1:9" x14ac:dyDescent="0.45">
      <c r="A150" s="34" t="s">
        <v>224</v>
      </c>
      <c r="B150" s="4" t="s">
        <v>192</v>
      </c>
      <c r="C150" s="4" t="s">
        <v>193</v>
      </c>
      <c r="D150" s="4">
        <v>25</v>
      </c>
      <c r="E150" s="4" t="s">
        <v>409</v>
      </c>
    </row>
    <row r="151" spans="1:9" x14ac:dyDescent="0.45">
      <c r="A151" s="34"/>
      <c r="B151" s="4" t="s">
        <v>194</v>
      </c>
      <c r="C151" s="4" t="s">
        <v>195</v>
      </c>
      <c r="D151" s="4">
        <v>25</v>
      </c>
      <c r="E151" s="4" t="s">
        <v>409</v>
      </c>
    </row>
    <row r="152" spans="1:9" x14ac:dyDescent="0.45">
      <c r="A152" s="34"/>
      <c r="B152" s="4" t="s">
        <v>196</v>
      </c>
      <c r="C152" s="4" t="s">
        <v>197</v>
      </c>
      <c r="D152" s="4">
        <v>25</v>
      </c>
      <c r="E152" s="4" t="s">
        <v>409</v>
      </c>
    </row>
    <row r="153" spans="1:9" x14ac:dyDescent="0.45">
      <c r="A153" s="34"/>
      <c r="B153" s="4" t="s">
        <v>198</v>
      </c>
      <c r="C153" s="4" t="s">
        <v>199</v>
      </c>
      <c r="D153" s="4">
        <v>25</v>
      </c>
      <c r="E153" s="4" t="s">
        <v>409</v>
      </c>
    </row>
    <row r="154" spans="1:9" x14ac:dyDescent="0.45">
      <c r="A154" s="34"/>
      <c r="B154" s="4" t="s">
        <v>200</v>
      </c>
      <c r="C154" s="4" t="s">
        <v>201</v>
      </c>
      <c r="D154" s="4">
        <v>25</v>
      </c>
      <c r="E154" s="4" t="s">
        <v>409</v>
      </c>
    </row>
    <row r="155" spans="1:9" x14ac:dyDescent="0.45">
      <c r="A155" s="34"/>
      <c r="B155" s="4" t="s">
        <v>202</v>
      </c>
      <c r="C155" s="4" t="s">
        <v>203</v>
      </c>
      <c r="D155" s="4">
        <v>25</v>
      </c>
      <c r="E155" s="4" t="s">
        <v>409</v>
      </c>
    </row>
  </sheetData>
  <mergeCells count="25">
    <mergeCell ref="A76:A80"/>
    <mergeCell ref="A81:A84"/>
    <mergeCell ref="A58:A59"/>
    <mergeCell ref="A137:A146"/>
    <mergeCell ref="A2:A18"/>
    <mergeCell ref="A19:A25"/>
    <mergeCell ref="A26:A46"/>
    <mergeCell ref="A55:A57"/>
    <mergeCell ref="A91:A92"/>
    <mergeCell ref="A150:A155"/>
    <mergeCell ref="A70:A73"/>
    <mergeCell ref="A85:A88"/>
    <mergeCell ref="A47:A54"/>
    <mergeCell ref="A68:A69"/>
    <mergeCell ref="A65:A67"/>
    <mergeCell ref="A60:A64"/>
    <mergeCell ref="A104:A120"/>
    <mergeCell ref="A121:A136"/>
    <mergeCell ref="A95:A96"/>
    <mergeCell ref="A97:A98"/>
    <mergeCell ref="A99:A100"/>
    <mergeCell ref="A101:A102"/>
    <mergeCell ref="A74:A75"/>
    <mergeCell ref="A89:A90"/>
    <mergeCell ref="A93:A9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5"/>
  <sheetViews>
    <sheetView zoomScale="70" zoomScaleNormal="70" workbookViewId="0">
      <selection activeCell="G14" sqref="G14"/>
    </sheetView>
  </sheetViews>
  <sheetFormatPr baseColWidth="10" defaultRowHeight="17.5" x14ac:dyDescent="0.45"/>
  <cols>
    <col min="1" max="1" width="13.84375" customWidth="1"/>
    <col min="2" max="2" width="40.53515625" bestFit="1" customWidth="1"/>
    <col min="6" max="6" width="22.3046875" customWidth="1"/>
    <col min="7" max="16" width="12.3046875" bestFit="1" customWidth="1"/>
    <col min="17" max="36" width="11.69140625" bestFit="1" customWidth="1"/>
  </cols>
  <sheetData>
    <row r="1" spans="1:36" s="1" customFormat="1" x14ac:dyDescent="0.45">
      <c r="A1" s="2"/>
      <c r="B1" s="2" t="s">
        <v>204</v>
      </c>
      <c r="C1" s="2" t="s">
        <v>205</v>
      </c>
      <c r="D1" s="2" t="s">
        <v>239</v>
      </c>
      <c r="E1" s="2">
        <v>2020</v>
      </c>
      <c r="F1" s="2" t="s">
        <v>240</v>
      </c>
      <c r="G1" s="2">
        <v>2021</v>
      </c>
      <c r="H1" s="2">
        <v>2022</v>
      </c>
      <c r="I1" s="2">
        <v>2023</v>
      </c>
      <c r="J1" s="2">
        <v>2024</v>
      </c>
      <c r="K1" s="2">
        <v>2025</v>
      </c>
      <c r="L1" s="2">
        <v>2026</v>
      </c>
      <c r="M1" s="2">
        <v>2027</v>
      </c>
      <c r="N1" s="2">
        <v>2028</v>
      </c>
      <c r="O1" s="2">
        <v>2029</v>
      </c>
      <c r="P1" s="2">
        <v>2030</v>
      </c>
      <c r="Q1" s="2">
        <v>2031</v>
      </c>
      <c r="R1" s="2">
        <v>2032</v>
      </c>
      <c r="S1" s="2">
        <v>2033</v>
      </c>
      <c r="T1" s="2">
        <v>2034</v>
      </c>
      <c r="U1" s="2">
        <v>2035</v>
      </c>
      <c r="V1" s="2">
        <v>2036</v>
      </c>
      <c r="W1" s="2">
        <v>2037</v>
      </c>
      <c r="X1" s="2">
        <v>2038</v>
      </c>
      <c r="Y1" s="2">
        <v>2039</v>
      </c>
      <c r="Z1" s="2">
        <v>2040</v>
      </c>
      <c r="AA1" s="2">
        <v>2041</v>
      </c>
      <c r="AB1" s="2">
        <v>2042</v>
      </c>
      <c r="AC1" s="2">
        <v>2043</v>
      </c>
      <c r="AD1" s="2">
        <v>2044</v>
      </c>
      <c r="AE1" s="2">
        <v>2045</v>
      </c>
      <c r="AF1" s="2">
        <v>2046</v>
      </c>
      <c r="AG1" s="2">
        <v>2047</v>
      </c>
      <c r="AH1" s="2">
        <v>2048</v>
      </c>
      <c r="AI1" s="2">
        <v>2049</v>
      </c>
      <c r="AJ1" s="2">
        <v>2050</v>
      </c>
    </row>
    <row r="2" spans="1:36" x14ac:dyDescent="0.45">
      <c r="A2" s="34" t="s">
        <v>207</v>
      </c>
      <c r="B2" s="3" t="s">
        <v>0</v>
      </c>
      <c r="C2" s="3" t="s">
        <v>1</v>
      </c>
      <c r="D2" s="3" t="s">
        <v>268</v>
      </c>
      <c r="E2" s="3">
        <v>91.2</v>
      </c>
      <c r="F2" s="3" t="s">
        <v>264</v>
      </c>
      <c r="G2" s="3">
        <v>91.2</v>
      </c>
      <c r="H2" s="3">
        <v>91.2</v>
      </c>
      <c r="I2" s="3">
        <v>91.2</v>
      </c>
      <c r="J2" s="3">
        <v>91.2</v>
      </c>
      <c r="K2" s="3">
        <v>91.2</v>
      </c>
      <c r="L2" s="3">
        <v>91.2</v>
      </c>
      <c r="M2" s="3">
        <v>91.2</v>
      </c>
      <c r="N2" s="3">
        <v>91.2</v>
      </c>
      <c r="O2" s="3">
        <v>91.2</v>
      </c>
      <c r="P2" s="3">
        <v>91.2</v>
      </c>
      <c r="Q2" s="3">
        <v>91.2</v>
      </c>
      <c r="R2" s="3">
        <v>91.2</v>
      </c>
      <c r="S2" s="3">
        <v>91.2</v>
      </c>
      <c r="T2" s="3">
        <v>91.2</v>
      </c>
      <c r="U2" s="3">
        <v>91.2</v>
      </c>
      <c r="V2" s="3">
        <v>91.2</v>
      </c>
      <c r="W2" s="3">
        <v>91.2</v>
      </c>
      <c r="X2" s="3">
        <v>91.2</v>
      </c>
      <c r="Y2" s="3">
        <v>91.2</v>
      </c>
      <c r="Z2" s="3">
        <v>91.2</v>
      </c>
      <c r="AA2" s="3">
        <v>91.2</v>
      </c>
      <c r="AB2" s="3">
        <v>91.2</v>
      </c>
      <c r="AC2" s="3">
        <v>91.2</v>
      </c>
      <c r="AD2" s="3">
        <v>91.2</v>
      </c>
      <c r="AE2" s="3">
        <v>91.2</v>
      </c>
      <c r="AF2" s="3">
        <v>91.2</v>
      </c>
      <c r="AG2" s="3">
        <v>91.2</v>
      </c>
      <c r="AH2" s="3">
        <v>91.2</v>
      </c>
      <c r="AI2" s="3">
        <v>91.2</v>
      </c>
      <c r="AJ2" s="3">
        <v>91.2</v>
      </c>
    </row>
    <row r="3" spans="1:36" x14ac:dyDescent="0.45">
      <c r="A3" s="34"/>
      <c r="B3" s="3" t="s">
        <v>2</v>
      </c>
      <c r="C3" s="3" t="s">
        <v>3</v>
      </c>
      <c r="D3" s="3" t="s">
        <v>269</v>
      </c>
      <c r="E3" s="3">
        <v>368</v>
      </c>
      <c r="F3" s="3" t="s">
        <v>267</v>
      </c>
      <c r="G3" s="3">
        <v>368</v>
      </c>
      <c r="H3" s="3">
        <v>368</v>
      </c>
      <c r="I3" s="3">
        <v>368</v>
      </c>
      <c r="J3" s="3">
        <v>368</v>
      </c>
      <c r="K3" s="3">
        <v>368</v>
      </c>
      <c r="L3" s="3">
        <v>368</v>
      </c>
      <c r="M3" s="3">
        <v>368</v>
      </c>
      <c r="N3" s="3">
        <v>368</v>
      </c>
      <c r="O3" s="3">
        <v>368</v>
      </c>
      <c r="P3" s="3">
        <v>368</v>
      </c>
      <c r="Q3" s="3">
        <v>368</v>
      </c>
      <c r="R3" s="3">
        <v>368</v>
      </c>
      <c r="S3" s="3">
        <v>368</v>
      </c>
      <c r="T3" s="3">
        <v>368</v>
      </c>
      <c r="U3" s="3">
        <v>368</v>
      </c>
      <c r="V3" s="3">
        <v>368</v>
      </c>
      <c r="W3" s="3">
        <v>368</v>
      </c>
      <c r="X3" s="3">
        <v>368</v>
      </c>
      <c r="Y3" s="3">
        <v>368</v>
      </c>
      <c r="Z3" s="3">
        <v>368</v>
      </c>
      <c r="AA3" s="3">
        <v>368</v>
      </c>
      <c r="AB3" s="3">
        <v>368</v>
      </c>
      <c r="AC3" s="3">
        <v>368</v>
      </c>
      <c r="AD3" s="3">
        <v>368</v>
      </c>
      <c r="AE3" s="3">
        <v>368</v>
      </c>
      <c r="AF3" s="3">
        <v>368</v>
      </c>
      <c r="AG3" s="3">
        <v>368</v>
      </c>
      <c r="AH3" s="3">
        <v>368</v>
      </c>
      <c r="AI3" s="3">
        <v>368</v>
      </c>
      <c r="AJ3" s="3">
        <v>368</v>
      </c>
    </row>
    <row r="4" spans="1:36" x14ac:dyDescent="0.45">
      <c r="A4" s="34"/>
      <c r="B4" s="3" t="s">
        <v>6</v>
      </c>
      <c r="C4" s="3" t="s">
        <v>7</v>
      </c>
      <c r="D4" s="3" t="s">
        <v>270</v>
      </c>
      <c r="E4" s="3">
        <v>330</v>
      </c>
      <c r="F4" s="3" t="s">
        <v>267</v>
      </c>
      <c r="G4" s="3">
        <v>330</v>
      </c>
      <c r="H4" s="3">
        <v>330</v>
      </c>
      <c r="I4" s="3">
        <v>330</v>
      </c>
      <c r="J4" s="3">
        <v>330</v>
      </c>
      <c r="K4" s="3">
        <v>330</v>
      </c>
      <c r="L4" s="3">
        <v>330</v>
      </c>
      <c r="M4" s="3">
        <v>330</v>
      </c>
      <c r="N4" s="3">
        <v>330</v>
      </c>
      <c r="O4" s="3">
        <v>330</v>
      </c>
      <c r="P4" s="3">
        <v>330</v>
      </c>
      <c r="Q4" s="3">
        <v>330</v>
      </c>
      <c r="R4" s="3">
        <v>330</v>
      </c>
      <c r="S4" s="3">
        <v>330</v>
      </c>
      <c r="T4" s="3">
        <v>330</v>
      </c>
      <c r="U4" s="3">
        <v>330</v>
      </c>
      <c r="V4" s="3">
        <v>330</v>
      </c>
      <c r="W4" s="3">
        <v>330</v>
      </c>
      <c r="X4" s="3">
        <v>330</v>
      </c>
      <c r="Y4" s="3">
        <v>330</v>
      </c>
      <c r="Z4" s="3">
        <v>330</v>
      </c>
      <c r="AA4" s="3">
        <v>330</v>
      </c>
      <c r="AB4" s="3">
        <v>330</v>
      </c>
      <c r="AC4" s="3">
        <v>330</v>
      </c>
      <c r="AD4" s="3">
        <v>330</v>
      </c>
      <c r="AE4" s="3">
        <v>330</v>
      </c>
      <c r="AF4" s="3">
        <v>330</v>
      </c>
      <c r="AG4" s="3">
        <v>330</v>
      </c>
      <c r="AH4" s="3">
        <v>330</v>
      </c>
      <c r="AI4" s="3">
        <v>330</v>
      </c>
      <c r="AJ4" s="3">
        <v>330</v>
      </c>
    </row>
    <row r="5" spans="1:36" x14ac:dyDescent="0.45">
      <c r="A5" s="34"/>
      <c r="B5" s="3" t="s">
        <v>10</v>
      </c>
      <c r="C5" s="3" t="s">
        <v>11</v>
      </c>
      <c r="D5" s="3" t="s">
        <v>268</v>
      </c>
      <c r="E5" s="3">
        <v>6.7</v>
      </c>
      <c r="F5" s="3" t="s">
        <v>377</v>
      </c>
      <c r="G5" s="3">
        <f>$E$5</f>
        <v>6.7</v>
      </c>
      <c r="H5" s="3">
        <f t="shared" ref="H5:AJ5" si="0">$E$5</f>
        <v>6.7</v>
      </c>
      <c r="I5" s="3">
        <f t="shared" si="0"/>
        <v>6.7</v>
      </c>
      <c r="J5" s="3">
        <f t="shared" si="0"/>
        <v>6.7</v>
      </c>
      <c r="K5" s="3">
        <f t="shared" si="0"/>
        <v>6.7</v>
      </c>
      <c r="L5" s="3">
        <f t="shared" si="0"/>
        <v>6.7</v>
      </c>
      <c r="M5" s="3">
        <f t="shared" si="0"/>
        <v>6.7</v>
      </c>
      <c r="N5" s="3">
        <f t="shared" si="0"/>
        <v>6.7</v>
      </c>
      <c r="O5" s="3">
        <f t="shared" si="0"/>
        <v>6.7</v>
      </c>
      <c r="P5" s="3">
        <f t="shared" si="0"/>
        <v>6.7</v>
      </c>
      <c r="Q5" s="3">
        <f t="shared" si="0"/>
        <v>6.7</v>
      </c>
      <c r="R5" s="3">
        <f t="shared" si="0"/>
        <v>6.7</v>
      </c>
      <c r="S5" s="3">
        <f t="shared" si="0"/>
        <v>6.7</v>
      </c>
      <c r="T5" s="3">
        <f t="shared" si="0"/>
        <v>6.7</v>
      </c>
      <c r="U5" s="3">
        <f t="shared" si="0"/>
        <v>6.7</v>
      </c>
      <c r="V5" s="3">
        <f t="shared" si="0"/>
        <v>6.7</v>
      </c>
      <c r="W5" s="3">
        <f t="shared" si="0"/>
        <v>6.7</v>
      </c>
      <c r="X5" s="3">
        <f t="shared" si="0"/>
        <v>6.7</v>
      </c>
      <c r="Y5" s="3">
        <f t="shared" si="0"/>
        <v>6.7</v>
      </c>
      <c r="Z5" s="3">
        <f t="shared" si="0"/>
        <v>6.7</v>
      </c>
      <c r="AA5" s="3">
        <f t="shared" si="0"/>
        <v>6.7</v>
      </c>
      <c r="AB5" s="3">
        <f t="shared" si="0"/>
        <v>6.7</v>
      </c>
      <c r="AC5" s="3">
        <f t="shared" si="0"/>
        <v>6.7</v>
      </c>
      <c r="AD5" s="3">
        <f t="shared" si="0"/>
        <v>6.7</v>
      </c>
      <c r="AE5" s="3">
        <f t="shared" si="0"/>
        <v>6.7</v>
      </c>
      <c r="AF5" s="3">
        <f t="shared" si="0"/>
        <v>6.7</v>
      </c>
      <c r="AG5" s="3">
        <f t="shared" si="0"/>
        <v>6.7</v>
      </c>
      <c r="AH5" s="3">
        <f t="shared" si="0"/>
        <v>6.7</v>
      </c>
      <c r="AI5" s="3">
        <f t="shared" si="0"/>
        <v>6.7</v>
      </c>
      <c r="AJ5" s="3">
        <f t="shared" si="0"/>
        <v>6.7</v>
      </c>
    </row>
    <row r="6" spans="1:36" x14ac:dyDescent="0.45">
      <c r="A6" s="34"/>
      <c r="B6" s="3" t="s">
        <v>12</v>
      </c>
      <c r="C6" s="3" t="s">
        <v>13</v>
      </c>
      <c r="D6" s="3" t="s">
        <v>268</v>
      </c>
      <c r="E6" s="3">
        <v>17.2</v>
      </c>
      <c r="F6" s="3" t="s">
        <v>272</v>
      </c>
      <c r="G6" s="3">
        <f>$E$6</f>
        <v>17.2</v>
      </c>
      <c r="H6" s="3">
        <f t="shared" ref="H6:AJ6" si="1">$E$6</f>
        <v>17.2</v>
      </c>
      <c r="I6" s="3">
        <f t="shared" si="1"/>
        <v>17.2</v>
      </c>
      <c r="J6" s="3">
        <f t="shared" si="1"/>
        <v>17.2</v>
      </c>
      <c r="K6" s="3">
        <f t="shared" si="1"/>
        <v>17.2</v>
      </c>
      <c r="L6" s="3">
        <f t="shared" si="1"/>
        <v>17.2</v>
      </c>
      <c r="M6" s="3">
        <f t="shared" si="1"/>
        <v>17.2</v>
      </c>
      <c r="N6" s="3">
        <f t="shared" si="1"/>
        <v>17.2</v>
      </c>
      <c r="O6" s="3">
        <f t="shared" si="1"/>
        <v>17.2</v>
      </c>
      <c r="P6" s="3">
        <f t="shared" si="1"/>
        <v>17.2</v>
      </c>
      <c r="Q6" s="3">
        <f t="shared" si="1"/>
        <v>17.2</v>
      </c>
      <c r="R6" s="3">
        <f t="shared" si="1"/>
        <v>17.2</v>
      </c>
      <c r="S6" s="3">
        <f t="shared" si="1"/>
        <v>17.2</v>
      </c>
      <c r="T6" s="3">
        <f t="shared" si="1"/>
        <v>17.2</v>
      </c>
      <c r="U6" s="3">
        <f t="shared" si="1"/>
        <v>17.2</v>
      </c>
      <c r="V6" s="3">
        <f t="shared" si="1"/>
        <v>17.2</v>
      </c>
      <c r="W6" s="3">
        <f t="shared" si="1"/>
        <v>17.2</v>
      </c>
      <c r="X6" s="3">
        <f t="shared" si="1"/>
        <v>17.2</v>
      </c>
      <c r="Y6" s="3">
        <f t="shared" si="1"/>
        <v>17.2</v>
      </c>
      <c r="Z6" s="3">
        <f t="shared" si="1"/>
        <v>17.2</v>
      </c>
      <c r="AA6" s="3">
        <f t="shared" si="1"/>
        <v>17.2</v>
      </c>
      <c r="AB6" s="3">
        <f t="shared" si="1"/>
        <v>17.2</v>
      </c>
      <c r="AC6" s="3">
        <f t="shared" si="1"/>
        <v>17.2</v>
      </c>
      <c r="AD6" s="3">
        <f t="shared" si="1"/>
        <v>17.2</v>
      </c>
      <c r="AE6" s="3">
        <f t="shared" si="1"/>
        <v>17.2</v>
      </c>
      <c r="AF6" s="3">
        <f t="shared" si="1"/>
        <v>17.2</v>
      </c>
      <c r="AG6" s="3">
        <f t="shared" si="1"/>
        <v>17.2</v>
      </c>
      <c r="AH6" s="3">
        <f t="shared" si="1"/>
        <v>17.2</v>
      </c>
      <c r="AI6" s="3">
        <f t="shared" si="1"/>
        <v>17.2</v>
      </c>
      <c r="AJ6" s="3">
        <f t="shared" si="1"/>
        <v>17.2</v>
      </c>
    </row>
    <row r="7" spans="1:36" x14ac:dyDescent="0.45">
      <c r="A7" s="34"/>
      <c r="B7" s="3" t="s">
        <v>14</v>
      </c>
      <c r="C7" s="3" t="s">
        <v>15</v>
      </c>
      <c r="D7" s="3" t="s">
        <v>268</v>
      </c>
      <c r="E7" s="3">
        <v>0.9</v>
      </c>
      <c r="F7" s="3" t="s">
        <v>272</v>
      </c>
      <c r="G7" s="3">
        <f>$E$7</f>
        <v>0.9</v>
      </c>
      <c r="H7" s="3">
        <f t="shared" ref="H7:AJ7" si="2">$E$7</f>
        <v>0.9</v>
      </c>
      <c r="I7" s="3">
        <f t="shared" si="2"/>
        <v>0.9</v>
      </c>
      <c r="J7" s="3">
        <f t="shared" si="2"/>
        <v>0.9</v>
      </c>
      <c r="K7" s="3">
        <f t="shared" si="2"/>
        <v>0.9</v>
      </c>
      <c r="L7" s="3">
        <f t="shared" si="2"/>
        <v>0.9</v>
      </c>
      <c r="M7" s="3">
        <f t="shared" si="2"/>
        <v>0.9</v>
      </c>
      <c r="N7" s="3">
        <f t="shared" si="2"/>
        <v>0.9</v>
      </c>
      <c r="O7" s="3">
        <f t="shared" si="2"/>
        <v>0.9</v>
      </c>
      <c r="P7" s="3">
        <f t="shared" si="2"/>
        <v>0.9</v>
      </c>
      <c r="Q7" s="3">
        <f t="shared" si="2"/>
        <v>0.9</v>
      </c>
      <c r="R7" s="3">
        <f t="shared" si="2"/>
        <v>0.9</v>
      </c>
      <c r="S7" s="3">
        <f t="shared" si="2"/>
        <v>0.9</v>
      </c>
      <c r="T7" s="3">
        <f t="shared" si="2"/>
        <v>0.9</v>
      </c>
      <c r="U7" s="3">
        <f t="shared" si="2"/>
        <v>0.9</v>
      </c>
      <c r="V7" s="3">
        <f t="shared" si="2"/>
        <v>0.9</v>
      </c>
      <c r="W7" s="3">
        <f t="shared" si="2"/>
        <v>0.9</v>
      </c>
      <c r="X7" s="3">
        <f t="shared" si="2"/>
        <v>0.9</v>
      </c>
      <c r="Y7" s="3">
        <f t="shared" si="2"/>
        <v>0.9</v>
      </c>
      <c r="Z7" s="3">
        <f t="shared" si="2"/>
        <v>0.9</v>
      </c>
      <c r="AA7" s="3">
        <f t="shared" si="2"/>
        <v>0.9</v>
      </c>
      <c r="AB7" s="3">
        <f t="shared" si="2"/>
        <v>0.9</v>
      </c>
      <c r="AC7" s="3">
        <f t="shared" si="2"/>
        <v>0.9</v>
      </c>
      <c r="AD7" s="3">
        <f t="shared" si="2"/>
        <v>0.9</v>
      </c>
      <c r="AE7" s="3">
        <f t="shared" si="2"/>
        <v>0.9</v>
      </c>
      <c r="AF7" s="3">
        <f t="shared" si="2"/>
        <v>0.9</v>
      </c>
      <c r="AG7" s="3">
        <f t="shared" si="2"/>
        <v>0.9</v>
      </c>
      <c r="AH7" s="3">
        <f t="shared" si="2"/>
        <v>0.9</v>
      </c>
      <c r="AI7" s="3">
        <f t="shared" si="2"/>
        <v>0.9</v>
      </c>
      <c r="AJ7" s="3">
        <f t="shared" si="2"/>
        <v>0.9</v>
      </c>
    </row>
    <row r="8" spans="1:36" x14ac:dyDescent="0.45">
      <c r="A8" s="34"/>
      <c r="B8" s="3" t="s">
        <v>16</v>
      </c>
      <c r="C8" s="3" t="s">
        <v>17</v>
      </c>
      <c r="D8" s="3" t="s">
        <v>268</v>
      </c>
      <c r="E8" s="3">
        <v>10.4</v>
      </c>
      <c r="F8" s="3" t="s">
        <v>377</v>
      </c>
      <c r="G8" s="3">
        <f>$E$8</f>
        <v>10.4</v>
      </c>
      <c r="H8" s="3">
        <f t="shared" ref="H8:AJ8" si="3">$E$8</f>
        <v>10.4</v>
      </c>
      <c r="I8" s="3">
        <f t="shared" si="3"/>
        <v>10.4</v>
      </c>
      <c r="J8" s="3">
        <f t="shared" si="3"/>
        <v>10.4</v>
      </c>
      <c r="K8" s="3">
        <f t="shared" si="3"/>
        <v>10.4</v>
      </c>
      <c r="L8" s="3">
        <f t="shared" si="3"/>
        <v>10.4</v>
      </c>
      <c r="M8" s="3">
        <f t="shared" si="3"/>
        <v>10.4</v>
      </c>
      <c r="N8" s="3">
        <f t="shared" si="3"/>
        <v>10.4</v>
      </c>
      <c r="O8" s="3">
        <f t="shared" si="3"/>
        <v>10.4</v>
      </c>
      <c r="P8" s="3">
        <f t="shared" si="3"/>
        <v>10.4</v>
      </c>
      <c r="Q8" s="3">
        <f t="shared" si="3"/>
        <v>10.4</v>
      </c>
      <c r="R8" s="3">
        <f t="shared" si="3"/>
        <v>10.4</v>
      </c>
      <c r="S8" s="3">
        <f t="shared" si="3"/>
        <v>10.4</v>
      </c>
      <c r="T8" s="3">
        <f t="shared" si="3"/>
        <v>10.4</v>
      </c>
      <c r="U8" s="3">
        <f t="shared" si="3"/>
        <v>10.4</v>
      </c>
      <c r="V8" s="3">
        <f t="shared" si="3"/>
        <v>10.4</v>
      </c>
      <c r="W8" s="3">
        <f t="shared" si="3"/>
        <v>10.4</v>
      </c>
      <c r="X8" s="3">
        <f t="shared" si="3"/>
        <v>10.4</v>
      </c>
      <c r="Y8" s="3">
        <f t="shared" si="3"/>
        <v>10.4</v>
      </c>
      <c r="Z8" s="3">
        <f t="shared" si="3"/>
        <v>10.4</v>
      </c>
      <c r="AA8" s="3">
        <f t="shared" si="3"/>
        <v>10.4</v>
      </c>
      <c r="AB8" s="3">
        <f t="shared" si="3"/>
        <v>10.4</v>
      </c>
      <c r="AC8" s="3">
        <f t="shared" si="3"/>
        <v>10.4</v>
      </c>
      <c r="AD8" s="3">
        <f t="shared" si="3"/>
        <v>10.4</v>
      </c>
      <c r="AE8" s="3">
        <f t="shared" si="3"/>
        <v>10.4</v>
      </c>
      <c r="AF8" s="3">
        <f t="shared" si="3"/>
        <v>10.4</v>
      </c>
      <c r="AG8" s="3">
        <f t="shared" si="3"/>
        <v>10.4</v>
      </c>
      <c r="AH8" s="3">
        <f t="shared" si="3"/>
        <v>10.4</v>
      </c>
      <c r="AI8" s="3">
        <f t="shared" si="3"/>
        <v>10.4</v>
      </c>
      <c r="AJ8" s="3">
        <f t="shared" si="3"/>
        <v>10.4</v>
      </c>
    </row>
    <row r="9" spans="1:36" x14ac:dyDescent="0.45">
      <c r="A9" s="34"/>
      <c r="B9" s="3" t="s">
        <v>18</v>
      </c>
      <c r="C9" s="3" t="s">
        <v>19</v>
      </c>
      <c r="D9" s="3" t="s">
        <v>268</v>
      </c>
      <c r="E9" s="3">
        <v>0</v>
      </c>
      <c r="F9" s="3" t="s">
        <v>366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 x14ac:dyDescent="0.45">
      <c r="A10" s="34"/>
      <c r="B10" s="3" t="s">
        <v>20</v>
      </c>
      <c r="C10" s="3" t="s">
        <v>21</v>
      </c>
      <c r="D10" s="3" t="s">
        <v>268</v>
      </c>
      <c r="E10" s="3">
        <v>7.3</v>
      </c>
      <c r="F10" s="10" t="s">
        <v>388</v>
      </c>
      <c r="G10" s="3">
        <v>7.3</v>
      </c>
      <c r="H10" s="3">
        <v>7.3</v>
      </c>
      <c r="I10" s="3">
        <v>7.3</v>
      </c>
      <c r="J10" s="3">
        <v>7.3</v>
      </c>
      <c r="K10" s="3">
        <v>7.3</v>
      </c>
      <c r="L10" s="3">
        <v>7.3</v>
      </c>
      <c r="M10" s="3">
        <v>7.3</v>
      </c>
      <c r="N10" s="3">
        <v>7.3</v>
      </c>
      <c r="O10" s="3">
        <v>7.3</v>
      </c>
      <c r="P10" s="3">
        <v>7.3</v>
      </c>
      <c r="Q10" s="3">
        <v>7.3</v>
      </c>
      <c r="R10" s="3">
        <v>7.3</v>
      </c>
      <c r="S10" s="3">
        <v>7.3</v>
      </c>
      <c r="T10" s="3">
        <v>7.3</v>
      </c>
      <c r="U10" s="3">
        <v>7.3</v>
      </c>
      <c r="V10" s="3">
        <v>7.3</v>
      </c>
      <c r="W10" s="3">
        <v>7.3</v>
      </c>
      <c r="X10" s="3">
        <v>7.3</v>
      </c>
      <c r="Y10" s="3">
        <v>7.3</v>
      </c>
      <c r="Z10" s="3">
        <v>7.3</v>
      </c>
      <c r="AA10" s="3">
        <v>7.3</v>
      </c>
      <c r="AB10" s="3">
        <v>7.3</v>
      </c>
      <c r="AC10" s="3">
        <v>7.3</v>
      </c>
      <c r="AD10" s="3">
        <v>7.3</v>
      </c>
      <c r="AE10" s="3">
        <v>7.3</v>
      </c>
      <c r="AF10" s="3">
        <v>7.3</v>
      </c>
      <c r="AG10" s="3">
        <v>7.3</v>
      </c>
      <c r="AH10" s="3">
        <v>7.3</v>
      </c>
      <c r="AI10" s="3">
        <v>7.3</v>
      </c>
      <c r="AJ10" s="3">
        <v>7.3</v>
      </c>
    </row>
    <row r="11" spans="1:36" x14ac:dyDescent="0.45">
      <c r="A11" s="34"/>
      <c r="B11" s="3" t="s">
        <v>256</v>
      </c>
      <c r="C11" s="3" t="s">
        <v>258</v>
      </c>
      <c r="D11" s="3" t="s">
        <v>401</v>
      </c>
      <c r="E11" s="3">
        <v>0</v>
      </c>
      <c r="F11" s="3" t="s">
        <v>366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x14ac:dyDescent="0.45">
      <c r="A12" s="34"/>
      <c r="B12" s="3" t="s">
        <v>257</v>
      </c>
      <c r="C12" s="3" t="s">
        <v>259</v>
      </c>
      <c r="D12" s="3" t="s">
        <v>401</v>
      </c>
      <c r="E12" s="3">
        <v>0</v>
      </c>
      <c r="F12" s="3" t="s">
        <v>366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x14ac:dyDescent="0.45">
      <c r="A13" s="34"/>
      <c r="B13" s="3" t="s">
        <v>22</v>
      </c>
      <c r="C13" s="3" t="s">
        <v>23</v>
      </c>
      <c r="D13" s="3" t="s">
        <v>401</v>
      </c>
      <c r="E13" s="3">
        <v>0</v>
      </c>
      <c r="F13" s="3" t="s">
        <v>366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</row>
    <row r="14" spans="1:36" x14ac:dyDescent="0.45">
      <c r="A14" s="34"/>
      <c r="B14" s="3" t="s">
        <v>24</v>
      </c>
      <c r="C14" s="3" t="s">
        <v>25</v>
      </c>
      <c r="D14" s="3" t="s">
        <v>268</v>
      </c>
      <c r="E14" s="3">
        <v>0</v>
      </c>
      <c r="F14" s="3" t="s">
        <v>456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x14ac:dyDescent="0.45">
      <c r="A15" s="34"/>
      <c r="B15" s="3" t="s">
        <v>249</v>
      </c>
      <c r="C15" s="3" t="s">
        <v>26</v>
      </c>
      <c r="D15" s="3" t="s">
        <v>401</v>
      </c>
      <c r="E15" s="3">
        <v>0</v>
      </c>
      <c r="F15" s="3" t="s">
        <v>366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x14ac:dyDescent="0.45">
      <c r="A16" s="34"/>
      <c r="B16" s="3" t="s">
        <v>250</v>
      </c>
      <c r="C16" s="3" t="s">
        <v>251</v>
      </c>
      <c r="D16" s="3" t="s">
        <v>401</v>
      </c>
      <c r="E16" s="3">
        <v>0</v>
      </c>
      <c r="F16" s="3" t="s">
        <v>366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 x14ac:dyDescent="0.45">
      <c r="A17" s="34"/>
      <c r="B17" s="3" t="s">
        <v>252</v>
      </c>
      <c r="C17" s="3" t="s">
        <v>255</v>
      </c>
      <c r="D17" s="3" t="s">
        <v>401</v>
      </c>
      <c r="E17" s="3">
        <v>0</v>
      </c>
      <c r="F17" s="3" t="s">
        <v>366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 x14ac:dyDescent="0.45">
      <c r="A18" s="34"/>
      <c r="B18" s="3" t="s">
        <v>253</v>
      </c>
      <c r="C18" s="3" t="s">
        <v>254</v>
      </c>
      <c r="D18" s="3" t="s">
        <v>401</v>
      </c>
      <c r="E18" s="3">
        <v>0</v>
      </c>
      <c r="F18" s="3" t="s">
        <v>366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 x14ac:dyDescent="0.45">
      <c r="A19" s="34" t="s">
        <v>208</v>
      </c>
      <c r="B19" s="3" t="s">
        <v>4</v>
      </c>
      <c r="C19" s="3" t="s">
        <v>5</v>
      </c>
      <c r="D19" s="3" t="s">
        <v>401</v>
      </c>
      <c r="E19" s="3">
        <v>0</v>
      </c>
      <c r="F19" s="3" t="s">
        <v>366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x14ac:dyDescent="0.45">
      <c r="A20" s="34"/>
      <c r="B20" s="3" t="s">
        <v>8</v>
      </c>
      <c r="C20" s="3" t="s">
        <v>9</v>
      </c>
      <c r="D20" s="3" t="s">
        <v>401</v>
      </c>
      <c r="E20" s="3">
        <v>0</v>
      </c>
      <c r="F20" s="3" t="s">
        <v>366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6" x14ac:dyDescent="0.45">
      <c r="A21" s="34"/>
      <c r="B21" s="3" t="s">
        <v>27</v>
      </c>
      <c r="C21" s="3" t="s">
        <v>28</v>
      </c>
      <c r="D21" s="3" t="s">
        <v>401</v>
      </c>
      <c r="E21" s="3">
        <v>0</v>
      </c>
      <c r="F21" s="3" t="s">
        <v>366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x14ac:dyDescent="0.45">
      <c r="A22" s="34"/>
      <c r="B22" s="3" t="s">
        <v>29</v>
      </c>
      <c r="C22" s="3" t="s">
        <v>30</v>
      </c>
      <c r="D22" s="3" t="s">
        <v>401</v>
      </c>
      <c r="E22" s="3">
        <v>0</v>
      </c>
      <c r="F22" s="3" t="s">
        <v>366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x14ac:dyDescent="0.45">
      <c r="A23" s="34"/>
      <c r="B23" s="3" t="s">
        <v>31</v>
      </c>
      <c r="C23" s="3" t="s">
        <v>32</v>
      </c>
      <c r="D23" s="3" t="s">
        <v>401</v>
      </c>
      <c r="E23" s="3">
        <v>0</v>
      </c>
      <c r="F23" s="3" t="s">
        <v>366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x14ac:dyDescent="0.45">
      <c r="A24" s="34"/>
      <c r="B24" s="3" t="s">
        <v>33</v>
      </c>
      <c r="C24" s="3" t="s">
        <v>34</v>
      </c>
      <c r="D24" s="3" t="s">
        <v>401</v>
      </c>
      <c r="E24" s="3">
        <v>0</v>
      </c>
      <c r="F24" s="3" t="s">
        <v>366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x14ac:dyDescent="0.45">
      <c r="A25" s="34"/>
      <c r="B25" s="3" t="s">
        <v>35</v>
      </c>
      <c r="C25" s="3" t="s">
        <v>36</v>
      </c>
      <c r="D25" s="3" t="s">
        <v>401</v>
      </c>
      <c r="E25" s="3">
        <v>0</v>
      </c>
      <c r="F25" s="3" t="s">
        <v>366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 x14ac:dyDescent="0.45">
      <c r="A26" s="34" t="s">
        <v>209</v>
      </c>
      <c r="B26" s="3" t="s">
        <v>37</v>
      </c>
      <c r="C26" s="3" t="s">
        <v>38</v>
      </c>
      <c r="D26" s="3" t="s">
        <v>243</v>
      </c>
      <c r="E26" s="3">
        <v>1.03</v>
      </c>
      <c r="F26" s="3" t="s">
        <v>244</v>
      </c>
      <c r="G26" s="9">
        <v>1.03</v>
      </c>
      <c r="H26" s="9">
        <v>1.03</v>
      </c>
      <c r="I26" s="9">
        <v>1.03</v>
      </c>
      <c r="J26" s="9">
        <v>1.03</v>
      </c>
      <c r="K26" s="9">
        <v>1.03</v>
      </c>
      <c r="L26" s="9">
        <v>1.03</v>
      </c>
      <c r="M26" s="9">
        <v>1.03</v>
      </c>
      <c r="N26" s="9">
        <v>1.03</v>
      </c>
      <c r="O26" s="9">
        <v>1.03</v>
      </c>
      <c r="P26" s="9">
        <f>$E$26-0.025*$E$26*(P1-2030)</f>
        <v>1.03</v>
      </c>
      <c r="Q26" s="9">
        <f t="shared" ref="Q26:AJ26" si="4">$E$26-0.025*$E$26*(Q1-2030)</f>
        <v>1.0042500000000001</v>
      </c>
      <c r="R26" s="9">
        <f t="shared" si="4"/>
        <v>0.97850000000000004</v>
      </c>
      <c r="S26" s="9">
        <f t="shared" si="4"/>
        <v>0.95274999999999999</v>
      </c>
      <c r="T26" s="9">
        <f t="shared" si="4"/>
        <v>0.92700000000000005</v>
      </c>
      <c r="U26" s="9">
        <f t="shared" si="4"/>
        <v>0.90125</v>
      </c>
      <c r="V26" s="9">
        <f t="shared" si="4"/>
        <v>0.87549999999999994</v>
      </c>
      <c r="W26" s="9">
        <f t="shared" si="4"/>
        <v>0.84975000000000001</v>
      </c>
      <c r="X26" s="9">
        <f t="shared" si="4"/>
        <v>0.82400000000000007</v>
      </c>
      <c r="Y26" s="9">
        <f t="shared" si="4"/>
        <v>0.79825000000000002</v>
      </c>
      <c r="Z26" s="9">
        <f t="shared" si="4"/>
        <v>0.77249999999999996</v>
      </c>
      <c r="AA26" s="9">
        <f t="shared" si="4"/>
        <v>0.74675000000000002</v>
      </c>
      <c r="AB26" s="9">
        <f t="shared" si="4"/>
        <v>0.72099999999999997</v>
      </c>
      <c r="AC26" s="9">
        <f t="shared" si="4"/>
        <v>0.69524999999999992</v>
      </c>
      <c r="AD26" s="9">
        <f t="shared" si="4"/>
        <v>0.66949999999999998</v>
      </c>
      <c r="AE26" s="9">
        <f t="shared" si="4"/>
        <v>0.64375000000000004</v>
      </c>
      <c r="AF26" s="9">
        <f t="shared" si="4"/>
        <v>0.61799999999999999</v>
      </c>
      <c r="AG26" s="9">
        <f t="shared" si="4"/>
        <v>0.59224999999999994</v>
      </c>
      <c r="AH26" s="9">
        <f t="shared" si="4"/>
        <v>0.5665</v>
      </c>
      <c r="AI26" s="9">
        <f t="shared" si="4"/>
        <v>0.54075000000000006</v>
      </c>
      <c r="AJ26" s="9">
        <f t="shared" si="4"/>
        <v>0.51500000000000001</v>
      </c>
    </row>
    <row r="27" spans="1:36" x14ac:dyDescent="0.45">
      <c r="A27" s="34"/>
      <c r="B27" s="3" t="s">
        <v>39</v>
      </c>
      <c r="C27" s="3" t="s">
        <v>40</v>
      </c>
      <c r="D27" s="3" t="s">
        <v>243</v>
      </c>
      <c r="E27" s="3">
        <v>0</v>
      </c>
      <c r="F27" s="3" t="s">
        <v>244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</row>
    <row r="28" spans="1:36" x14ac:dyDescent="0.45">
      <c r="A28" s="34"/>
      <c r="B28" s="3" t="s">
        <v>41</v>
      </c>
      <c r="C28" s="3" t="s">
        <v>42</v>
      </c>
      <c r="D28" s="3" t="s">
        <v>243</v>
      </c>
      <c r="E28" s="3">
        <v>4.17</v>
      </c>
      <c r="F28" s="3" t="s">
        <v>244</v>
      </c>
      <c r="G28" s="9">
        <v>4.22</v>
      </c>
      <c r="H28" s="9">
        <v>4.34</v>
      </c>
      <c r="I28" s="9">
        <v>4.6900000000000004</v>
      </c>
      <c r="J28" s="9">
        <v>4.6900000000000004</v>
      </c>
      <c r="K28" s="9">
        <v>4.6900000000000004</v>
      </c>
      <c r="L28" s="9">
        <v>4.6900000000000004</v>
      </c>
      <c r="M28" s="9">
        <v>4.6900000000000004</v>
      </c>
      <c r="N28" s="9">
        <v>4.6900000000000004</v>
      </c>
      <c r="O28" s="9">
        <v>4.6900000000000004</v>
      </c>
      <c r="P28" s="9">
        <f>$I$28-0.025*$I$28*(P1-2030)</f>
        <v>4.6900000000000004</v>
      </c>
      <c r="Q28" s="9">
        <f t="shared" ref="Q28:AJ28" si="5">$I$28-0.025*$I$28*(Q1-2030)</f>
        <v>4.5727500000000001</v>
      </c>
      <c r="R28" s="9">
        <f t="shared" si="5"/>
        <v>4.4555000000000007</v>
      </c>
      <c r="S28" s="9">
        <f t="shared" si="5"/>
        <v>4.3382500000000004</v>
      </c>
      <c r="T28" s="9">
        <f t="shared" si="5"/>
        <v>4.2210000000000001</v>
      </c>
      <c r="U28" s="9">
        <f t="shared" si="5"/>
        <v>4.1037499999999998</v>
      </c>
      <c r="V28" s="9">
        <f t="shared" si="5"/>
        <v>3.9865000000000004</v>
      </c>
      <c r="W28" s="9">
        <f t="shared" si="5"/>
        <v>3.8692500000000001</v>
      </c>
      <c r="X28" s="9">
        <f t="shared" si="5"/>
        <v>3.7520000000000002</v>
      </c>
      <c r="Y28" s="9">
        <f t="shared" si="5"/>
        <v>3.6347500000000004</v>
      </c>
      <c r="Z28" s="9">
        <f t="shared" si="5"/>
        <v>3.5175000000000001</v>
      </c>
      <c r="AA28" s="9">
        <f t="shared" si="5"/>
        <v>3.4002500000000002</v>
      </c>
      <c r="AB28" s="9">
        <f t="shared" si="5"/>
        <v>3.2830000000000004</v>
      </c>
      <c r="AC28" s="9">
        <f t="shared" si="5"/>
        <v>3.1657500000000001</v>
      </c>
      <c r="AD28" s="9">
        <f t="shared" si="5"/>
        <v>3.0485000000000002</v>
      </c>
      <c r="AE28" s="9">
        <f t="shared" si="5"/>
        <v>2.9312500000000004</v>
      </c>
      <c r="AF28" s="9">
        <f t="shared" si="5"/>
        <v>2.8140000000000001</v>
      </c>
      <c r="AG28" s="9">
        <f t="shared" si="5"/>
        <v>2.6967499999999998</v>
      </c>
      <c r="AH28" s="9">
        <f t="shared" si="5"/>
        <v>2.5794999999999999</v>
      </c>
      <c r="AI28" s="9">
        <f t="shared" si="5"/>
        <v>2.46225</v>
      </c>
      <c r="AJ28" s="9">
        <f t="shared" si="5"/>
        <v>2.3449999999999998</v>
      </c>
    </row>
    <row r="29" spans="1:36" x14ac:dyDescent="0.45">
      <c r="A29" s="34"/>
      <c r="B29" s="3" t="s">
        <v>43</v>
      </c>
      <c r="C29" s="3" t="s">
        <v>44</v>
      </c>
      <c r="D29" s="3" t="s">
        <v>243</v>
      </c>
      <c r="E29" s="3">
        <v>0</v>
      </c>
      <c r="F29" s="3" t="s">
        <v>244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</row>
    <row r="30" spans="1:36" x14ac:dyDescent="0.45">
      <c r="A30" s="34"/>
      <c r="B30" s="3" t="s">
        <v>45</v>
      </c>
      <c r="C30" s="3" t="s">
        <v>46</v>
      </c>
      <c r="D30" s="3" t="s">
        <v>243</v>
      </c>
      <c r="E30" s="3">
        <v>0</v>
      </c>
      <c r="F30" s="3" t="s">
        <v>244</v>
      </c>
      <c r="G30" s="9">
        <v>4.4999999999999997E-3</v>
      </c>
      <c r="H30" s="9">
        <v>4.4999999999999997E-3</v>
      </c>
      <c r="I30" s="9">
        <v>4.4999999999999997E-3</v>
      </c>
      <c r="J30" s="9">
        <v>4.4999999999999997E-3</v>
      </c>
      <c r="K30" s="9">
        <v>4.4999999999999997E-3</v>
      </c>
      <c r="L30" s="9">
        <v>4.4999999999999997E-3</v>
      </c>
      <c r="M30" s="9">
        <v>4.4999999999999997E-3</v>
      </c>
      <c r="N30" s="9">
        <v>4.4999999999999997E-3</v>
      </c>
      <c r="O30" s="9">
        <v>4.4999999999999997E-3</v>
      </c>
      <c r="P30" s="9">
        <v>4.4999999999999997E-3</v>
      </c>
      <c r="Q30" s="9">
        <v>4.4999999999999997E-3</v>
      </c>
      <c r="R30" s="9">
        <v>4.4999999999999997E-3</v>
      </c>
      <c r="S30" s="9">
        <v>4.4999999999999997E-3</v>
      </c>
      <c r="T30" s="9">
        <v>4.4999999999999997E-3</v>
      </c>
      <c r="U30" s="9">
        <v>4.4999999999999997E-3</v>
      </c>
      <c r="V30" s="9">
        <v>4.4999999999999997E-3</v>
      </c>
      <c r="W30" s="9">
        <v>4.4999999999999997E-3</v>
      </c>
      <c r="X30" s="9">
        <v>4.4999999999999997E-3</v>
      </c>
      <c r="Y30" s="9">
        <v>4.4999999999999997E-3</v>
      </c>
      <c r="Z30" s="9">
        <v>4.4999999999999997E-3</v>
      </c>
      <c r="AA30" s="9">
        <v>4.4999999999999997E-3</v>
      </c>
      <c r="AB30" s="9">
        <v>4.4999999999999997E-3</v>
      </c>
      <c r="AC30" s="9">
        <v>4.4999999999999997E-3</v>
      </c>
      <c r="AD30" s="9">
        <v>4.4999999999999997E-3</v>
      </c>
      <c r="AE30" s="9">
        <v>4.4999999999999997E-3</v>
      </c>
      <c r="AF30" s="9">
        <v>4.4999999999999997E-3</v>
      </c>
      <c r="AG30" s="9">
        <v>4.4999999999999997E-3</v>
      </c>
      <c r="AH30" s="9">
        <v>4.4999999999999997E-3</v>
      </c>
      <c r="AI30" s="9">
        <v>4.4999999999999997E-3</v>
      </c>
      <c r="AJ30" s="9">
        <v>4.4999999999999997E-3</v>
      </c>
    </row>
    <row r="31" spans="1:36" x14ac:dyDescent="0.45">
      <c r="A31" s="34"/>
      <c r="B31" s="3" t="s">
        <v>47</v>
      </c>
      <c r="C31" s="3" t="s">
        <v>48</v>
      </c>
      <c r="D31" s="3" t="s">
        <v>243</v>
      </c>
      <c r="E31" s="3">
        <v>0</v>
      </c>
      <c r="F31" s="3" t="s">
        <v>244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</row>
    <row r="32" spans="1:36" x14ac:dyDescent="0.45">
      <c r="A32" s="34"/>
      <c r="B32" s="3" t="s">
        <v>49</v>
      </c>
      <c r="C32" s="3" t="s">
        <v>50</v>
      </c>
      <c r="D32" s="3" t="s">
        <v>243</v>
      </c>
      <c r="E32" s="3">
        <v>0</v>
      </c>
      <c r="F32" s="3" t="s">
        <v>244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</row>
    <row r="33" spans="1:36" x14ac:dyDescent="0.45">
      <c r="A33" s="34"/>
      <c r="B33" s="3" t="s">
        <v>51</v>
      </c>
      <c r="C33" s="3" t="s">
        <v>52</v>
      </c>
      <c r="D33" s="3" t="s">
        <v>243</v>
      </c>
      <c r="E33" s="3">
        <v>0</v>
      </c>
      <c r="F33" s="3" t="s">
        <v>244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</row>
    <row r="34" spans="1:36" x14ac:dyDescent="0.45">
      <c r="A34" s="34"/>
      <c r="B34" s="3" t="s">
        <v>53</v>
      </c>
      <c r="C34" s="3" t="s">
        <v>54</v>
      </c>
      <c r="D34" s="3" t="s">
        <v>243</v>
      </c>
      <c r="E34" s="3">
        <v>1.6999999999999999E-3</v>
      </c>
      <c r="F34" s="3" t="s">
        <v>244</v>
      </c>
      <c r="G34" s="9">
        <v>1.6999999999999999E-3</v>
      </c>
      <c r="H34" s="9">
        <v>1.6999999999999999E-3</v>
      </c>
      <c r="I34" s="9">
        <v>1.6999999999999999E-3</v>
      </c>
      <c r="J34" s="9">
        <v>1.6999999999999999E-3</v>
      </c>
      <c r="K34" s="9">
        <v>1.6999999999999999E-3</v>
      </c>
      <c r="L34" s="9">
        <v>1.6999999999999999E-3</v>
      </c>
      <c r="M34" s="9">
        <v>1.6999999999999999E-3</v>
      </c>
      <c r="N34" s="9">
        <v>1.6999999999999999E-3</v>
      </c>
      <c r="O34" s="9">
        <v>1.6999999999999999E-3</v>
      </c>
      <c r="P34" s="9">
        <v>1.6999999999999999E-3</v>
      </c>
      <c r="Q34" s="9">
        <v>1.6999999999999999E-3</v>
      </c>
      <c r="R34" s="9">
        <v>1.6999999999999999E-3</v>
      </c>
      <c r="S34" s="9">
        <v>1.6999999999999999E-3</v>
      </c>
      <c r="T34" s="9">
        <v>1.6999999999999999E-3</v>
      </c>
      <c r="U34" s="9">
        <v>1.6999999999999999E-3</v>
      </c>
      <c r="V34" s="9">
        <v>1.6999999999999999E-3</v>
      </c>
      <c r="W34" s="9">
        <v>1.6999999999999999E-3</v>
      </c>
      <c r="X34" s="9">
        <v>1.6999999999999999E-3</v>
      </c>
      <c r="Y34" s="9">
        <v>1.6999999999999999E-3</v>
      </c>
      <c r="Z34" s="9">
        <v>1.6999999999999999E-3</v>
      </c>
      <c r="AA34" s="9">
        <v>1.6999999999999999E-3</v>
      </c>
      <c r="AB34" s="9">
        <v>1.6999999999999999E-3</v>
      </c>
      <c r="AC34" s="9">
        <v>1.6999999999999999E-3</v>
      </c>
      <c r="AD34" s="9">
        <v>1.6999999999999999E-3</v>
      </c>
      <c r="AE34" s="9">
        <v>1.6999999999999999E-3</v>
      </c>
      <c r="AF34" s="9">
        <v>1.6999999999999999E-3</v>
      </c>
      <c r="AG34" s="9">
        <v>1.6999999999999999E-3</v>
      </c>
      <c r="AH34" s="9">
        <v>1.6999999999999999E-3</v>
      </c>
      <c r="AI34" s="9">
        <v>1.6999999999999999E-3</v>
      </c>
      <c r="AJ34" s="9">
        <v>1.6999999999999999E-3</v>
      </c>
    </row>
    <row r="35" spans="1:36" x14ac:dyDescent="0.45">
      <c r="A35" s="34"/>
      <c r="B35" s="3" t="s">
        <v>63</v>
      </c>
      <c r="C35" s="3" t="s">
        <v>64</v>
      </c>
      <c r="D35" s="3" t="s">
        <v>243</v>
      </c>
      <c r="E35" s="3">
        <v>10.37</v>
      </c>
      <c r="F35" s="3" t="s">
        <v>244</v>
      </c>
      <c r="G35" s="9">
        <v>10.37</v>
      </c>
      <c r="H35" s="9">
        <v>11.09</v>
      </c>
      <c r="I35" s="9">
        <v>11.69</v>
      </c>
      <c r="J35" s="9">
        <v>12.29</v>
      </c>
      <c r="K35" s="9">
        <v>12.89</v>
      </c>
      <c r="L35" s="9">
        <v>12.89</v>
      </c>
      <c r="M35" s="9">
        <v>12.89</v>
      </c>
      <c r="N35" s="9">
        <v>12.89</v>
      </c>
      <c r="O35" s="9">
        <v>12.89</v>
      </c>
      <c r="P35" s="9">
        <v>12.89</v>
      </c>
      <c r="Q35" s="9">
        <v>12.89</v>
      </c>
      <c r="R35" s="9">
        <v>12.89</v>
      </c>
      <c r="S35" s="9">
        <v>12.89</v>
      </c>
      <c r="T35" s="9">
        <v>12.89</v>
      </c>
      <c r="U35" s="9">
        <v>12.89</v>
      </c>
      <c r="V35" s="9">
        <v>12.89</v>
      </c>
      <c r="W35" s="9">
        <v>12.89</v>
      </c>
      <c r="X35" s="9">
        <v>12.89</v>
      </c>
      <c r="Y35" s="9">
        <v>12.89</v>
      </c>
      <c r="Z35" s="9">
        <v>12.89</v>
      </c>
      <c r="AA35" s="9">
        <v>12.89</v>
      </c>
      <c r="AB35" s="9">
        <v>12.89</v>
      </c>
      <c r="AC35" s="9">
        <v>12.89</v>
      </c>
      <c r="AD35" s="9">
        <v>12.89</v>
      </c>
      <c r="AE35" s="9">
        <v>12.89</v>
      </c>
      <c r="AF35" s="9">
        <v>12.89</v>
      </c>
      <c r="AG35" s="9">
        <v>12.89</v>
      </c>
      <c r="AH35" s="9">
        <v>12.89</v>
      </c>
      <c r="AI35" s="9">
        <v>12.89</v>
      </c>
      <c r="AJ35" s="9">
        <v>12.89</v>
      </c>
    </row>
    <row r="36" spans="1:36" x14ac:dyDescent="0.45">
      <c r="A36" s="34"/>
      <c r="B36" s="3" t="s">
        <v>65</v>
      </c>
      <c r="C36" s="3" t="s">
        <v>66</v>
      </c>
      <c r="D36" s="3" t="s">
        <v>243</v>
      </c>
      <c r="E36" s="3">
        <v>1.58</v>
      </c>
      <c r="F36" s="3" t="s">
        <v>244</v>
      </c>
      <c r="G36" s="9">
        <v>1.58</v>
      </c>
      <c r="H36" s="9">
        <v>1.58</v>
      </c>
      <c r="I36" s="9">
        <v>1.58</v>
      </c>
      <c r="J36" s="9">
        <v>1.58</v>
      </c>
      <c r="K36" s="9">
        <v>1.58</v>
      </c>
      <c r="L36" s="9">
        <v>1.58</v>
      </c>
      <c r="M36" s="9">
        <v>1.58</v>
      </c>
      <c r="N36" s="9">
        <v>1.58</v>
      </c>
      <c r="O36" s="9">
        <v>1.58</v>
      </c>
      <c r="P36" s="9">
        <v>1.58</v>
      </c>
      <c r="Q36" s="9">
        <v>1.58</v>
      </c>
      <c r="R36" s="9">
        <v>1.58</v>
      </c>
      <c r="S36" s="9">
        <v>1.58</v>
      </c>
      <c r="T36" s="9">
        <v>1.58</v>
      </c>
      <c r="U36" s="9">
        <v>1.58</v>
      </c>
      <c r="V36" s="9">
        <v>1.58</v>
      </c>
      <c r="W36" s="9">
        <v>1.58</v>
      </c>
      <c r="X36" s="9">
        <v>1.58</v>
      </c>
      <c r="Y36" s="9">
        <v>1.58</v>
      </c>
      <c r="Z36" s="9">
        <v>1.58</v>
      </c>
      <c r="AA36" s="9">
        <v>1.58</v>
      </c>
      <c r="AB36" s="9">
        <v>1.58</v>
      </c>
      <c r="AC36" s="9">
        <v>1.58</v>
      </c>
      <c r="AD36" s="9">
        <v>1.58</v>
      </c>
      <c r="AE36" s="9">
        <v>1.58</v>
      </c>
      <c r="AF36" s="9">
        <v>1.58</v>
      </c>
      <c r="AG36" s="9">
        <v>1.58</v>
      </c>
      <c r="AH36" s="9">
        <v>1.58</v>
      </c>
      <c r="AI36" s="9">
        <v>1.58</v>
      </c>
      <c r="AJ36" s="9">
        <v>1.58</v>
      </c>
    </row>
    <row r="37" spans="1:36" x14ac:dyDescent="0.45">
      <c r="A37" s="34"/>
      <c r="B37" s="3" t="s">
        <v>241</v>
      </c>
      <c r="C37" s="3" t="s">
        <v>242</v>
      </c>
      <c r="D37" s="3" t="s">
        <v>243</v>
      </c>
      <c r="E37" s="3">
        <v>0</v>
      </c>
      <c r="F37" s="3" t="s">
        <v>244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</row>
    <row r="38" spans="1:36" x14ac:dyDescent="0.45">
      <c r="A38" s="34"/>
      <c r="B38" s="3" t="s">
        <v>67</v>
      </c>
      <c r="C38" s="3" t="s">
        <v>68</v>
      </c>
      <c r="D38" s="3" t="s">
        <v>243</v>
      </c>
      <c r="E38" s="3">
        <v>0</v>
      </c>
      <c r="F38" s="3" t="s">
        <v>244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</row>
    <row r="39" spans="1:36" x14ac:dyDescent="0.45">
      <c r="A39" s="34"/>
      <c r="B39" s="3" t="s">
        <v>69</v>
      </c>
      <c r="C39" s="3" t="s">
        <v>70</v>
      </c>
      <c r="D39" s="3" t="s">
        <v>243</v>
      </c>
      <c r="E39" s="3">
        <v>5.1200000000000002E-2</v>
      </c>
      <c r="F39" s="3" t="s">
        <v>244</v>
      </c>
      <c r="G39" s="9">
        <v>0.1249</v>
      </c>
      <c r="H39" s="9">
        <v>0.67249999999999999</v>
      </c>
      <c r="I39" s="9">
        <v>1.8298000000000001</v>
      </c>
      <c r="J39" s="9">
        <v>2.2086999999999999</v>
      </c>
      <c r="K39" s="9">
        <v>2.2086999999999999</v>
      </c>
      <c r="L39" s="9">
        <v>2.2086999999999999</v>
      </c>
      <c r="M39" s="9">
        <v>2.2086999999999999</v>
      </c>
      <c r="N39" s="9">
        <v>2.2086999999999999</v>
      </c>
      <c r="O39" s="9">
        <v>2.2086999999999999</v>
      </c>
      <c r="P39" s="9">
        <v>2.2086999999999999</v>
      </c>
      <c r="Q39" s="9">
        <v>2.2086999999999999</v>
      </c>
      <c r="R39" s="9">
        <v>2.2086999999999999</v>
      </c>
      <c r="S39" s="9">
        <v>2.2086999999999999</v>
      </c>
      <c r="T39" s="9">
        <v>2.2086999999999999</v>
      </c>
      <c r="U39" s="9">
        <v>2.2086999999999999</v>
      </c>
      <c r="V39" s="9">
        <v>2.2086999999999999</v>
      </c>
      <c r="W39" s="9">
        <v>2.2086999999999999</v>
      </c>
      <c r="X39" s="9">
        <v>2.2086999999999999</v>
      </c>
      <c r="Y39" s="9">
        <v>2.2086999999999999</v>
      </c>
      <c r="Z39" s="9">
        <v>2.2086999999999999</v>
      </c>
      <c r="AA39" s="9">
        <v>2.2086999999999999</v>
      </c>
      <c r="AB39" s="9">
        <v>2.2086999999999999</v>
      </c>
      <c r="AC39" s="9">
        <v>2.2086999999999999</v>
      </c>
      <c r="AD39" s="9">
        <v>2.2086999999999999</v>
      </c>
      <c r="AE39" s="9">
        <v>2.2086999999999999</v>
      </c>
      <c r="AF39" s="9">
        <v>2.2086999999999999</v>
      </c>
      <c r="AG39" s="9">
        <v>2.2086999999999999</v>
      </c>
      <c r="AH39" s="9">
        <v>2.2086999999999999</v>
      </c>
      <c r="AI39" s="9">
        <v>2.2086999999999999</v>
      </c>
      <c r="AJ39" s="9">
        <v>2.2086999999999999</v>
      </c>
    </row>
    <row r="40" spans="1:36" x14ac:dyDescent="0.45">
      <c r="A40" s="34"/>
      <c r="B40" s="3" t="s">
        <v>71</v>
      </c>
      <c r="C40" s="3" t="s">
        <v>72</v>
      </c>
      <c r="D40" s="3" t="s">
        <v>243</v>
      </c>
      <c r="E40" s="3">
        <v>0</v>
      </c>
      <c r="F40" s="3" t="s">
        <v>244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</row>
    <row r="41" spans="1:36" x14ac:dyDescent="0.45">
      <c r="A41" s="34"/>
      <c r="B41" s="3" t="s">
        <v>73</v>
      </c>
      <c r="C41" s="3" t="s">
        <v>74</v>
      </c>
      <c r="D41" s="3" t="s">
        <v>243</v>
      </c>
      <c r="E41" s="3">
        <v>0</v>
      </c>
      <c r="F41" s="3" t="s">
        <v>244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</row>
    <row r="42" spans="1:36" x14ac:dyDescent="0.45">
      <c r="A42" s="34"/>
      <c r="B42" s="3" t="s">
        <v>75</v>
      </c>
      <c r="C42" s="3" t="s">
        <v>76</v>
      </c>
      <c r="D42" s="3" t="s">
        <v>243</v>
      </c>
      <c r="E42" s="3">
        <v>1.84E-2</v>
      </c>
      <c r="F42" s="3" t="s">
        <v>244</v>
      </c>
      <c r="G42" s="9">
        <v>1.84E-2</v>
      </c>
      <c r="H42" s="9">
        <v>3.8399999999999997E-2</v>
      </c>
      <c r="I42" s="9">
        <v>1.1104000000000001</v>
      </c>
      <c r="J42" s="9">
        <v>2.5364</v>
      </c>
      <c r="K42" s="9">
        <v>2.5364</v>
      </c>
      <c r="L42" s="9">
        <v>2.5364</v>
      </c>
      <c r="M42" s="9">
        <v>2.5364</v>
      </c>
      <c r="N42" s="9">
        <v>2.5364</v>
      </c>
      <c r="O42" s="9">
        <v>2.5364</v>
      </c>
      <c r="P42" s="9">
        <v>2.5364</v>
      </c>
      <c r="Q42" s="9">
        <v>2.5364</v>
      </c>
      <c r="R42" s="9">
        <v>2.5364</v>
      </c>
      <c r="S42" s="9">
        <v>2.5364</v>
      </c>
      <c r="T42" s="9">
        <v>2.5364</v>
      </c>
      <c r="U42" s="9">
        <v>2.5364</v>
      </c>
      <c r="V42" s="9">
        <v>2.5364</v>
      </c>
      <c r="W42" s="9">
        <v>2.5364</v>
      </c>
      <c r="X42" s="9">
        <v>2.5364</v>
      </c>
      <c r="Y42" s="9">
        <v>2.5364</v>
      </c>
      <c r="Z42" s="9">
        <v>2.5364</v>
      </c>
      <c r="AA42" s="9">
        <v>2.5364</v>
      </c>
      <c r="AB42" s="9">
        <v>2.5364</v>
      </c>
      <c r="AC42" s="9">
        <v>2.5364</v>
      </c>
      <c r="AD42" s="9">
        <v>2.5364</v>
      </c>
      <c r="AE42" s="9">
        <v>2.5364</v>
      </c>
      <c r="AF42" s="9">
        <v>2.5364</v>
      </c>
      <c r="AG42" s="9">
        <v>2.5364</v>
      </c>
      <c r="AH42" s="9">
        <v>2.5364</v>
      </c>
      <c r="AI42" s="9">
        <v>2.5364</v>
      </c>
      <c r="AJ42" s="9">
        <v>2.5364</v>
      </c>
    </row>
    <row r="43" spans="1:36" x14ac:dyDescent="0.45">
      <c r="A43" s="34"/>
      <c r="B43" s="3" t="s">
        <v>77</v>
      </c>
      <c r="C43" s="3" t="s">
        <v>78</v>
      </c>
      <c r="D43" s="3" t="s">
        <v>243</v>
      </c>
      <c r="E43" s="3">
        <v>0</v>
      </c>
      <c r="F43" s="3" t="s">
        <v>244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</row>
    <row r="44" spans="1:36" x14ac:dyDescent="0.45">
      <c r="A44" s="34"/>
      <c r="B44" s="3" t="s">
        <v>79</v>
      </c>
      <c r="C44" s="3" t="s">
        <v>80</v>
      </c>
      <c r="D44" s="3" t="s">
        <v>243</v>
      </c>
      <c r="E44" s="3">
        <v>0</v>
      </c>
      <c r="F44" s="3" t="s">
        <v>244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</row>
    <row r="45" spans="1:36" x14ac:dyDescent="0.45">
      <c r="A45" s="34"/>
      <c r="B45" s="3" t="s">
        <v>81</v>
      </c>
      <c r="C45" s="3" t="s">
        <v>82</v>
      </c>
      <c r="D45" s="3" t="s">
        <v>243</v>
      </c>
      <c r="E45" s="3">
        <v>0</v>
      </c>
      <c r="F45" s="3" t="s">
        <v>244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</row>
    <row r="46" spans="1:36" x14ac:dyDescent="0.45">
      <c r="A46" s="34"/>
      <c r="B46" s="3" t="s">
        <v>83</v>
      </c>
      <c r="C46" s="3" t="s">
        <v>84</v>
      </c>
      <c r="D46" s="3" t="s">
        <v>243</v>
      </c>
      <c r="E46" s="3">
        <v>0</v>
      </c>
      <c r="F46" s="3" t="s">
        <v>244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</row>
    <row r="47" spans="1:36" ht="17.25" customHeight="1" x14ac:dyDescent="0.45">
      <c r="A47" s="34" t="s">
        <v>210</v>
      </c>
      <c r="B47" s="3" t="s">
        <v>55</v>
      </c>
      <c r="C47" s="3" t="s">
        <v>56</v>
      </c>
      <c r="D47" s="3" t="s">
        <v>271</v>
      </c>
      <c r="E47" s="3">
        <v>151.47499999999999</v>
      </c>
      <c r="F47" s="3" t="s">
        <v>272</v>
      </c>
      <c r="G47" s="3">
        <v>151.47499999999999</v>
      </c>
      <c r="H47" s="3">
        <v>151.47499999999999</v>
      </c>
      <c r="I47" s="3">
        <v>151.47499999999999</v>
      </c>
      <c r="J47" s="3">
        <v>151.47499999999999</v>
      </c>
      <c r="K47" s="3">
        <v>151.47499999999999</v>
      </c>
      <c r="L47" s="3">
        <v>151.47499999999999</v>
      </c>
      <c r="M47" s="3">
        <v>151.47499999999999</v>
      </c>
      <c r="N47" s="3">
        <v>151.47499999999999</v>
      </c>
      <c r="O47" s="3">
        <v>151.47499999999999</v>
      </c>
      <c r="P47" s="3">
        <v>151.47499999999999</v>
      </c>
      <c r="Q47" s="3">
        <v>151.47499999999999</v>
      </c>
      <c r="R47" s="3">
        <v>151.47499999999999</v>
      </c>
      <c r="S47" s="3">
        <v>151.47499999999999</v>
      </c>
      <c r="T47" s="3">
        <v>151.47499999999999</v>
      </c>
      <c r="U47" s="3">
        <v>151.47499999999999</v>
      </c>
      <c r="V47" s="3">
        <v>151.47499999999999</v>
      </c>
      <c r="W47" s="3">
        <v>151.47499999999999</v>
      </c>
      <c r="X47" s="3">
        <v>151.47499999999999</v>
      </c>
      <c r="Y47" s="3">
        <v>151.47499999999999</v>
      </c>
      <c r="Z47" s="3">
        <v>151.47499999999999</v>
      </c>
      <c r="AA47" s="3">
        <v>151.47499999999999</v>
      </c>
      <c r="AB47" s="3">
        <v>151.47499999999999</v>
      </c>
      <c r="AC47" s="3">
        <v>151.47499999999999</v>
      </c>
      <c r="AD47" s="3">
        <v>151.47499999999999</v>
      </c>
      <c r="AE47" s="3">
        <v>151.47499999999999</v>
      </c>
      <c r="AF47" s="3">
        <v>151.47499999999999</v>
      </c>
      <c r="AG47" s="3">
        <v>151.47499999999999</v>
      </c>
      <c r="AH47" s="3">
        <v>151.47499999999999</v>
      </c>
      <c r="AI47" s="3">
        <v>151.47499999999999</v>
      </c>
      <c r="AJ47" s="3">
        <v>151.47499999999999</v>
      </c>
    </row>
    <row r="48" spans="1:36" x14ac:dyDescent="0.45">
      <c r="A48" s="34"/>
      <c r="B48" s="3" t="s">
        <v>57</v>
      </c>
      <c r="C48" s="3" t="s">
        <v>58</v>
      </c>
      <c r="D48" s="3" t="s">
        <v>271</v>
      </c>
      <c r="E48" s="3">
        <v>8.2200000000000006</v>
      </c>
      <c r="F48" s="3" t="s">
        <v>278</v>
      </c>
      <c r="G48" s="3">
        <v>8.2200000000000006</v>
      </c>
      <c r="H48" s="3">
        <v>8.2200000000000006</v>
      </c>
      <c r="I48" s="3">
        <v>8.2200000000000006</v>
      </c>
      <c r="J48" s="3">
        <v>8.2200000000000006</v>
      </c>
      <c r="K48" s="3">
        <v>8.2200000000000006</v>
      </c>
      <c r="L48" s="3">
        <v>8.2200000000000006</v>
      </c>
      <c r="M48" s="3">
        <v>8.2200000000000006</v>
      </c>
      <c r="N48" s="3">
        <v>8.2200000000000006</v>
      </c>
      <c r="O48" s="3">
        <v>8.2200000000000006</v>
      </c>
      <c r="P48" s="3">
        <v>8.2200000000000006</v>
      </c>
      <c r="Q48" s="3">
        <v>8.2200000000000006</v>
      </c>
      <c r="R48" s="3">
        <v>8.2200000000000006</v>
      </c>
      <c r="S48" s="3">
        <v>8.2200000000000006</v>
      </c>
      <c r="T48" s="3">
        <v>8.2200000000000006</v>
      </c>
      <c r="U48" s="3">
        <v>8.2200000000000006</v>
      </c>
      <c r="V48" s="3">
        <v>8.2200000000000006</v>
      </c>
      <c r="W48" s="3">
        <v>8.2200000000000006</v>
      </c>
      <c r="X48" s="3">
        <v>8.2200000000000006</v>
      </c>
      <c r="Y48" s="3">
        <v>8.2200000000000006</v>
      </c>
      <c r="Z48" s="3">
        <v>8.2200000000000006</v>
      </c>
      <c r="AA48" s="3">
        <v>8.2200000000000006</v>
      </c>
      <c r="AB48" s="3">
        <v>8.2200000000000006</v>
      </c>
      <c r="AC48" s="3">
        <v>8.2200000000000006</v>
      </c>
      <c r="AD48" s="3">
        <v>8.2200000000000006</v>
      </c>
      <c r="AE48" s="3">
        <v>8.2200000000000006</v>
      </c>
      <c r="AF48" s="3">
        <v>8.2200000000000006</v>
      </c>
      <c r="AG48" s="3">
        <v>8.2200000000000006</v>
      </c>
      <c r="AH48" s="3">
        <v>8.2200000000000006</v>
      </c>
      <c r="AI48" s="3">
        <v>8.2200000000000006</v>
      </c>
      <c r="AJ48" s="3">
        <v>8.2200000000000006</v>
      </c>
    </row>
    <row r="49" spans="1:36" x14ac:dyDescent="0.45">
      <c r="A49" s="34"/>
      <c r="B49" s="3" t="s">
        <v>59</v>
      </c>
      <c r="C49" s="3" t="s">
        <v>60</v>
      </c>
      <c r="D49" s="3" t="s">
        <v>271</v>
      </c>
      <c r="E49" s="3">
        <v>3.8</v>
      </c>
      <c r="F49" s="3" t="s">
        <v>272</v>
      </c>
      <c r="G49" s="3">
        <v>3.8</v>
      </c>
      <c r="H49" s="3">
        <v>3.8</v>
      </c>
      <c r="I49" s="3">
        <v>3.8</v>
      </c>
      <c r="J49" s="3">
        <v>3.8</v>
      </c>
      <c r="K49" s="3">
        <v>3.8</v>
      </c>
      <c r="L49" s="3">
        <v>3.8</v>
      </c>
      <c r="M49" s="3">
        <v>3.8</v>
      </c>
      <c r="N49" s="3">
        <v>3.8</v>
      </c>
      <c r="O49" s="3">
        <v>3.8</v>
      </c>
      <c r="P49" s="3">
        <v>3.8</v>
      </c>
      <c r="Q49" s="3">
        <v>3.8</v>
      </c>
      <c r="R49" s="3">
        <v>3.8</v>
      </c>
      <c r="S49" s="3">
        <v>3.8</v>
      </c>
      <c r="T49" s="3">
        <v>3.8</v>
      </c>
      <c r="U49" s="3">
        <v>3.8</v>
      </c>
      <c r="V49" s="3">
        <v>3.8</v>
      </c>
      <c r="W49" s="3">
        <v>3.8</v>
      </c>
      <c r="X49" s="3">
        <v>3.8</v>
      </c>
      <c r="Y49" s="3">
        <v>3.8</v>
      </c>
      <c r="Z49" s="3">
        <v>3.8</v>
      </c>
      <c r="AA49" s="3">
        <v>3.8</v>
      </c>
      <c r="AB49" s="3">
        <v>3.8</v>
      </c>
      <c r="AC49" s="3">
        <v>3.8</v>
      </c>
      <c r="AD49" s="3">
        <v>3.8</v>
      </c>
      <c r="AE49" s="3">
        <v>3.8</v>
      </c>
      <c r="AF49" s="3">
        <v>3.8</v>
      </c>
      <c r="AG49" s="3">
        <v>3.8</v>
      </c>
      <c r="AH49" s="3">
        <v>3.8</v>
      </c>
      <c r="AI49" s="3">
        <v>3.8</v>
      </c>
      <c r="AJ49" s="3">
        <v>3.8</v>
      </c>
    </row>
    <row r="50" spans="1:36" x14ac:dyDescent="0.45">
      <c r="A50" s="34"/>
      <c r="B50" s="3" t="s">
        <v>61</v>
      </c>
      <c r="C50" s="3" t="s">
        <v>62</v>
      </c>
      <c r="D50" s="3" t="s">
        <v>271</v>
      </c>
      <c r="E50" s="3">
        <v>4.8</v>
      </c>
      <c r="F50" s="3" t="s">
        <v>272</v>
      </c>
      <c r="G50" s="3">
        <v>4.8</v>
      </c>
      <c r="H50" s="3">
        <v>4.8</v>
      </c>
      <c r="I50" s="3">
        <v>4.8</v>
      </c>
      <c r="J50" s="3">
        <v>4.8</v>
      </c>
      <c r="K50" s="3">
        <v>4.8</v>
      </c>
      <c r="L50" s="3">
        <v>4.8</v>
      </c>
      <c r="M50" s="3">
        <v>4.8</v>
      </c>
      <c r="N50" s="3">
        <v>4.8</v>
      </c>
      <c r="O50" s="3">
        <v>4.8</v>
      </c>
      <c r="P50" s="3">
        <v>4.8</v>
      </c>
      <c r="Q50" s="3">
        <v>4.8</v>
      </c>
      <c r="R50" s="3">
        <v>4.8</v>
      </c>
      <c r="S50" s="3">
        <v>4.8</v>
      </c>
      <c r="T50" s="3">
        <v>4.8</v>
      </c>
      <c r="U50" s="3">
        <v>4.8</v>
      </c>
      <c r="V50" s="3">
        <v>4.8</v>
      </c>
      <c r="W50" s="3">
        <v>4.8</v>
      </c>
      <c r="X50" s="3">
        <v>4.8</v>
      </c>
      <c r="Y50" s="3">
        <v>4.8</v>
      </c>
      <c r="Z50" s="3">
        <v>4.8</v>
      </c>
      <c r="AA50" s="3">
        <v>4.8</v>
      </c>
      <c r="AB50" s="3">
        <v>4.8</v>
      </c>
      <c r="AC50" s="3">
        <v>4.8</v>
      </c>
      <c r="AD50" s="3">
        <v>4.8</v>
      </c>
      <c r="AE50" s="3">
        <v>4.8</v>
      </c>
      <c r="AF50" s="3">
        <v>4.8</v>
      </c>
      <c r="AG50" s="3">
        <v>4.8</v>
      </c>
      <c r="AH50" s="3">
        <v>4.8</v>
      </c>
      <c r="AI50" s="3">
        <v>4.8</v>
      </c>
      <c r="AJ50" s="3">
        <v>4.8</v>
      </c>
    </row>
    <row r="51" spans="1:36" x14ac:dyDescent="0.45">
      <c r="A51" s="34"/>
      <c r="B51" s="3" t="s">
        <v>85</v>
      </c>
      <c r="C51" s="3" t="s">
        <v>86</v>
      </c>
      <c r="D51" s="3" t="s">
        <v>457</v>
      </c>
      <c r="E51" s="3">
        <v>0</v>
      </c>
      <c r="F51" s="3" t="s">
        <v>458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</row>
    <row r="52" spans="1:36" x14ac:dyDescent="0.45">
      <c r="A52" s="34"/>
      <c r="B52" s="3" t="s">
        <v>87</v>
      </c>
      <c r="C52" s="3" t="s">
        <v>88</v>
      </c>
      <c r="D52" s="3" t="s">
        <v>457</v>
      </c>
      <c r="E52" s="3">
        <v>0</v>
      </c>
      <c r="F52" s="3" t="s">
        <v>458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</row>
    <row r="53" spans="1:36" x14ac:dyDescent="0.45">
      <c r="A53" s="34"/>
      <c r="B53" s="3" t="s">
        <v>89</v>
      </c>
      <c r="C53" s="3" t="s">
        <v>90</v>
      </c>
      <c r="D53" s="3" t="s">
        <v>457</v>
      </c>
      <c r="E53" s="3">
        <v>0</v>
      </c>
      <c r="F53" s="3" t="s">
        <v>458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</row>
    <row r="54" spans="1:36" x14ac:dyDescent="0.45">
      <c r="A54" s="34"/>
      <c r="B54" s="3" t="s">
        <v>430</v>
      </c>
      <c r="C54" s="3" t="s">
        <v>431</v>
      </c>
      <c r="D54" s="3" t="s">
        <v>270</v>
      </c>
      <c r="E54" s="3">
        <v>146</v>
      </c>
      <c r="F54" s="3" t="s">
        <v>459</v>
      </c>
      <c r="G54" s="3">
        <v>146</v>
      </c>
      <c r="H54" s="3">
        <v>146</v>
      </c>
      <c r="I54" s="3">
        <v>146</v>
      </c>
      <c r="J54" s="3">
        <v>146</v>
      </c>
      <c r="K54" s="3">
        <v>146</v>
      </c>
      <c r="L54" s="3">
        <v>146</v>
      </c>
      <c r="M54" s="3">
        <v>146</v>
      </c>
      <c r="N54" s="3">
        <v>146</v>
      </c>
      <c r="O54" s="3">
        <v>146</v>
      </c>
      <c r="P54" s="3">
        <v>146</v>
      </c>
      <c r="Q54" s="3">
        <v>146</v>
      </c>
      <c r="R54" s="3">
        <v>146</v>
      </c>
      <c r="S54" s="3">
        <v>146</v>
      </c>
      <c r="T54" s="3">
        <v>146</v>
      </c>
      <c r="U54" s="3">
        <v>146</v>
      </c>
      <c r="V54" s="3">
        <v>146</v>
      </c>
      <c r="W54" s="3">
        <v>146</v>
      </c>
      <c r="X54" s="3">
        <v>146</v>
      </c>
      <c r="Y54" s="3">
        <v>146</v>
      </c>
      <c r="Z54" s="3">
        <v>146</v>
      </c>
      <c r="AA54" s="3">
        <v>146</v>
      </c>
      <c r="AB54" s="3">
        <v>146</v>
      </c>
      <c r="AC54" s="3">
        <v>146</v>
      </c>
      <c r="AD54" s="3">
        <v>146</v>
      </c>
      <c r="AE54" s="3">
        <v>146</v>
      </c>
      <c r="AF54" s="3">
        <v>146</v>
      </c>
      <c r="AG54" s="3">
        <v>146</v>
      </c>
      <c r="AH54" s="3">
        <v>146</v>
      </c>
      <c r="AI54" s="3">
        <v>146</v>
      </c>
      <c r="AJ54" s="3">
        <v>146</v>
      </c>
    </row>
    <row r="55" spans="1:36" x14ac:dyDescent="0.45">
      <c r="A55" s="34" t="s">
        <v>211</v>
      </c>
      <c r="B55" s="3" t="s">
        <v>91</v>
      </c>
      <c r="C55" s="3" t="s">
        <v>92</v>
      </c>
      <c r="D55" s="3" t="s">
        <v>425</v>
      </c>
      <c r="E55" s="3">
        <v>4.7329999999999997</v>
      </c>
      <c r="F55" s="3" t="s">
        <v>460</v>
      </c>
      <c r="G55" s="9">
        <v>4.7329999999999997</v>
      </c>
      <c r="H55" s="9">
        <v>4.7329999999999997</v>
      </c>
      <c r="I55" s="9">
        <v>4.7329999999999997</v>
      </c>
      <c r="J55" s="9">
        <v>4.7329999999999997</v>
      </c>
      <c r="K55" s="9">
        <v>4.7329999999999997</v>
      </c>
      <c r="L55" s="9">
        <v>4.7329999999999997</v>
      </c>
      <c r="M55" s="9">
        <v>4.7329999999999997</v>
      </c>
      <c r="N55" s="9">
        <v>4.7329999999999997</v>
      </c>
      <c r="O55" s="9">
        <v>4.7329999999999997</v>
      </c>
      <c r="P55" s="9">
        <v>4.7329999999999997</v>
      </c>
      <c r="Q55" s="9">
        <v>4.7329999999999997</v>
      </c>
      <c r="R55" s="9">
        <v>4.7329999999999997</v>
      </c>
      <c r="S55" s="9">
        <v>4.7329999999999997</v>
      </c>
      <c r="T55" s="9">
        <v>4.7329999999999997</v>
      </c>
      <c r="U55" s="9">
        <v>4.7329999999999997</v>
      </c>
      <c r="V55" s="9">
        <v>4.7329999999999997</v>
      </c>
      <c r="W55" s="9">
        <v>4.7329999999999997</v>
      </c>
      <c r="X55" s="9">
        <v>4.7329999999999997</v>
      </c>
      <c r="Y55" s="9">
        <v>4.7329999999999997</v>
      </c>
      <c r="Z55" s="9">
        <v>4.7329999999999997</v>
      </c>
      <c r="AA55" s="9">
        <v>4.7329999999999997</v>
      </c>
      <c r="AB55" s="9">
        <v>4.7329999999999997</v>
      </c>
      <c r="AC55" s="9">
        <v>4.7329999999999997</v>
      </c>
      <c r="AD55" s="9">
        <v>4.7329999999999997</v>
      </c>
      <c r="AE55" s="9">
        <v>4.7329999999999997</v>
      </c>
      <c r="AF55" s="9">
        <v>4.7329999999999997</v>
      </c>
      <c r="AG55" s="9">
        <v>4.7329999999999997</v>
      </c>
      <c r="AH55" s="9">
        <v>4.7329999999999997</v>
      </c>
      <c r="AI55" s="9">
        <v>4.7329999999999997</v>
      </c>
      <c r="AJ55" s="9">
        <v>4.7329999999999997</v>
      </c>
    </row>
    <row r="56" spans="1:36" x14ac:dyDescent="0.45">
      <c r="A56" s="34"/>
      <c r="B56" s="3" t="s">
        <v>93</v>
      </c>
      <c r="C56" s="3" t="s">
        <v>94</v>
      </c>
      <c r="D56" s="3" t="s">
        <v>425</v>
      </c>
      <c r="E56" s="3">
        <v>23.215</v>
      </c>
      <c r="F56" s="3" t="s">
        <v>460</v>
      </c>
      <c r="G56" s="9">
        <v>23.215</v>
      </c>
      <c r="H56" s="9">
        <v>23.215</v>
      </c>
      <c r="I56" s="9">
        <v>23.215</v>
      </c>
      <c r="J56" s="9">
        <v>23.215</v>
      </c>
      <c r="K56" s="9">
        <v>23.215</v>
      </c>
      <c r="L56" s="9">
        <v>23.215</v>
      </c>
      <c r="M56" s="9">
        <v>23.215</v>
      </c>
      <c r="N56" s="9">
        <v>23.215</v>
      </c>
      <c r="O56" s="9">
        <v>23.215</v>
      </c>
      <c r="P56" s="9">
        <v>23.215</v>
      </c>
      <c r="Q56" s="9">
        <v>23.215</v>
      </c>
      <c r="R56" s="9">
        <v>23.215</v>
      </c>
      <c r="S56" s="9">
        <v>23.215</v>
      </c>
      <c r="T56" s="9">
        <v>23.215</v>
      </c>
      <c r="U56" s="9">
        <v>23.215</v>
      </c>
      <c r="V56" s="9">
        <v>23.215</v>
      </c>
      <c r="W56" s="9">
        <v>23.215</v>
      </c>
      <c r="X56" s="9">
        <v>23.215</v>
      </c>
      <c r="Y56" s="9">
        <v>23.215</v>
      </c>
      <c r="Z56" s="9">
        <v>23.215</v>
      </c>
      <c r="AA56" s="9">
        <v>23.215</v>
      </c>
      <c r="AB56" s="9">
        <v>23.215</v>
      </c>
      <c r="AC56" s="9">
        <v>23.215</v>
      </c>
      <c r="AD56" s="9">
        <v>23.215</v>
      </c>
      <c r="AE56" s="9">
        <v>23.215</v>
      </c>
      <c r="AF56" s="9">
        <v>23.215</v>
      </c>
      <c r="AG56" s="9">
        <v>23.215</v>
      </c>
      <c r="AH56" s="9">
        <v>23.215</v>
      </c>
      <c r="AI56" s="9">
        <v>23.215</v>
      </c>
      <c r="AJ56" s="9">
        <v>23.215</v>
      </c>
    </row>
    <row r="57" spans="1:36" x14ac:dyDescent="0.45">
      <c r="A57" s="34"/>
      <c r="B57" s="3" t="s">
        <v>95</v>
      </c>
      <c r="C57" s="3" t="s">
        <v>96</v>
      </c>
      <c r="D57" s="3" t="s">
        <v>425</v>
      </c>
      <c r="E57" s="3">
        <v>265.666</v>
      </c>
      <c r="F57" s="3" t="s">
        <v>460</v>
      </c>
      <c r="G57" s="9">
        <v>265.666</v>
      </c>
      <c r="H57" s="9">
        <v>265.666</v>
      </c>
      <c r="I57" s="9">
        <v>265.666</v>
      </c>
      <c r="J57" s="9">
        <v>265.666</v>
      </c>
      <c r="K57" s="9">
        <v>265.666</v>
      </c>
      <c r="L57" s="9">
        <v>265.666</v>
      </c>
      <c r="M57" s="9">
        <v>265.666</v>
      </c>
      <c r="N57" s="9">
        <v>265.666</v>
      </c>
      <c r="O57" s="9">
        <v>265.666</v>
      </c>
      <c r="P57" s="9">
        <v>265.666</v>
      </c>
      <c r="Q57" s="9">
        <v>265.666</v>
      </c>
      <c r="R57" s="9">
        <v>265.666</v>
      </c>
      <c r="S57" s="9">
        <v>265.666</v>
      </c>
      <c r="T57" s="9">
        <v>265.666</v>
      </c>
      <c r="U57" s="9">
        <v>265.666</v>
      </c>
      <c r="V57" s="9">
        <v>265.666</v>
      </c>
      <c r="W57" s="9">
        <v>265.666</v>
      </c>
      <c r="X57" s="9">
        <v>265.666</v>
      </c>
      <c r="Y57" s="9">
        <v>265.666</v>
      </c>
      <c r="Z57" s="9">
        <v>265.666</v>
      </c>
      <c r="AA57" s="9">
        <v>265.666</v>
      </c>
      <c r="AB57" s="9">
        <v>265.666</v>
      </c>
      <c r="AC57" s="9">
        <v>265.666</v>
      </c>
      <c r="AD57" s="9">
        <v>265.666</v>
      </c>
      <c r="AE57" s="9">
        <v>265.666</v>
      </c>
      <c r="AF57" s="9">
        <v>265.666</v>
      </c>
      <c r="AG57" s="9">
        <v>265.666</v>
      </c>
      <c r="AH57" s="9">
        <v>265.666</v>
      </c>
      <c r="AI57" s="9">
        <v>265.666</v>
      </c>
      <c r="AJ57" s="9">
        <v>265.666</v>
      </c>
    </row>
    <row r="58" spans="1:36" x14ac:dyDescent="0.45">
      <c r="A58" s="34" t="s">
        <v>212</v>
      </c>
      <c r="B58" s="3" t="s">
        <v>97</v>
      </c>
      <c r="C58" s="3" t="s">
        <v>98</v>
      </c>
      <c r="D58" s="3" t="s">
        <v>243</v>
      </c>
      <c r="E58" s="3">
        <v>18</v>
      </c>
      <c r="F58" s="3" t="s">
        <v>248</v>
      </c>
      <c r="G58" s="3">
        <f>$E$58</f>
        <v>18</v>
      </c>
      <c r="H58" s="3">
        <f t="shared" ref="H58:AJ58" si="6">$E$58</f>
        <v>18</v>
      </c>
      <c r="I58" s="3">
        <f t="shared" si="6"/>
        <v>18</v>
      </c>
      <c r="J58" s="3">
        <f t="shared" si="6"/>
        <v>18</v>
      </c>
      <c r="K58" s="3">
        <f t="shared" si="6"/>
        <v>18</v>
      </c>
      <c r="L58" s="3">
        <f t="shared" si="6"/>
        <v>18</v>
      </c>
      <c r="M58" s="3">
        <f t="shared" si="6"/>
        <v>18</v>
      </c>
      <c r="N58" s="3">
        <f t="shared" si="6"/>
        <v>18</v>
      </c>
      <c r="O58" s="3">
        <f t="shared" si="6"/>
        <v>18</v>
      </c>
      <c r="P58" s="3">
        <f t="shared" si="6"/>
        <v>18</v>
      </c>
      <c r="Q58" s="3">
        <f t="shared" si="6"/>
        <v>18</v>
      </c>
      <c r="R58" s="3">
        <f t="shared" si="6"/>
        <v>18</v>
      </c>
      <c r="S58" s="3">
        <f t="shared" si="6"/>
        <v>18</v>
      </c>
      <c r="T58" s="3">
        <f t="shared" si="6"/>
        <v>18</v>
      </c>
      <c r="U58" s="3">
        <f t="shared" si="6"/>
        <v>18</v>
      </c>
      <c r="V58" s="3">
        <f t="shared" si="6"/>
        <v>18</v>
      </c>
      <c r="W58" s="3">
        <f t="shared" si="6"/>
        <v>18</v>
      </c>
      <c r="X58" s="3">
        <f t="shared" si="6"/>
        <v>18</v>
      </c>
      <c r="Y58" s="3">
        <f t="shared" si="6"/>
        <v>18</v>
      </c>
      <c r="Z58" s="3">
        <f t="shared" si="6"/>
        <v>18</v>
      </c>
      <c r="AA58" s="3">
        <f t="shared" si="6"/>
        <v>18</v>
      </c>
      <c r="AB58" s="3">
        <f t="shared" si="6"/>
        <v>18</v>
      </c>
      <c r="AC58" s="3">
        <f t="shared" si="6"/>
        <v>18</v>
      </c>
      <c r="AD58" s="3">
        <f t="shared" si="6"/>
        <v>18</v>
      </c>
      <c r="AE58" s="3">
        <f t="shared" si="6"/>
        <v>18</v>
      </c>
      <c r="AF58" s="3">
        <f t="shared" si="6"/>
        <v>18</v>
      </c>
      <c r="AG58" s="3">
        <f t="shared" si="6"/>
        <v>18</v>
      </c>
      <c r="AH58" s="3">
        <f t="shared" si="6"/>
        <v>18</v>
      </c>
      <c r="AI58" s="3">
        <f t="shared" si="6"/>
        <v>18</v>
      </c>
      <c r="AJ58" s="3">
        <f t="shared" si="6"/>
        <v>18</v>
      </c>
    </row>
    <row r="59" spans="1:36" x14ac:dyDescent="0.45">
      <c r="A59" s="34"/>
      <c r="B59" s="3" t="s">
        <v>99</v>
      </c>
      <c r="C59" s="3" t="s">
        <v>100</v>
      </c>
      <c r="D59" s="3" t="s">
        <v>243</v>
      </c>
      <c r="E59" s="3">
        <v>18</v>
      </c>
      <c r="F59" s="3" t="s">
        <v>366</v>
      </c>
      <c r="G59" s="3">
        <v>18</v>
      </c>
      <c r="H59" s="3">
        <v>18</v>
      </c>
      <c r="I59" s="3">
        <v>18</v>
      </c>
      <c r="J59" s="3">
        <v>18</v>
      </c>
      <c r="K59" s="3">
        <v>18</v>
      </c>
      <c r="L59" s="3">
        <v>18</v>
      </c>
      <c r="M59" s="3">
        <v>18</v>
      </c>
      <c r="N59" s="3">
        <v>18</v>
      </c>
      <c r="O59" s="3">
        <v>18</v>
      </c>
      <c r="P59" s="3">
        <v>18</v>
      </c>
      <c r="Q59" s="3">
        <v>18</v>
      </c>
      <c r="R59" s="3">
        <v>18</v>
      </c>
      <c r="S59" s="3">
        <v>18</v>
      </c>
      <c r="T59" s="3">
        <v>18</v>
      </c>
      <c r="U59" s="3">
        <v>18</v>
      </c>
      <c r="V59" s="3">
        <v>18</v>
      </c>
      <c r="W59" s="3">
        <v>18</v>
      </c>
      <c r="X59" s="3">
        <v>18</v>
      </c>
      <c r="Y59" s="3">
        <v>18</v>
      </c>
      <c r="Z59" s="3">
        <v>18</v>
      </c>
      <c r="AA59" s="3">
        <v>18</v>
      </c>
      <c r="AB59" s="3">
        <v>18</v>
      </c>
      <c r="AC59" s="3">
        <v>18</v>
      </c>
      <c r="AD59" s="3">
        <v>18</v>
      </c>
      <c r="AE59" s="3">
        <v>18</v>
      </c>
      <c r="AF59" s="3">
        <v>18</v>
      </c>
      <c r="AG59" s="3">
        <v>18</v>
      </c>
      <c r="AH59" s="3">
        <v>18</v>
      </c>
      <c r="AI59" s="3">
        <v>18</v>
      </c>
      <c r="AJ59" s="3">
        <v>18</v>
      </c>
    </row>
    <row r="60" spans="1:36" x14ac:dyDescent="0.45">
      <c r="A60" s="34" t="s">
        <v>218</v>
      </c>
      <c r="B60" s="3" t="s">
        <v>213</v>
      </c>
      <c r="C60" s="3" t="s">
        <v>101</v>
      </c>
      <c r="D60" s="3" t="s">
        <v>401</v>
      </c>
      <c r="E60" s="9">
        <v>90.965635142857153</v>
      </c>
      <c r="F60" s="3" t="s">
        <v>462</v>
      </c>
      <c r="G60" s="9">
        <f>$E$60-0.04*$E$60*(G1-2020)</f>
        <v>87.327009737142873</v>
      </c>
      <c r="H60" s="9">
        <f t="shared" ref="H60:AE60" si="7">$E$60-0.04*$E$60*(H1-2020)</f>
        <v>83.68838433142858</v>
      </c>
      <c r="I60" s="9">
        <f t="shared" si="7"/>
        <v>80.049758925714286</v>
      </c>
      <c r="J60" s="9">
        <f t="shared" si="7"/>
        <v>76.411133520000007</v>
      </c>
      <c r="K60" s="9">
        <f t="shared" si="7"/>
        <v>72.772508114285728</v>
      </c>
      <c r="L60" s="9">
        <f t="shared" si="7"/>
        <v>69.133882708571434</v>
      </c>
      <c r="M60" s="9">
        <f t="shared" si="7"/>
        <v>65.495257302857141</v>
      </c>
      <c r="N60" s="9">
        <f t="shared" si="7"/>
        <v>61.856631897142861</v>
      </c>
      <c r="O60" s="9">
        <f t="shared" si="7"/>
        <v>58.218006491428575</v>
      </c>
      <c r="P60" s="9">
        <f t="shared" si="7"/>
        <v>54.579381085714289</v>
      </c>
      <c r="Q60" s="9">
        <f t="shared" si="7"/>
        <v>50.940755680000002</v>
      </c>
      <c r="R60" s="9">
        <f t="shared" si="7"/>
        <v>47.302130274285716</v>
      </c>
      <c r="S60" s="9">
        <f t="shared" si="7"/>
        <v>43.66350486857143</v>
      </c>
      <c r="T60" s="9">
        <f t="shared" si="7"/>
        <v>40.024879462857143</v>
      </c>
      <c r="U60" s="9">
        <f t="shared" si="7"/>
        <v>36.386254057142857</v>
      </c>
      <c r="V60" s="9">
        <f t="shared" si="7"/>
        <v>32.74762865142857</v>
      </c>
      <c r="W60" s="9">
        <f t="shared" si="7"/>
        <v>29.109003245714284</v>
      </c>
      <c r="X60" s="9">
        <f t="shared" si="7"/>
        <v>25.470377839999998</v>
      </c>
      <c r="Y60" s="9">
        <f t="shared" si="7"/>
        <v>21.831752434285718</v>
      </c>
      <c r="Z60" s="9">
        <f t="shared" si="7"/>
        <v>18.193127028571425</v>
      </c>
      <c r="AA60" s="9">
        <f t="shared" si="7"/>
        <v>14.554501622857131</v>
      </c>
      <c r="AB60" s="9">
        <f t="shared" si="7"/>
        <v>10.915876217142852</v>
      </c>
      <c r="AC60" s="9">
        <f t="shared" si="7"/>
        <v>7.2772508114285728</v>
      </c>
      <c r="AD60" s="9">
        <f t="shared" si="7"/>
        <v>3.6386254057142793</v>
      </c>
      <c r="AE60" s="9">
        <f t="shared" si="7"/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</row>
    <row r="61" spans="1:36" x14ac:dyDescent="0.45">
      <c r="A61" s="34"/>
      <c r="B61" s="3" t="s">
        <v>214</v>
      </c>
      <c r="C61" s="3" t="s">
        <v>102</v>
      </c>
      <c r="D61" s="3" t="s">
        <v>401</v>
      </c>
      <c r="E61" s="9">
        <v>38.203590857142856</v>
      </c>
      <c r="F61" s="3" t="s">
        <v>462</v>
      </c>
      <c r="G61" s="9">
        <f>$E$61-0.04*$E$61*(G1-2020)</f>
        <v>36.675447222857144</v>
      </c>
      <c r="H61" s="9">
        <f t="shared" ref="H61:AE61" si="8">$E$61-0.04*$E$61*(H1-2020)</f>
        <v>35.147303588571425</v>
      </c>
      <c r="I61" s="9">
        <f t="shared" si="8"/>
        <v>33.619159954285713</v>
      </c>
      <c r="J61" s="9">
        <f t="shared" si="8"/>
        <v>32.091016320000001</v>
      </c>
      <c r="K61" s="9">
        <f t="shared" si="8"/>
        <v>30.562872685714286</v>
      </c>
      <c r="L61" s="9">
        <f t="shared" si="8"/>
        <v>29.03472905142857</v>
      </c>
      <c r="M61" s="9">
        <f t="shared" si="8"/>
        <v>27.506585417142858</v>
      </c>
      <c r="N61" s="9">
        <f t="shared" si="8"/>
        <v>25.978441782857143</v>
      </c>
      <c r="O61" s="9">
        <f t="shared" si="8"/>
        <v>24.450298148571427</v>
      </c>
      <c r="P61" s="9">
        <f t="shared" si="8"/>
        <v>22.922154514285715</v>
      </c>
      <c r="Q61" s="9">
        <f t="shared" si="8"/>
        <v>21.39401088</v>
      </c>
      <c r="R61" s="9">
        <f t="shared" si="8"/>
        <v>19.865867245714284</v>
      </c>
      <c r="S61" s="9">
        <f t="shared" si="8"/>
        <v>18.337723611428572</v>
      </c>
      <c r="T61" s="9">
        <f t="shared" si="8"/>
        <v>16.809579977142857</v>
      </c>
      <c r="U61" s="9">
        <f t="shared" si="8"/>
        <v>15.281436342857145</v>
      </c>
      <c r="V61" s="9">
        <f t="shared" si="8"/>
        <v>13.753292708571429</v>
      </c>
      <c r="W61" s="9">
        <f t="shared" si="8"/>
        <v>12.225149074285714</v>
      </c>
      <c r="X61" s="9">
        <f t="shared" si="8"/>
        <v>10.697005440000002</v>
      </c>
      <c r="Y61" s="9">
        <f t="shared" si="8"/>
        <v>9.1688618057142861</v>
      </c>
      <c r="Z61" s="9">
        <f t="shared" si="8"/>
        <v>7.6407181714285741</v>
      </c>
      <c r="AA61" s="9">
        <f t="shared" si="8"/>
        <v>6.112574537142855</v>
      </c>
      <c r="AB61" s="9">
        <f t="shared" si="8"/>
        <v>4.5844309028571431</v>
      </c>
      <c r="AC61" s="9">
        <f t="shared" si="8"/>
        <v>3.0562872685714311</v>
      </c>
      <c r="AD61" s="9">
        <f t="shared" si="8"/>
        <v>1.528143634285712</v>
      </c>
      <c r="AE61" s="9">
        <f t="shared" si="8"/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</row>
    <row r="62" spans="1:36" x14ac:dyDescent="0.45">
      <c r="A62" s="34"/>
      <c r="B62" s="3" t="s">
        <v>215</v>
      </c>
      <c r="C62" s="3" t="s">
        <v>103</v>
      </c>
      <c r="D62" s="3" t="s">
        <v>401</v>
      </c>
      <c r="E62" s="9">
        <v>27.798705428571434</v>
      </c>
      <c r="F62" s="3" t="s">
        <v>462</v>
      </c>
      <c r="G62" s="9">
        <f>$E$62-0.04*$E$62*(G1-2020)</f>
        <v>26.686757211428578</v>
      </c>
      <c r="H62" s="9">
        <f t="shared" ref="H62:AE62" si="9">$E$62-0.04*$E$62*(H1-2020)</f>
        <v>25.574808994285718</v>
      </c>
      <c r="I62" s="9">
        <f t="shared" si="9"/>
        <v>24.462860777142861</v>
      </c>
      <c r="J62" s="9">
        <f t="shared" si="9"/>
        <v>23.350912560000005</v>
      </c>
      <c r="K62" s="9">
        <f t="shared" si="9"/>
        <v>22.238964342857148</v>
      </c>
      <c r="L62" s="9">
        <f t="shared" si="9"/>
        <v>21.127016125714292</v>
      </c>
      <c r="M62" s="9">
        <f t="shared" si="9"/>
        <v>20.015067908571432</v>
      </c>
      <c r="N62" s="9">
        <f t="shared" si="9"/>
        <v>18.903119691428575</v>
      </c>
      <c r="O62" s="9">
        <f t="shared" si="9"/>
        <v>17.791171474285719</v>
      </c>
      <c r="P62" s="9">
        <f t="shared" si="9"/>
        <v>16.679223257142858</v>
      </c>
      <c r="Q62" s="9">
        <f t="shared" si="9"/>
        <v>15.567275040000002</v>
      </c>
      <c r="R62" s="9">
        <f t="shared" si="9"/>
        <v>14.455326822857145</v>
      </c>
      <c r="S62" s="9">
        <f t="shared" si="9"/>
        <v>13.343378605714289</v>
      </c>
      <c r="T62" s="9">
        <f t="shared" si="9"/>
        <v>12.231430388571431</v>
      </c>
      <c r="U62" s="9">
        <f t="shared" si="9"/>
        <v>11.119482171428572</v>
      </c>
      <c r="V62" s="9">
        <f t="shared" si="9"/>
        <v>10.007533954285716</v>
      </c>
      <c r="W62" s="9">
        <f t="shared" si="9"/>
        <v>8.8955857371428593</v>
      </c>
      <c r="X62" s="9">
        <f t="shared" si="9"/>
        <v>7.7836375200000028</v>
      </c>
      <c r="Y62" s="9">
        <f t="shared" si="9"/>
        <v>6.6716893028571427</v>
      </c>
      <c r="Z62" s="9">
        <f t="shared" si="9"/>
        <v>5.5597410857142862</v>
      </c>
      <c r="AA62" s="9">
        <f t="shared" si="9"/>
        <v>4.4477928685714296</v>
      </c>
      <c r="AB62" s="9">
        <f t="shared" si="9"/>
        <v>3.3358446514285696</v>
      </c>
      <c r="AC62" s="9">
        <f t="shared" si="9"/>
        <v>2.223896434285713</v>
      </c>
      <c r="AD62" s="9">
        <f t="shared" si="9"/>
        <v>1.1119482171428565</v>
      </c>
      <c r="AE62" s="9">
        <f t="shared" si="9"/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</row>
    <row r="63" spans="1:36" x14ac:dyDescent="0.45">
      <c r="A63" s="34"/>
      <c r="B63" s="3" t="s">
        <v>216</v>
      </c>
      <c r="C63" s="3" t="s">
        <v>206</v>
      </c>
      <c r="D63" s="3" t="s">
        <v>401</v>
      </c>
      <c r="E63" s="9">
        <v>27.598371428571429</v>
      </c>
      <c r="F63" s="3" t="s">
        <v>462</v>
      </c>
      <c r="G63" s="9">
        <f>$E$63-0.05*$E$63*(G1-2020)</f>
        <v>26.218452857142857</v>
      </c>
      <c r="H63" s="9">
        <f t="shared" ref="H63:Z63" si="10">$E$63-0.05*$E$63*(H1-2020)</f>
        <v>24.838534285714285</v>
      </c>
      <c r="I63" s="9">
        <f t="shared" si="10"/>
        <v>23.458615714285713</v>
      </c>
      <c r="J63" s="9">
        <f t="shared" si="10"/>
        <v>22.078697142857145</v>
      </c>
      <c r="K63" s="9">
        <f t="shared" si="10"/>
        <v>20.698778571428569</v>
      </c>
      <c r="L63" s="9">
        <f t="shared" si="10"/>
        <v>19.318860000000001</v>
      </c>
      <c r="M63" s="9">
        <f t="shared" si="10"/>
        <v>17.938941428571429</v>
      </c>
      <c r="N63" s="9">
        <f t="shared" si="10"/>
        <v>16.559022857142857</v>
      </c>
      <c r="O63" s="9">
        <f t="shared" si="10"/>
        <v>15.179104285714285</v>
      </c>
      <c r="P63" s="9">
        <f t="shared" si="10"/>
        <v>13.799185714285713</v>
      </c>
      <c r="Q63" s="9">
        <f t="shared" si="10"/>
        <v>12.419267142857143</v>
      </c>
      <c r="R63" s="9">
        <f t="shared" si="10"/>
        <v>11.039348571428572</v>
      </c>
      <c r="S63" s="9">
        <f t="shared" si="10"/>
        <v>9.6594300000000004</v>
      </c>
      <c r="T63" s="9">
        <f t="shared" si="10"/>
        <v>8.2795114285714284</v>
      </c>
      <c r="U63" s="9">
        <f t="shared" si="10"/>
        <v>6.8995928571428564</v>
      </c>
      <c r="V63" s="9">
        <f t="shared" si="10"/>
        <v>5.5196742857142844</v>
      </c>
      <c r="W63" s="9">
        <f t="shared" si="10"/>
        <v>4.1397557142857124</v>
      </c>
      <c r="X63" s="9">
        <f t="shared" si="10"/>
        <v>2.7598371428571404</v>
      </c>
      <c r="Y63" s="9">
        <f t="shared" si="10"/>
        <v>1.3799185714285684</v>
      </c>
      <c r="Z63" s="9">
        <f t="shared" si="10"/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</row>
    <row r="64" spans="1:36" x14ac:dyDescent="0.45">
      <c r="A64" s="34"/>
      <c r="B64" s="3" t="s">
        <v>217</v>
      </c>
      <c r="C64" s="3" t="s">
        <v>104</v>
      </c>
      <c r="D64" s="3" t="s">
        <v>401</v>
      </c>
      <c r="E64" s="9">
        <v>0</v>
      </c>
      <c r="F64" s="3" t="s">
        <v>462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</row>
    <row r="65" spans="1:36" x14ac:dyDescent="0.45">
      <c r="A65" s="34" t="s">
        <v>219</v>
      </c>
      <c r="B65" s="3" t="s">
        <v>105</v>
      </c>
      <c r="C65" s="3" t="s">
        <v>106</v>
      </c>
      <c r="D65" s="3" t="s">
        <v>401</v>
      </c>
      <c r="E65" s="9">
        <v>54.392441999999996</v>
      </c>
      <c r="F65" s="3" t="s">
        <v>462</v>
      </c>
      <c r="G65" s="9">
        <f>$E$65-0.04*$E$65*(G1-2020)</f>
        <v>52.216744319999997</v>
      </c>
      <c r="H65" s="9">
        <f t="shared" ref="H65:AE65" si="11">$E$65-0.04*$E$65*(H1-2020)</f>
        <v>50.041046639999998</v>
      </c>
      <c r="I65" s="9">
        <f t="shared" si="11"/>
        <v>47.865348959999999</v>
      </c>
      <c r="J65" s="9">
        <f t="shared" si="11"/>
        <v>45.689651279999993</v>
      </c>
      <c r="K65" s="9">
        <f t="shared" si="11"/>
        <v>43.513953599999994</v>
      </c>
      <c r="L65" s="9">
        <f t="shared" si="11"/>
        <v>41.338255919999995</v>
      </c>
      <c r="M65" s="9">
        <f t="shared" si="11"/>
        <v>39.162558239999996</v>
      </c>
      <c r="N65" s="9">
        <f t="shared" si="11"/>
        <v>36.986860559999997</v>
      </c>
      <c r="O65" s="9">
        <f t="shared" si="11"/>
        <v>34.811162879999998</v>
      </c>
      <c r="P65" s="9">
        <f t="shared" si="11"/>
        <v>32.635465199999999</v>
      </c>
      <c r="Q65" s="9">
        <f t="shared" si="11"/>
        <v>30.459767519999996</v>
      </c>
      <c r="R65" s="9">
        <f t="shared" si="11"/>
        <v>28.284069839999997</v>
      </c>
      <c r="S65" s="9">
        <f t="shared" si="11"/>
        <v>26.108372159999998</v>
      </c>
      <c r="T65" s="9">
        <f t="shared" si="11"/>
        <v>23.932674479999996</v>
      </c>
      <c r="U65" s="9">
        <f t="shared" si="11"/>
        <v>21.756976799999997</v>
      </c>
      <c r="V65" s="9">
        <f t="shared" si="11"/>
        <v>19.581279119999998</v>
      </c>
      <c r="W65" s="9">
        <f t="shared" si="11"/>
        <v>17.405581439999999</v>
      </c>
      <c r="X65" s="9">
        <f t="shared" si="11"/>
        <v>15.22988376</v>
      </c>
      <c r="Y65" s="9">
        <f t="shared" si="11"/>
        <v>13.054186080000001</v>
      </c>
      <c r="Z65" s="9">
        <f t="shared" si="11"/>
        <v>10.878488400000002</v>
      </c>
      <c r="AA65" s="9">
        <f t="shared" si="11"/>
        <v>8.7027907199999959</v>
      </c>
      <c r="AB65" s="9">
        <f t="shared" si="11"/>
        <v>6.5270930399999969</v>
      </c>
      <c r="AC65" s="9">
        <f t="shared" si="11"/>
        <v>4.3513953599999979</v>
      </c>
      <c r="AD65" s="9">
        <f t="shared" si="11"/>
        <v>2.175697679999999</v>
      </c>
      <c r="AE65" s="9">
        <f t="shared" si="11"/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</row>
    <row r="66" spans="1:36" x14ac:dyDescent="0.45">
      <c r="A66" s="34"/>
      <c r="B66" s="3" t="s">
        <v>107</v>
      </c>
      <c r="C66" s="3" t="s">
        <v>108</v>
      </c>
      <c r="D66" s="3" t="s">
        <v>401</v>
      </c>
      <c r="E66" s="9">
        <v>17.937920000000002</v>
      </c>
      <c r="F66" s="3" t="s">
        <v>462</v>
      </c>
      <c r="G66" s="9">
        <f>$E$66-0.04*$E$66*(G1-2020)</f>
        <v>17.220403200000003</v>
      </c>
      <c r="H66" s="9">
        <f t="shared" ref="H66:AE66" si="12">$E$66-0.04*$E$66*(H1-2020)</f>
        <v>16.502886400000001</v>
      </c>
      <c r="I66" s="9">
        <f t="shared" si="12"/>
        <v>15.785369600000003</v>
      </c>
      <c r="J66" s="9">
        <f t="shared" si="12"/>
        <v>15.067852800000001</v>
      </c>
      <c r="K66" s="9">
        <f t="shared" si="12"/>
        <v>14.350336000000002</v>
      </c>
      <c r="L66" s="9">
        <f t="shared" si="12"/>
        <v>13.632819200000002</v>
      </c>
      <c r="M66" s="9">
        <f t="shared" si="12"/>
        <v>12.915302400000002</v>
      </c>
      <c r="N66" s="9">
        <f t="shared" si="12"/>
        <v>12.197785600000001</v>
      </c>
      <c r="O66" s="9">
        <f t="shared" si="12"/>
        <v>11.480268800000001</v>
      </c>
      <c r="P66" s="9">
        <f t="shared" si="12"/>
        <v>10.762752000000001</v>
      </c>
      <c r="Q66" s="9">
        <f t="shared" si="12"/>
        <v>10.0452352</v>
      </c>
      <c r="R66" s="9">
        <f t="shared" si="12"/>
        <v>9.327718400000002</v>
      </c>
      <c r="S66" s="9">
        <f t="shared" si="12"/>
        <v>8.6102016000000017</v>
      </c>
      <c r="T66" s="9">
        <f t="shared" si="12"/>
        <v>7.8926848000000014</v>
      </c>
      <c r="U66" s="9">
        <f t="shared" si="12"/>
        <v>7.1751680000000011</v>
      </c>
      <c r="V66" s="9">
        <f t="shared" si="12"/>
        <v>6.4576512000000008</v>
      </c>
      <c r="W66" s="9">
        <f t="shared" si="12"/>
        <v>5.7401344000000005</v>
      </c>
      <c r="X66" s="9">
        <f t="shared" si="12"/>
        <v>5.0226176000000002</v>
      </c>
      <c r="Y66" s="9">
        <f t="shared" si="12"/>
        <v>4.3051007999999999</v>
      </c>
      <c r="Z66" s="9">
        <f t="shared" si="12"/>
        <v>3.5875839999999997</v>
      </c>
      <c r="AA66" s="9">
        <f t="shared" si="12"/>
        <v>2.8700672000000012</v>
      </c>
      <c r="AB66" s="9">
        <f t="shared" si="12"/>
        <v>2.1525504000000009</v>
      </c>
      <c r="AC66" s="9">
        <f t="shared" si="12"/>
        <v>1.4350336000000006</v>
      </c>
      <c r="AD66" s="9">
        <f t="shared" si="12"/>
        <v>0.71751680000000206</v>
      </c>
      <c r="AE66" s="9">
        <f t="shared" si="12"/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</row>
    <row r="67" spans="1:36" x14ac:dyDescent="0.45">
      <c r="A67" s="34"/>
      <c r="B67" s="3" t="s">
        <v>109</v>
      </c>
      <c r="C67" s="3" t="s">
        <v>110</v>
      </c>
      <c r="D67" s="3" t="s">
        <v>401</v>
      </c>
      <c r="E67" s="9">
        <v>0</v>
      </c>
      <c r="F67" s="3" t="s">
        <v>462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</row>
    <row r="68" spans="1:36" x14ac:dyDescent="0.45">
      <c r="A68" s="34" t="s">
        <v>220</v>
      </c>
      <c r="B68" s="3" t="s">
        <v>111</v>
      </c>
      <c r="C68" s="3" t="s">
        <v>112</v>
      </c>
      <c r="D68" s="3" t="s">
        <v>401</v>
      </c>
      <c r="E68" s="9">
        <v>59.444422500000002</v>
      </c>
      <c r="F68" s="3" t="s">
        <v>462</v>
      </c>
      <c r="G68" s="9">
        <f>$E$68-0.04*$E$68*(G1-2020)</f>
        <v>57.066645600000001</v>
      </c>
      <c r="H68" s="9">
        <f t="shared" ref="H68:AE68" si="13">$E$68-0.04*$E$68*(H1-2020)</f>
        <v>54.6888687</v>
      </c>
      <c r="I68" s="9">
        <f t="shared" si="13"/>
        <v>52.3110918</v>
      </c>
      <c r="J68" s="9">
        <f t="shared" si="13"/>
        <v>49.933314899999999</v>
      </c>
      <c r="K68" s="9">
        <f t="shared" si="13"/>
        <v>47.555537999999999</v>
      </c>
      <c r="L68" s="9">
        <f t="shared" si="13"/>
        <v>45.177761099999998</v>
      </c>
      <c r="M68" s="9">
        <f t="shared" si="13"/>
        <v>42.799984199999997</v>
      </c>
      <c r="N68" s="9">
        <f t="shared" si="13"/>
        <v>40.422207299999997</v>
      </c>
      <c r="O68" s="9">
        <f t="shared" si="13"/>
        <v>38.044430399999996</v>
      </c>
      <c r="P68" s="9">
        <f t="shared" si="13"/>
        <v>35.666653499999995</v>
      </c>
      <c r="Q68" s="9">
        <f t="shared" si="13"/>
        <v>33.288876599999995</v>
      </c>
      <c r="R68" s="9">
        <f t="shared" si="13"/>
        <v>30.911099700000001</v>
      </c>
      <c r="S68" s="9">
        <f t="shared" si="13"/>
        <v>28.533322800000001</v>
      </c>
      <c r="T68" s="9">
        <f t="shared" si="13"/>
        <v>26.1555459</v>
      </c>
      <c r="U68" s="9">
        <f t="shared" si="13"/>
        <v>23.777768999999999</v>
      </c>
      <c r="V68" s="9">
        <f t="shared" si="13"/>
        <v>21.399992099999999</v>
      </c>
      <c r="W68" s="9">
        <f t="shared" si="13"/>
        <v>19.022215199999998</v>
      </c>
      <c r="X68" s="9">
        <f t="shared" si="13"/>
        <v>16.644438299999997</v>
      </c>
      <c r="Y68" s="9">
        <f t="shared" si="13"/>
        <v>14.266661399999997</v>
      </c>
      <c r="Z68" s="9">
        <f t="shared" si="13"/>
        <v>11.888884499999996</v>
      </c>
      <c r="AA68" s="9">
        <f t="shared" si="13"/>
        <v>9.5111075999999954</v>
      </c>
      <c r="AB68" s="9">
        <f t="shared" si="13"/>
        <v>7.1333306999999948</v>
      </c>
      <c r="AC68" s="9">
        <f t="shared" si="13"/>
        <v>4.7555537999999942</v>
      </c>
      <c r="AD68" s="9">
        <f t="shared" si="13"/>
        <v>2.3777769000000006</v>
      </c>
      <c r="AE68" s="9">
        <f t="shared" si="13"/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</row>
    <row r="69" spans="1:36" x14ac:dyDescent="0.45">
      <c r="A69" s="34"/>
      <c r="B69" s="3" t="s">
        <v>113</v>
      </c>
      <c r="C69" s="3" t="s">
        <v>114</v>
      </c>
      <c r="D69" s="3" t="s">
        <v>401</v>
      </c>
      <c r="E69" s="9">
        <v>0</v>
      </c>
      <c r="F69" s="3" t="s">
        <v>462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</row>
    <row r="70" spans="1:36" x14ac:dyDescent="0.45">
      <c r="A70" s="34" t="s">
        <v>221</v>
      </c>
      <c r="B70" s="3" t="s">
        <v>115</v>
      </c>
      <c r="C70" s="3" t="s">
        <v>116</v>
      </c>
      <c r="D70" s="3" t="s">
        <v>401</v>
      </c>
      <c r="E70" s="9">
        <v>23.723934857142861</v>
      </c>
      <c r="F70" s="3" t="s">
        <v>462</v>
      </c>
      <c r="G70" s="9">
        <f>$E$70-0.04*$E$70*(G1-2020)</f>
        <v>22.774977462857148</v>
      </c>
      <c r="H70" s="9">
        <f t="shared" ref="H70:AE70" si="14">$E$70-0.04*$E$70*(H1-2020)</f>
        <v>21.826020068571431</v>
      </c>
      <c r="I70" s="9">
        <f t="shared" si="14"/>
        <v>20.877062674285717</v>
      </c>
      <c r="J70" s="9">
        <f t="shared" si="14"/>
        <v>19.928105280000004</v>
      </c>
      <c r="K70" s="9">
        <f t="shared" si="14"/>
        <v>18.979147885714291</v>
      </c>
      <c r="L70" s="9">
        <f t="shared" si="14"/>
        <v>18.030190491428574</v>
      </c>
      <c r="M70" s="9">
        <f t="shared" si="14"/>
        <v>17.08123309714286</v>
      </c>
      <c r="N70" s="9">
        <f t="shared" si="14"/>
        <v>16.132275702857147</v>
      </c>
      <c r="O70" s="9">
        <f t="shared" si="14"/>
        <v>15.183318308571431</v>
      </c>
      <c r="P70" s="9">
        <f t="shared" si="14"/>
        <v>14.234360914285716</v>
      </c>
      <c r="Q70" s="9">
        <f t="shared" si="14"/>
        <v>13.285403520000003</v>
      </c>
      <c r="R70" s="9">
        <f t="shared" si="14"/>
        <v>12.336446125714287</v>
      </c>
      <c r="S70" s="9">
        <f t="shared" si="14"/>
        <v>11.387488731428574</v>
      </c>
      <c r="T70" s="9">
        <f t="shared" si="14"/>
        <v>10.438531337142859</v>
      </c>
      <c r="U70" s="9">
        <f t="shared" si="14"/>
        <v>9.4895739428571453</v>
      </c>
      <c r="V70" s="9">
        <f t="shared" si="14"/>
        <v>8.54061654857143</v>
      </c>
      <c r="W70" s="9">
        <f t="shared" si="14"/>
        <v>7.5916591542857148</v>
      </c>
      <c r="X70" s="9">
        <f t="shared" si="14"/>
        <v>6.6427017600000013</v>
      </c>
      <c r="Y70" s="9">
        <f t="shared" si="14"/>
        <v>5.6937443657142879</v>
      </c>
      <c r="Z70" s="9">
        <f t="shared" si="14"/>
        <v>4.7447869714285709</v>
      </c>
      <c r="AA70" s="9">
        <f t="shared" si="14"/>
        <v>3.7958295771428574</v>
      </c>
      <c r="AB70" s="9">
        <f t="shared" si="14"/>
        <v>2.8468721828571439</v>
      </c>
      <c r="AC70" s="9">
        <f t="shared" si="14"/>
        <v>1.8979147885714305</v>
      </c>
      <c r="AD70" s="9">
        <f t="shared" si="14"/>
        <v>0.94895739428571346</v>
      </c>
      <c r="AE70" s="9">
        <f t="shared" si="14"/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</row>
    <row r="71" spans="1:36" x14ac:dyDescent="0.45">
      <c r="A71" s="34"/>
      <c r="B71" s="3" t="s">
        <v>117</v>
      </c>
      <c r="C71" s="3" t="s">
        <v>118</v>
      </c>
      <c r="D71" s="3" t="s">
        <v>401</v>
      </c>
      <c r="E71" s="9">
        <v>17.880356571428571</v>
      </c>
      <c r="F71" s="3" t="s">
        <v>462</v>
      </c>
      <c r="G71" s="9">
        <f>$E$71-0.04*$E$71*(G1-2020)</f>
        <v>17.165142308571429</v>
      </c>
      <c r="H71" s="9">
        <f t="shared" ref="H71:AE71" si="15">$E$71-0.04*$E$71*(H1-2020)</f>
        <v>16.449928045714284</v>
      </c>
      <c r="I71" s="9">
        <f t="shared" si="15"/>
        <v>15.734713782857142</v>
      </c>
      <c r="J71" s="9">
        <f t="shared" si="15"/>
        <v>15.01949952</v>
      </c>
      <c r="K71" s="9">
        <f t="shared" si="15"/>
        <v>14.304285257142856</v>
      </c>
      <c r="L71" s="9">
        <f t="shared" si="15"/>
        <v>13.589070994285713</v>
      </c>
      <c r="M71" s="9">
        <f t="shared" si="15"/>
        <v>12.873856731428571</v>
      </c>
      <c r="N71" s="9">
        <f t="shared" si="15"/>
        <v>12.158642468571429</v>
      </c>
      <c r="O71" s="9">
        <f t="shared" si="15"/>
        <v>11.443428205714286</v>
      </c>
      <c r="P71" s="9">
        <f t="shared" si="15"/>
        <v>10.728213942857142</v>
      </c>
      <c r="Q71" s="9">
        <f t="shared" si="15"/>
        <v>10.01299968</v>
      </c>
      <c r="R71" s="9">
        <f t="shared" si="15"/>
        <v>9.2977854171428564</v>
      </c>
      <c r="S71" s="9">
        <f t="shared" si="15"/>
        <v>8.5825711542857146</v>
      </c>
      <c r="T71" s="9">
        <f t="shared" si="15"/>
        <v>7.867356891428571</v>
      </c>
      <c r="U71" s="9">
        <f t="shared" si="15"/>
        <v>7.1521426285714291</v>
      </c>
      <c r="V71" s="9">
        <f t="shared" si="15"/>
        <v>6.4369283657142855</v>
      </c>
      <c r="W71" s="9">
        <f t="shared" si="15"/>
        <v>5.7217141028571419</v>
      </c>
      <c r="X71" s="9">
        <f t="shared" si="15"/>
        <v>5.00649984</v>
      </c>
      <c r="Y71" s="9">
        <f t="shared" si="15"/>
        <v>4.2912855771428564</v>
      </c>
      <c r="Z71" s="9">
        <f t="shared" si="15"/>
        <v>3.5760713142857146</v>
      </c>
      <c r="AA71" s="9">
        <f t="shared" si="15"/>
        <v>2.8608570514285709</v>
      </c>
      <c r="AB71" s="9">
        <f t="shared" si="15"/>
        <v>2.1456427885714291</v>
      </c>
      <c r="AC71" s="9">
        <f t="shared" si="15"/>
        <v>1.4304285257142872</v>
      </c>
      <c r="AD71" s="9">
        <f t="shared" si="15"/>
        <v>0.71521426285714185</v>
      </c>
      <c r="AE71" s="9">
        <f t="shared" si="15"/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</row>
    <row r="72" spans="1:36" x14ac:dyDescent="0.45">
      <c r="A72" s="34"/>
      <c r="B72" s="3" t="s">
        <v>119</v>
      </c>
      <c r="C72" s="3" t="s">
        <v>120</v>
      </c>
      <c r="D72" s="3" t="s">
        <v>401</v>
      </c>
      <c r="E72" s="9">
        <v>9.1447714285714294</v>
      </c>
      <c r="F72" s="3" t="s">
        <v>462</v>
      </c>
      <c r="G72" s="9">
        <f>$E$72-0.05*$E$72*(G1-2020)</f>
        <v>8.6875328571428572</v>
      </c>
      <c r="H72" s="9">
        <f t="shared" ref="H72:Z72" si="16">$E$72-0.05*$E$72*(H1-2020)</f>
        <v>8.2302942857142867</v>
      </c>
      <c r="I72" s="9">
        <f t="shared" si="16"/>
        <v>7.7730557142857144</v>
      </c>
      <c r="J72" s="9">
        <f t="shared" si="16"/>
        <v>7.3158171428571439</v>
      </c>
      <c r="K72" s="9">
        <f t="shared" si="16"/>
        <v>6.8585785714285716</v>
      </c>
      <c r="L72" s="9">
        <f t="shared" si="16"/>
        <v>6.4013400000000003</v>
      </c>
      <c r="M72" s="9">
        <f t="shared" si="16"/>
        <v>5.9441014285714289</v>
      </c>
      <c r="N72" s="9">
        <f t="shared" si="16"/>
        <v>5.4868628571428575</v>
      </c>
      <c r="O72" s="9">
        <f t="shared" si="16"/>
        <v>5.0296242857142861</v>
      </c>
      <c r="P72" s="9">
        <f t="shared" si="16"/>
        <v>4.5723857142857147</v>
      </c>
      <c r="Q72" s="9">
        <f t="shared" si="16"/>
        <v>4.1151471428571433</v>
      </c>
      <c r="R72" s="9">
        <f t="shared" si="16"/>
        <v>3.6579085714285711</v>
      </c>
      <c r="S72" s="9">
        <f t="shared" si="16"/>
        <v>3.2006699999999997</v>
      </c>
      <c r="T72" s="9">
        <f t="shared" si="16"/>
        <v>2.7434314285714283</v>
      </c>
      <c r="U72" s="9">
        <f t="shared" si="16"/>
        <v>2.2861928571428569</v>
      </c>
      <c r="V72" s="9">
        <f t="shared" si="16"/>
        <v>1.8289542857142855</v>
      </c>
      <c r="W72" s="9">
        <f t="shared" si="16"/>
        <v>1.3717157142857141</v>
      </c>
      <c r="X72" s="9">
        <f t="shared" si="16"/>
        <v>0.91447714285714277</v>
      </c>
      <c r="Y72" s="9">
        <f t="shared" si="16"/>
        <v>0.45723857142857049</v>
      </c>
      <c r="Z72" s="9">
        <f t="shared" si="16"/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</row>
    <row r="73" spans="1:36" x14ac:dyDescent="0.45">
      <c r="A73" s="34"/>
      <c r="B73" s="3" t="s">
        <v>121</v>
      </c>
      <c r="C73" s="3" t="s">
        <v>122</v>
      </c>
      <c r="D73" s="3" t="s">
        <v>401</v>
      </c>
      <c r="E73" s="9">
        <v>0</v>
      </c>
      <c r="F73" s="3" t="s">
        <v>462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</row>
    <row r="74" spans="1:36" x14ac:dyDescent="0.45">
      <c r="A74" s="34" t="s">
        <v>222</v>
      </c>
      <c r="B74" s="3" t="s">
        <v>123</v>
      </c>
      <c r="C74" s="3" t="s">
        <v>124</v>
      </c>
      <c r="D74" s="3" t="s">
        <v>401</v>
      </c>
      <c r="E74" s="9">
        <v>26.061924999999999</v>
      </c>
      <c r="F74" s="3" t="s">
        <v>462</v>
      </c>
      <c r="G74" s="9">
        <f>$E$74-0.04*$E$74*(G1-2020)</f>
        <v>25.019447999999997</v>
      </c>
      <c r="H74" s="9">
        <f t="shared" ref="H74:AE74" si="17">$E$74-0.04*$E$74*(H1-2020)</f>
        <v>23.976970999999999</v>
      </c>
      <c r="I74" s="9">
        <f t="shared" si="17"/>
        <v>22.934494000000001</v>
      </c>
      <c r="J74" s="9">
        <f t="shared" si="17"/>
        <v>21.892016999999999</v>
      </c>
      <c r="K74" s="9">
        <f t="shared" si="17"/>
        <v>20.849539999999998</v>
      </c>
      <c r="L74" s="9">
        <f t="shared" si="17"/>
        <v>19.807062999999999</v>
      </c>
      <c r="M74" s="9">
        <f t="shared" si="17"/>
        <v>18.764586000000001</v>
      </c>
      <c r="N74" s="9">
        <f t="shared" si="17"/>
        <v>17.722109</v>
      </c>
      <c r="O74" s="9">
        <f t="shared" si="17"/>
        <v>16.679631999999998</v>
      </c>
      <c r="P74" s="9">
        <f t="shared" si="17"/>
        <v>15.637155</v>
      </c>
      <c r="Q74" s="9">
        <f t="shared" si="17"/>
        <v>14.594678</v>
      </c>
      <c r="R74" s="9">
        <f t="shared" si="17"/>
        <v>13.552201</v>
      </c>
      <c r="S74" s="9">
        <f t="shared" si="17"/>
        <v>12.509724</v>
      </c>
      <c r="T74" s="9">
        <f t="shared" si="17"/>
        <v>11.467247</v>
      </c>
      <c r="U74" s="9">
        <f t="shared" si="17"/>
        <v>10.424770000000001</v>
      </c>
      <c r="V74" s="9">
        <f t="shared" si="17"/>
        <v>9.3822930000000007</v>
      </c>
      <c r="W74" s="9">
        <f t="shared" si="17"/>
        <v>8.3398160000000026</v>
      </c>
      <c r="X74" s="9">
        <f t="shared" si="17"/>
        <v>7.2973390000000009</v>
      </c>
      <c r="Y74" s="9">
        <f t="shared" si="17"/>
        <v>6.2548619999999993</v>
      </c>
      <c r="Z74" s="9">
        <f t="shared" si="17"/>
        <v>5.2123850000000012</v>
      </c>
      <c r="AA74" s="9">
        <f t="shared" si="17"/>
        <v>4.1699080000000031</v>
      </c>
      <c r="AB74" s="9">
        <f t="shared" si="17"/>
        <v>3.1274310000000014</v>
      </c>
      <c r="AC74" s="9">
        <f t="shared" si="17"/>
        <v>2.0849539999999998</v>
      </c>
      <c r="AD74" s="9">
        <f t="shared" si="17"/>
        <v>1.0424770000000017</v>
      </c>
      <c r="AE74" s="9">
        <f t="shared" si="17"/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</row>
    <row r="75" spans="1:36" x14ac:dyDescent="0.45">
      <c r="A75" s="34"/>
      <c r="B75" s="3" t="s">
        <v>125</v>
      </c>
      <c r="C75" s="3" t="s">
        <v>126</v>
      </c>
      <c r="D75" s="3" t="s">
        <v>401</v>
      </c>
      <c r="E75" s="9">
        <v>0</v>
      </c>
      <c r="F75" s="3" t="s">
        <v>462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</row>
    <row r="76" spans="1:36" x14ac:dyDescent="0.45">
      <c r="A76" s="34" t="s">
        <v>223</v>
      </c>
      <c r="B76" s="3" t="s">
        <v>127</v>
      </c>
      <c r="C76" s="3" t="s">
        <v>128</v>
      </c>
      <c r="D76" s="3" t="s">
        <v>401</v>
      </c>
      <c r="E76" s="9">
        <v>12.44053885714286</v>
      </c>
      <c r="F76" s="3" t="s">
        <v>462</v>
      </c>
      <c r="G76" s="9">
        <f>$E$76-0.04*$E$76*(G1-2020)</f>
        <v>11.942917302857145</v>
      </c>
      <c r="H76" s="9">
        <f t="shared" ref="H76:AE76" si="18">$E$76-0.04*$E$76*(H1-2020)</f>
        <v>11.44529574857143</v>
      </c>
      <c r="I76" s="9">
        <f t="shared" si="18"/>
        <v>10.947674194285717</v>
      </c>
      <c r="J76" s="9">
        <f t="shared" si="18"/>
        <v>10.450052640000003</v>
      </c>
      <c r="K76" s="9">
        <f t="shared" si="18"/>
        <v>9.9524310857142879</v>
      </c>
      <c r="L76" s="9">
        <f t="shared" si="18"/>
        <v>9.4548095314285732</v>
      </c>
      <c r="M76" s="9">
        <f t="shared" si="18"/>
        <v>8.9571879771428584</v>
      </c>
      <c r="N76" s="9">
        <f t="shared" si="18"/>
        <v>8.4595664228571437</v>
      </c>
      <c r="O76" s="9">
        <f t="shared" si="18"/>
        <v>7.9619448685714298</v>
      </c>
      <c r="P76" s="9">
        <f t="shared" si="18"/>
        <v>7.4643233142857159</v>
      </c>
      <c r="Q76" s="9">
        <f t="shared" si="18"/>
        <v>6.9667017600000012</v>
      </c>
      <c r="R76" s="9">
        <f t="shared" si="18"/>
        <v>6.4690802057142864</v>
      </c>
      <c r="S76" s="9">
        <f t="shared" si="18"/>
        <v>5.9714586514285726</v>
      </c>
      <c r="T76" s="9">
        <f t="shared" si="18"/>
        <v>5.4738370971428578</v>
      </c>
      <c r="U76" s="9">
        <f t="shared" si="18"/>
        <v>4.976215542857144</v>
      </c>
      <c r="V76" s="9">
        <f t="shared" si="18"/>
        <v>4.4785939885714292</v>
      </c>
      <c r="W76" s="9">
        <f t="shared" si="18"/>
        <v>3.9809724342857145</v>
      </c>
      <c r="X76" s="9">
        <f t="shared" si="18"/>
        <v>3.4833508799999997</v>
      </c>
      <c r="Y76" s="9">
        <f t="shared" si="18"/>
        <v>2.9857293257142867</v>
      </c>
      <c r="Z76" s="9">
        <f t="shared" si="18"/>
        <v>2.488107771428572</v>
      </c>
      <c r="AA76" s="9">
        <f t="shared" si="18"/>
        <v>1.9904862171428572</v>
      </c>
      <c r="AB76" s="9">
        <f t="shared" si="18"/>
        <v>1.4928646628571425</v>
      </c>
      <c r="AC76" s="9">
        <f t="shared" si="18"/>
        <v>0.99524310857142773</v>
      </c>
      <c r="AD76" s="9">
        <f t="shared" si="18"/>
        <v>0.49762155428571297</v>
      </c>
      <c r="AE76" s="9">
        <f t="shared" si="18"/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</row>
    <row r="77" spans="1:36" x14ac:dyDescent="0.45">
      <c r="A77" s="34"/>
      <c r="B77" s="3" t="s">
        <v>129</v>
      </c>
      <c r="C77" s="3" t="s">
        <v>130</v>
      </c>
      <c r="D77" s="3" t="s">
        <v>401</v>
      </c>
      <c r="E77" s="9">
        <v>6.1539479999999998</v>
      </c>
      <c r="F77" s="3" t="s">
        <v>462</v>
      </c>
      <c r="G77" s="9">
        <f>$E$77-0.04*$E$77*(G1-2020)</f>
        <v>5.9077900799999998</v>
      </c>
      <c r="H77" s="9">
        <f t="shared" ref="H77:AE77" si="19">$E$77-0.04*$E$77*(H1-2020)</f>
        <v>5.6616321599999999</v>
      </c>
      <c r="I77" s="9">
        <f t="shared" si="19"/>
        <v>5.41547424</v>
      </c>
      <c r="J77" s="9">
        <f t="shared" si="19"/>
        <v>5.1693163200000001</v>
      </c>
      <c r="K77" s="9">
        <f t="shared" si="19"/>
        <v>4.9231584000000002</v>
      </c>
      <c r="L77" s="9">
        <f t="shared" si="19"/>
        <v>4.6770004800000002</v>
      </c>
      <c r="M77" s="9">
        <f t="shared" si="19"/>
        <v>4.4308425599999994</v>
      </c>
      <c r="N77" s="9">
        <f t="shared" si="19"/>
        <v>4.1846846399999995</v>
      </c>
      <c r="O77" s="9">
        <f t="shared" si="19"/>
        <v>3.9385267199999996</v>
      </c>
      <c r="P77" s="9">
        <f t="shared" si="19"/>
        <v>3.6923687999999997</v>
      </c>
      <c r="Q77" s="9">
        <f t="shared" si="19"/>
        <v>3.4462108799999998</v>
      </c>
      <c r="R77" s="9">
        <f t="shared" si="19"/>
        <v>3.2000529599999998</v>
      </c>
      <c r="S77" s="9">
        <f t="shared" si="19"/>
        <v>2.9538950399999999</v>
      </c>
      <c r="T77" s="9">
        <f t="shared" si="19"/>
        <v>2.7077371199999996</v>
      </c>
      <c r="U77" s="9">
        <f t="shared" si="19"/>
        <v>2.4615791999999996</v>
      </c>
      <c r="V77" s="9">
        <f t="shared" si="19"/>
        <v>2.2154212799999997</v>
      </c>
      <c r="W77" s="9">
        <f t="shared" si="19"/>
        <v>1.9692633599999994</v>
      </c>
      <c r="X77" s="9">
        <f t="shared" si="19"/>
        <v>1.7231054399999994</v>
      </c>
      <c r="Y77" s="9">
        <f t="shared" si="19"/>
        <v>1.4769475199999995</v>
      </c>
      <c r="Z77" s="9">
        <f t="shared" si="19"/>
        <v>1.2307895999999996</v>
      </c>
      <c r="AA77" s="9">
        <f t="shared" si="19"/>
        <v>0.98463167999999968</v>
      </c>
      <c r="AB77" s="9">
        <f t="shared" si="19"/>
        <v>0.73847375999999976</v>
      </c>
      <c r="AC77" s="9">
        <f t="shared" si="19"/>
        <v>0.49231583999999984</v>
      </c>
      <c r="AD77" s="9">
        <f t="shared" si="19"/>
        <v>0.24615791999999992</v>
      </c>
      <c r="AE77" s="9">
        <f t="shared" si="19"/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</row>
    <row r="78" spans="1:36" x14ac:dyDescent="0.45">
      <c r="A78" s="34"/>
      <c r="B78" s="3" t="s">
        <v>131</v>
      </c>
      <c r="C78" s="3" t="s">
        <v>132</v>
      </c>
      <c r="D78" s="3" t="s">
        <v>401</v>
      </c>
      <c r="E78" s="9">
        <v>6.5533388571428581</v>
      </c>
      <c r="F78" s="3" t="s">
        <v>462</v>
      </c>
      <c r="G78" s="9">
        <f>$E$78-0.04*$E$78*(G1-2020)</f>
        <v>6.2912053028571435</v>
      </c>
      <c r="H78" s="9">
        <f t="shared" ref="H78:AE78" si="20">$E$78-0.04*$E$78*(H1-2020)</f>
        <v>6.0290717485714298</v>
      </c>
      <c r="I78" s="9">
        <f t="shared" si="20"/>
        <v>5.7669381942857152</v>
      </c>
      <c r="J78" s="9">
        <f t="shared" si="20"/>
        <v>5.5048046400000006</v>
      </c>
      <c r="K78" s="9">
        <f t="shared" si="20"/>
        <v>5.2426710857142869</v>
      </c>
      <c r="L78" s="9">
        <f t="shared" si="20"/>
        <v>4.9805375314285723</v>
      </c>
      <c r="M78" s="9">
        <f t="shared" si="20"/>
        <v>4.7184039771428576</v>
      </c>
      <c r="N78" s="9">
        <f t="shared" si="20"/>
        <v>4.456270422857143</v>
      </c>
      <c r="O78" s="9">
        <f t="shared" si="20"/>
        <v>4.1941368685714293</v>
      </c>
      <c r="P78" s="9">
        <f t="shared" si="20"/>
        <v>3.9320033142857147</v>
      </c>
      <c r="Q78" s="9">
        <f t="shared" si="20"/>
        <v>3.6698697600000005</v>
      </c>
      <c r="R78" s="9">
        <f t="shared" si="20"/>
        <v>3.4077362057142864</v>
      </c>
      <c r="S78" s="9">
        <f t="shared" si="20"/>
        <v>3.1456026514285718</v>
      </c>
      <c r="T78" s="9">
        <f t="shared" si="20"/>
        <v>2.8834690971428576</v>
      </c>
      <c r="U78" s="9">
        <f t="shared" si="20"/>
        <v>2.621335542857143</v>
      </c>
      <c r="V78" s="9">
        <f t="shared" si="20"/>
        <v>2.3592019885714288</v>
      </c>
      <c r="W78" s="9">
        <f t="shared" si="20"/>
        <v>2.0970684342857142</v>
      </c>
      <c r="X78" s="9">
        <f t="shared" si="20"/>
        <v>1.8349348800000005</v>
      </c>
      <c r="Y78" s="9">
        <f t="shared" si="20"/>
        <v>1.5728013257142859</v>
      </c>
      <c r="Z78" s="9">
        <f t="shared" si="20"/>
        <v>1.3106677714285713</v>
      </c>
      <c r="AA78" s="9">
        <f t="shared" si="20"/>
        <v>1.0485342171428575</v>
      </c>
      <c r="AB78" s="9">
        <f t="shared" si="20"/>
        <v>0.78640066285714294</v>
      </c>
      <c r="AC78" s="9">
        <f t="shared" si="20"/>
        <v>0.52426710857142833</v>
      </c>
      <c r="AD78" s="9">
        <f t="shared" si="20"/>
        <v>0.26213355428571461</v>
      </c>
      <c r="AE78" s="9">
        <f t="shared" si="20"/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</row>
    <row r="79" spans="1:36" x14ac:dyDescent="0.45">
      <c r="A79" s="34"/>
      <c r="B79" s="3" t="s">
        <v>133</v>
      </c>
      <c r="C79" s="3" t="s">
        <v>134</v>
      </c>
      <c r="D79" s="3" t="s">
        <v>401</v>
      </c>
      <c r="E79" s="9">
        <v>10.969200000000001</v>
      </c>
      <c r="F79" s="3" t="s">
        <v>462</v>
      </c>
      <c r="G79" s="9">
        <f>$E$79-0.05*$E$79*(G1-2020)</f>
        <v>10.42074</v>
      </c>
      <c r="H79" s="9">
        <f t="shared" ref="H79:Z79" si="21">$E$79-0.05*$E$79*(H1-2020)</f>
        <v>9.8722799999999999</v>
      </c>
      <c r="I79" s="9">
        <f t="shared" si="21"/>
        <v>9.3238200000000013</v>
      </c>
      <c r="J79" s="9">
        <f t="shared" si="21"/>
        <v>8.7753600000000009</v>
      </c>
      <c r="K79" s="9">
        <f t="shared" si="21"/>
        <v>8.2269000000000005</v>
      </c>
      <c r="L79" s="9">
        <f t="shared" si="21"/>
        <v>7.6784400000000002</v>
      </c>
      <c r="M79" s="9">
        <f t="shared" si="21"/>
        <v>7.1299799999999998</v>
      </c>
      <c r="N79" s="9">
        <f t="shared" si="21"/>
        <v>6.5815200000000003</v>
      </c>
      <c r="O79" s="9">
        <f t="shared" si="21"/>
        <v>6.0330599999999999</v>
      </c>
      <c r="P79" s="9">
        <f t="shared" si="21"/>
        <v>5.4846000000000004</v>
      </c>
      <c r="Q79" s="9">
        <f t="shared" si="21"/>
        <v>4.93614</v>
      </c>
      <c r="R79" s="9">
        <f t="shared" si="21"/>
        <v>4.3876799999999996</v>
      </c>
      <c r="S79" s="9">
        <f t="shared" si="21"/>
        <v>3.8392200000000001</v>
      </c>
      <c r="T79" s="9">
        <f t="shared" si="21"/>
        <v>3.2907599999999997</v>
      </c>
      <c r="U79" s="9">
        <f t="shared" si="21"/>
        <v>2.7423000000000002</v>
      </c>
      <c r="V79" s="9">
        <f t="shared" si="21"/>
        <v>2.1938399999999998</v>
      </c>
      <c r="W79" s="9">
        <f t="shared" si="21"/>
        <v>1.6453799999999994</v>
      </c>
      <c r="X79" s="9">
        <f t="shared" si="21"/>
        <v>1.096919999999999</v>
      </c>
      <c r="Y79" s="9">
        <f t="shared" si="21"/>
        <v>0.54846000000000039</v>
      </c>
      <c r="Z79" s="9">
        <f t="shared" si="21"/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</row>
    <row r="80" spans="1:36" x14ac:dyDescent="0.45">
      <c r="A80" s="34"/>
      <c r="B80" s="3" t="s">
        <v>135</v>
      </c>
      <c r="C80" s="3" t="s">
        <v>136</v>
      </c>
      <c r="D80" s="3" t="s">
        <v>401</v>
      </c>
      <c r="E80" s="9">
        <v>0</v>
      </c>
      <c r="F80" s="3" t="s">
        <v>462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</row>
    <row r="81" spans="1:36" x14ac:dyDescent="0.45">
      <c r="A81" s="34" t="s">
        <v>224</v>
      </c>
      <c r="B81" s="3" t="s">
        <v>137</v>
      </c>
      <c r="C81" s="3" t="s">
        <v>138</v>
      </c>
      <c r="D81" s="3" t="s">
        <v>401</v>
      </c>
      <c r="E81" s="9">
        <v>10.114037142857143</v>
      </c>
      <c r="F81" s="3" t="s">
        <v>462</v>
      </c>
      <c r="G81" s="9">
        <f>$E$81-0.04*$E$81*(G1-2020)</f>
        <v>9.7094756571428569</v>
      </c>
      <c r="H81" s="9">
        <f t="shared" ref="H81:AE81" si="22">$E$81-0.04*$E$81*(H1-2020)</f>
        <v>9.304914171428571</v>
      </c>
      <c r="I81" s="9">
        <f t="shared" si="22"/>
        <v>8.9003526857142852</v>
      </c>
      <c r="J81" s="9">
        <f t="shared" si="22"/>
        <v>8.4957911999999993</v>
      </c>
      <c r="K81" s="9">
        <f t="shared" si="22"/>
        <v>8.0912297142857135</v>
      </c>
      <c r="L81" s="9">
        <f t="shared" si="22"/>
        <v>7.6866682285714285</v>
      </c>
      <c r="M81" s="9">
        <f t="shared" si="22"/>
        <v>7.2821067428571427</v>
      </c>
      <c r="N81" s="9">
        <f t="shared" si="22"/>
        <v>6.8775452571428568</v>
      </c>
      <c r="O81" s="9">
        <f t="shared" si="22"/>
        <v>6.472983771428571</v>
      </c>
      <c r="P81" s="9">
        <f t="shared" si="22"/>
        <v>6.0684222857142851</v>
      </c>
      <c r="Q81" s="9">
        <f t="shared" si="22"/>
        <v>5.6638607999999993</v>
      </c>
      <c r="R81" s="9">
        <f t="shared" si="22"/>
        <v>5.2592993142857143</v>
      </c>
      <c r="S81" s="9">
        <f t="shared" si="22"/>
        <v>4.8547378285714284</v>
      </c>
      <c r="T81" s="9">
        <f t="shared" si="22"/>
        <v>4.4501763428571426</v>
      </c>
      <c r="U81" s="9">
        <f t="shared" si="22"/>
        <v>4.0456148571428567</v>
      </c>
      <c r="V81" s="9">
        <f t="shared" si="22"/>
        <v>3.6410533714285709</v>
      </c>
      <c r="W81" s="9">
        <f t="shared" si="22"/>
        <v>3.236491885714285</v>
      </c>
      <c r="X81" s="9">
        <f t="shared" si="22"/>
        <v>2.8319303999999992</v>
      </c>
      <c r="Y81" s="9">
        <f t="shared" si="22"/>
        <v>2.4273689142857133</v>
      </c>
      <c r="Z81" s="9">
        <f t="shared" si="22"/>
        <v>2.0228074285714275</v>
      </c>
      <c r="AA81" s="9">
        <f t="shared" si="22"/>
        <v>1.6182459428571416</v>
      </c>
      <c r="AB81" s="9">
        <f t="shared" si="22"/>
        <v>1.2136844571428558</v>
      </c>
      <c r="AC81" s="9">
        <f t="shared" si="22"/>
        <v>0.80912297142856993</v>
      </c>
      <c r="AD81" s="9">
        <f t="shared" si="22"/>
        <v>0.40456148571428585</v>
      </c>
      <c r="AE81" s="9">
        <f t="shared" si="22"/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</row>
    <row r="82" spans="1:36" x14ac:dyDescent="0.45">
      <c r="A82" s="34"/>
      <c r="B82" s="3" t="s">
        <v>139</v>
      </c>
      <c r="C82" s="3" t="s">
        <v>140</v>
      </c>
      <c r="D82" s="3" t="s">
        <v>401</v>
      </c>
      <c r="E82" s="9">
        <v>9.5527800000000003</v>
      </c>
      <c r="F82" s="3" t="s">
        <v>462</v>
      </c>
      <c r="G82" s="9">
        <f>$E$82-0.04*$E$82*(G1-2020)</f>
        <v>9.1706687999999996</v>
      </c>
      <c r="H82" s="9">
        <f t="shared" ref="H82:AE82" si="23">$E$82-0.04*$E$82*(H1-2020)</f>
        <v>8.7885576000000007</v>
      </c>
      <c r="I82" s="9">
        <f t="shared" si="23"/>
        <v>8.4064464000000001</v>
      </c>
      <c r="J82" s="9">
        <f t="shared" si="23"/>
        <v>8.0243351999999994</v>
      </c>
      <c r="K82" s="9">
        <f t="shared" si="23"/>
        <v>7.6422240000000006</v>
      </c>
      <c r="L82" s="9">
        <f t="shared" si="23"/>
        <v>7.2601127999999999</v>
      </c>
      <c r="M82" s="9">
        <f t="shared" si="23"/>
        <v>6.8780016000000002</v>
      </c>
      <c r="N82" s="9">
        <f t="shared" si="23"/>
        <v>6.4958904000000004</v>
      </c>
      <c r="O82" s="9">
        <f t="shared" si="23"/>
        <v>6.1137791999999997</v>
      </c>
      <c r="P82" s="9">
        <f t="shared" si="23"/>
        <v>5.731668</v>
      </c>
      <c r="Q82" s="9">
        <f t="shared" si="23"/>
        <v>5.3495568000000002</v>
      </c>
      <c r="R82" s="9">
        <f t="shared" si="23"/>
        <v>4.9674455999999996</v>
      </c>
      <c r="S82" s="9">
        <f t="shared" si="23"/>
        <v>4.5853343999999998</v>
      </c>
      <c r="T82" s="9">
        <f t="shared" si="23"/>
        <v>4.2032232</v>
      </c>
      <c r="U82" s="9">
        <f t="shared" si="23"/>
        <v>3.8211119999999994</v>
      </c>
      <c r="V82" s="9">
        <f t="shared" si="23"/>
        <v>3.4390007999999996</v>
      </c>
      <c r="W82" s="9">
        <f t="shared" si="23"/>
        <v>3.0568895999999999</v>
      </c>
      <c r="X82" s="9">
        <f t="shared" si="23"/>
        <v>2.6747783999999992</v>
      </c>
      <c r="Y82" s="9">
        <f t="shared" si="23"/>
        <v>2.2926671999999995</v>
      </c>
      <c r="Z82" s="9">
        <f t="shared" si="23"/>
        <v>1.9105559999999997</v>
      </c>
      <c r="AA82" s="9">
        <f t="shared" si="23"/>
        <v>1.528444799999999</v>
      </c>
      <c r="AB82" s="9">
        <f t="shared" si="23"/>
        <v>1.1463336000000002</v>
      </c>
      <c r="AC82" s="9">
        <f t="shared" si="23"/>
        <v>0.76422239999999952</v>
      </c>
      <c r="AD82" s="9">
        <f t="shared" si="23"/>
        <v>0.38211119999999887</v>
      </c>
      <c r="AE82" s="9">
        <f t="shared" si="23"/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</row>
    <row r="83" spans="1:36" x14ac:dyDescent="0.45">
      <c r="A83" s="34"/>
      <c r="B83" s="3" t="s">
        <v>141</v>
      </c>
      <c r="C83" s="3" t="s">
        <v>142</v>
      </c>
      <c r="D83" s="3" t="s">
        <v>401</v>
      </c>
      <c r="E83" s="9">
        <v>32.344714285714289</v>
      </c>
      <c r="F83" s="3" t="s">
        <v>462</v>
      </c>
      <c r="G83" s="9">
        <f>$E$83-0.05*$E$83*(G1-2020)</f>
        <v>30.727478571428573</v>
      </c>
      <c r="H83" s="9">
        <f t="shared" ref="H83:Z83" si="24">$E$83-0.05*$E$83*(H1-2020)</f>
        <v>29.110242857142861</v>
      </c>
      <c r="I83" s="9">
        <f t="shared" si="24"/>
        <v>27.493007142857145</v>
      </c>
      <c r="J83" s="9">
        <f t="shared" si="24"/>
        <v>25.875771428571433</v>
      </c>
      <c r="K83" s="9">
        <f t="shared" si="24"/>
        <v>24.258535714285717</v>
      </c>
      <c r="L83" s="9">
        <f t="shared" si="24"/>
        <v>22.641300000000001</v>
      </c>
      <c r="M83" s="9">
        <f t="shared" si="24"/>
        <v>21.024064285714289</v>
      </c>
      <c r="N83" s="9">
        <f t="shared" si="24"/>
        <v>19.406828571428573</v>
      </c>
      <c r="O83" s="9">
        <f t="shared" si="24"/>
        <v>17.789592857142857</v>
      </c>
      <c r="P83" s="9">
        <f t="shared" si="24"/>
        <v>16.172357142857145</v>
      </c>
      <c r="Q83" s="9">
        <f t="shared" si="24"/>
        <v>14.555121428571429</v>
      </c>
      <c r="R83" s="9">
        <f t="shared" si="24"/>
        <v>12.937885714285713</v>
      </c>
      <c r="S83" s="9">
        <f t="shared" si="24"/>
        <v>11.320650000000001</v>
      </c>
      <c r="T83" s="9">
        <f t="shared" si="24"/>
        <v>9.7034142857142847</v>
      </c>
      <c r="U83" s="9">
        <f t="shared" si="24"/>
        <v>8.0861785714285723</v>
      </c>
      <c r="V83" s="9">
        <f t="shared" si="24"/>
        <v>6.4689428571428564</v>
      </c>
      <c r="W83" s="9">
        <f t="shared" si="24"/>
        <v>4.8517071428571406</v>
      </c>
      <c r="X83" s="9">
        <f t="shared" si="24"/>
        <v>3.2344714285714282</v>
      </c>
      <c r="Y83" s="9">
        <f t="shared" si="24"/>
        <v>1.6172357142857123</v>
      </c>
      <c r="Z83" s="9">
        <f t="shared" si="24"/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</row>
    <row r="84" spans="1:36" x14ac:dyDescent="0.45">
      <c r="A84" s="34"/>
      <c r="B84" s="3" t="s">
        <v>143</v>
      </c>
      <c r="C84" s="3" t="s">
        <v>144</v>
      </c>
      <c r="D84" s="3" t="s">
        <v>401</v>
      </c>
      <c r="E84" s="9">
        <v>0</v>
      </c>
      <c r="F84" s="3" t="s">
        <v>462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</row>
    <row r="85" spans="1:36" x14ac:dyDescent="0.45">
      <c r="A85" s="34" t="s">
        <v>225</v>
      </c>
      <c r="B85" s="3" t="s">
        <v>145</v>
      </c>
      <c r="C85" s="3" t="s">
        <v>146</v>
      </c>
      <c r="D85" s="3" t="s">
        <v>425</v>
      </c>
      <c r="E85" s="9">
        <v>264.90867579908672</v>
      </c>
      <c r="F85" s="3" t="s">
        <v>461</v>
      </c>
      <c r="G85" s="9">
        <f>$E$85-0.05*$E$85*(G1-2020)</f>
        <v>251.66324200913238</v>
      </c>
      <c r="H85" s="9">
        <f t="shared" ref="H85:Z85" si="25">$E$85-0.05*$E$85*(H1-2020)</f>
        <v>238.41780821917806</v>
      </c>
      <c r="I85" s="9">
        <f t="shared" si="25"/>
        <v>225.17237442922371</v>
      </c>
      <c r="J85" s="9">
        <f t="shared" si="25"/>
        <v>211.92694063926939</v>
      </c>
      <c r="K85" s="9">
        <f t="shared" si="25"/>
        <v>198.68150684931504</v>
      </c>
      <c r="L85" s="9">
        <f t="shared" si="25"/>
        <v>185.43607305936069</v>
      </c>
      <c r="M85" s="9">
        <f t="shared" si="25"/>
        <v>172.19063926940635</v>
      </c>
      <c r="N85" s="9">
        <f t="shared" si="25"/>
        <v>158.94520547945203</v>
      </c>
      <c r="O85" s="9">
        <f t="shared" si="25"/>
        <v>145.69977168949771</v>
      </c>
      <c r="P85" s="9">
        <f t="shared" si="25"/>
        <v>132.45433789954336</v>
      </c>
      <c r="Q85" s="9">
        <f t="shared" si="25"/>
        <v>119.20890410958901</v>
      </c>
      <c r="R85" s="9">
        <f t="shared" si="25"/>
        <v>105.96347031963467</v>
      </c>
      <c r="S85" s="9">
        <f t="shared" si="25"/>
        <v>92.718036529680347</v>
      </c>
      <c r="T85" s="9">
        <f t="shared" si="25"/>
        <v>79.472602739726</v>
      </c>
      <c r="U85" s="9">
        <f t="shared" si="25"/>
        <v>66.227168949771681</v>
      </c>
      <c r="V85" s="9">
        <f t="shared" si="25"/>
        <v>52.981735159817333</v>
      </c>
      <c r="W85" s="9">
        <f t="shared" si="25"/>
        <v>39.736301369862986</v>
      </c>
      <c r="X85" s="9">
        <f t="shared" si="25"/>
        <v>26.490867579908667</v>
      </c>
      <c r="Y85" s="9">
        <f t="shared" si="25"/>
        <v>13.245433789954319</v>
      </c>
      <c r="Z85" s="9">
        <f t="shared" si="25"/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</row>
    <row r="86" spans="1:36" x14ac:dyDescent="0.45">
      <c r="A86" s="34"/>
      <c r="B86" s="3" t="s">
        <v>147</v>
      </c>
      <c r="C86" s="3" t="s">
        <v>148</v>
      </c>
      <c r="D86" s="3" t="s">
        <v>425</v>
      </c>
      <c r="E86" s="9">
        <v>626.18404363267371</v>
      </c>
      <c r="F86" s="3" t="s">
        <v>461</v>
      </c>
      <c r="G86" s="9">
        <f>$E$86-0.05*$E$86*(G1-2020)</f>
        <v>594.87484145103997</v>
      </c>
      <c r="H86" s="9">
        <f t="shared" ref="H86:Z86" si="26">$E$86-0.05*$E$86*(H1-2020)</f>
        <v>563.56563926940635</v>
      </c>
      <c r="I86" s="9">
        <f t="shared" si="26"/>
        <v>532.25643708777261</v>
      </c>
      <c r="J86" s="9">
        <f t="shared" si="26"/>
        <v>500.94723490613899</v>
      </c>
      <c r="K86" s="9">
        <f t="shared" si="26"/>
        <v>469.63803272450525</v>
      </c>
      <c r="L86" s="9">
        <f t="shared" si="26"/>
        <v>438.32883054287157</v>
      </c>
      <c r="M86" s="9">
        <f t="shared" si="26"/>
        <v>407.01962836123789</v>
      </c>
      <c r="N86" s="9">
        <f t="shared" si="26"/>
        <v>375.71042617960421</v>
      </c>
      <c r="O86" s="9">
        <f t="shared" si="26"/>
        <v>344.40122399797053</v>
      </c>
      <c r="P86" s="9">
        <f t="shared" si="26"/>
        <v>313.09202181633685</v>
      </c>
      <c r="Q86" s="9">
        <f t="shared" si="26"/>
        <v>281.78281963470317</v>
      </c>
      <c r="R86" s="9">
        <f t="shared" si="26"/>
        <v>250.47361745306944</v>
      </c>
      <c r="S86" s="9">
        <f t="shared" si="26"/>
        <v>219.16441527143576</v>
      </c>
      <c r="T86" s="9">
        <f t="shared" si="26"/>
        <v>187.85521308980208</v>
      </c>
      <c r="U86" s="9">
        <f t="shared" si="26"/>
        <v>156.5460109081684</v>
      </c>
      <c r="V86" s="9">
        <f t="shared" si="26"/>
        <v>125.23680872653472</v>
      </c>
      <c r="W86" s="9">
        <f t="shared" si="26"/>
        <v>93.927606544900982</v>
      </c>
      <c r="X86" s="9">
        <f t="shared" si="26"/>
        <v>62.618404363267359</v>
      </c>
      <c r="Y86" s="9">
        <f t="shared" si="26"/>
        <v>31.309202181633623</v>
      </c>
      <c r="Z86" s="9">
        <f t="shared" si="26"/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</row>
    <row r="87" spans="1:36" x14ac:dyDescent="0.45">
      <c r="A87" s="34"/>
      <c r="B87" s="3" t="s">
        <v>149</v>
      </c>
      <c r="C87" s="3" t="s">
        <v>150</v>
      </c>
      <c r="D87" s="3" t="s">
        <v>425</v>
      </c>
      <c r="E87" s="9">
        <v>596.82699506387814</v>
      </c>
      <c r="F87" s="3" t="s">
        <v>461</v>
      </c>
      <c r="G87" s="9">
        <f>$E$87-0.05*$E$87*(G1-2020)</f>
        <v>566.98564531068428</v>
      </c>
      <c r="H87" s="9">
        <f t="shared" ref="H87:Z87" si="27">$E$87-0.05*$E$87*(H1-2020)</f>
        <v>537.1442955574903</v>
      </c>
      <c r="I87" s="9">
        <f t="shared" si="27"/>
        <v>507.30294580429643</v>
      </c>
      <c r="J87" s="9">
        <f t="shared" si="27"/>
        <v>477.4615960511025</v>
      </c>
      <c r="K87" s="9">
        <f t="shared" si="27"/>
        <v>447.62024629790858</v>
      </c>
      <c r="L87" s="9">
        <f t="shared" si="27"/>
        <v>417.77889654471471</v>
      </c>
      <c r="M87" s="9">
        <f t="shared" si="27"/>
        <v>387.93754679152079</v>
      </c>
      <c r="N87" s="9">
        <f t="shared" si="27"/>
        <v>358.09619703832686</v>
      </c>
      <c r="O87" s="9">
        <f t="shared" si="27"/>
        <v>328.25484728513294</v>
      </c>
      <c r="P87" s="9">
        <f t="shared" si="27"/>
        <v>298.41349753193902</v>
      </c>
      <c r="Q87" s="9">
        <f t="shared" si="27"/>
        <v>268.57214777874515</v>
      </c>
      <c r="R87" s="9">
        <f t="shared" si="27"/>
        <v>238.73079802555122</v>
      </c>
      <c r="S87" s="9">
        <f t="shared" si="27"/>
        <v>208.8894482723573</v>
      </c>
      <c r="T87" s="9">
        <f t="shared" si="27"/>
        <v>179.04809851916343</v>
      </c>
      <c r="U87" s="9">
        <f t="shared" si="27"/>
        <v>149.20674876596951</v>
      </c>
      <c r="V87" s="9">
        <f t="shared" si="27"/>
        <v>119.36539901277558</v>
      </c>
      <c r="W87" s="9">
        <f t="shared" si="27"/>
        <v>89.524049259581659</v>
      </c>
      <c r="X87" s="9">
        <f t="shared" si="27"/>
        <v>59.682699506387735</v>
      </c>
      <c r="Y87" s="9">
        <f t="shared" si="27"/>
        <v>29.841349753193867</v>
      </c>
      <c r="Z87" s="9">
        <f t="shared" si="27"/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</row>
    <row r="88" spans="1:36" x14ac:dyDescent="0.45">
      <c r="A88" s="34"/>
      <c r="B88" s="3" t="s">
        <v>151</v>
      </c>
      <c r="C88" s="3" t="s">
        <v>152</v>
      </c>
      <c r="D88" s="3" t="s">
        <v>425</v>
      </c>
      <c r="E88" s="9">
        <v>299.02587519025872</v>
      </c>
      <c r="F88" s="3" t="s">
        <v>461</v>
      </c>
      <c r="G88" s="9">
        <f>$E$88-0.05*$E$88*(G1-2020)</f>
        <v>284.07458143074575</v>
      </c>
      <c r="H88" s="9">
        <f t="shared" ref="H88:Z88" si="28">$E$88-0.05*$E$88*(H1-2020)</f>
        <v>269.12328767123284</v>
      </c>
      <c r="I88" s="9">
        <f t="shared" si="28"/>
        <v>254.17199391171991</v>
      </c>
      <c r="J88" s="9">
        <f t="shared" si="28"/>
        <v>239.22070015220697</v>
      </c>
      <c r="K88" s="9">
        <f t="shared" si="28"/>
        <v>224.26940639269404</v>
      </c>
      <c r="L88" s="9">
        <f t="shared" si="28"/>
        <v>209.3181126331811</v>
      </c>
      <c r="M88" s="9">
        <f t="shared" si="28"/>
        <v>194.36681887366817</v>
      </c>
      <c r="N88" s="9">
        <f t="shared" si="28"/>
        <v>179.41552511415523</v>
      </c>
      <c r="O88" s="9">
        <f t="shared" si="28"/>
        <v>164.46423135464229</v>
      </c>
      <c r="P88" s="9">
        <f t="shared" si="28"/>
        <v>149.51293759512936</v>
      </c>
      <c r="Q88" s="9">
        <f t="shared" si="28"/>
        <v>134.56164383561642</v>
      </c>
      <c r="R88" s="9">
        <f t="shared" si="28"/>
        <v>119.61035007610349</v>
      </c>
      <c r="S88" s="9">
        <f t="shared" si="28"/>
        <v>104.65905631659055</v>
      </c>
      <c r="T88" s="9">
        <f t="shared" si="28"/>
        <v>89.707762557077615</v>
      </c>
      <c r="U88" s="9">
        <f t="shared" si="28"/>
        <v>74.756468797564679</v>
      </c>
      <c r="V88" s="9">
        <f t="shared" si="28"/>
        <v>59.805175038051743</v>
      </c>
      <c r="W88" s="9">
        <f t="shared" si="28"/>
        <v>44.853881278538807</v>
      </c>
      <c r="X88" s="9">
        <f t="shared" si="28"/>
        <v>29.902587519025872</v>
      </c>
      <c r="Y88" s="9">
        <f t="shared" si="28"/>
        <v>14.951293759512964</v>
      </c>
      <c r="Z88" s="9">
        <f t="shared" si="28"/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</row>
    <row r="89" spans="1:36" x14ac:dyDescent="0.45">
      <c r="A89" s="34" t="s">
        <v>226</v>
      </c>
      <c r="B89" s="3" t="s">
        <v>153</v>
      </c>
      <c r="C89" s="3" t="s">
        <v>154</v>
      </c>
      <c r="D89" s="3" t="s">
        <v>425</v>
      </c>
      <c r="E89" s="9">
        <v>18.486508771062823</v>
      </c>
      <c r="F89" s="3" t="s">
        <v>461</v>
      </c>
      <c r="G89" s="9">
        <f>$E$89-0.06*$E$89*(G1-2020)</f>
        <v>17.377318244799053</v>
      </c>
      <c r="H89" s="9">
        <f t="shared" ref="H89:V89" si="29">$E$89-0.06*$E$89*(H1-2020)</f>
        <v>16.268127718535283</v>
      </c>
      <c r="I89" s="9">
        <f t="shared" si="29"/>
        <v>15.158937192271516</v>
      </c>
      <c r="J89" s="9">
        <f t="shared" si="29"/>
        <v>14.049746666007746</v>
      </c>
      <c r="K89" s="9">
        <f t="shared" si="29"/>
        <v>12.940556139743975</v>
      </c>
      <c r="L89" s="9">
        <f t="shared" si="29"/>
        <v>11.831365613480207</v>
      </c>
      <c r="M89" s="9">
        <f t="shared" si="29"/>
        <v>10.722175087216439</v>
      </c>
      <c r="N89" s="9">
        <f t="shared" si="29"/>
        <v>9.6129845609526683</v>
      </c>
      <c r="O89" s="9">
        <f t="shared" si="29"/>
        <v>8.5037940346888981</v>
      </c>
      <c r="P89" s="9">
        <f t="shared" si="29"/>
        <v>7.3946035084251296</v>
      </c>
      <c r="Q89" s="9">
        <f t="shared" si="29"/>
        <v>6.2854129821613611</v>
      </c>
      <c r="R89" s="9">
        <f t="shared" si="29"/>
        <v>5.1762224558975909</v>
      </c>
      <c r="S89" s="9">
        <f t="shared" si="29"/>
        <v>4.0670319296338207</v>
      </c>
      <c r="T89" s="9">
        <f t="shared" si="29"/>
        <v>2.9578414033700522</v>
      </c>
      <c r="U89" s="9">
        <f t="shared" si="29"/>
        <v>1.8486508771062837</v>
      </c>
      <c r="V89" s="9">
        <f t="shared" si="29"/>
        <v>0.73946035084251349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</row>
    <row r="90" spans="1:36" x14ac:dyDescent="0.45">
      <c r="A90" s="34"/>
      <c r="B90" s="3" t="s">
        <v>155</v>
      </c>
      <c r="C90" s="3" t="s">
        <v>156</v>
      </c>
      <c r="D90" s="3" t="s">
        <v>425</v>
      </c>
      <c r="E90" s="9">
        <v>2.5285498319082889</v>
      </c>
      <c r="F90" s="3" t="s">
        <v>461</v>
      </c>
      <c r="G90" s="9">
        <f>$E$90-0.06*$E$90*(G1-2020)</f>
        <v>2.3768368419937915</v>
      </c>
      <c r="H90" s="9">
        <f t="shared" ref="H90:V90" si="30">$E$90-0.06*$E$90*(H1-2020)</f>
        <v>2.2251238520792942</v>
      </c>
      <c r="I90" s="9">
        <f t="shared" si="30"/>
        <v>2.0734108621647969</v>
      </c>
      <c r="J90" s="9">
        <f t="shared" si="30"/>
        <v>1.9216978722502995</v>
      </c>
      <c r="K90" s="9">
        <f t="shared" si="30"/>
        <v>1.7699848823358022</v>
      </c>
      <c r="L90" s="9">
        <f t="shared" si="30"/>
        <v>1.6182718924213049</v>
      </c>
      <c r="M90" s="9">
        <f t="shared" si="30"/>
        <v>1.4665589025068075</v>
      </c>
      <c r="N90" s="9">
        <f t="shared" si="30"/>
        <v>1.3148459125923102</v>
      </c>
      <c r="O90" s="9">
        <f t="shared" si="30"/>
        <v>1.1631329226778129</v>
      </c>
      <c r="P90" s="9">
        <f t="shared" si="30"/>
        <v>1.0114199327633155</v>
      </c>
      <c r="Q90" s="9">
        <f t="shared" si="30"/>
        <v>0.85970694284881821</v>
      </c>
      <c r="R90" s="9">
        <f t="shared" si="30"/>
        <v>0.70799395293432088</v>
      </c>
      <c r="S90" s="9">
        <f t="shared" si="30"/>
        <v>0.55628096301982355</v>
      </c>
      <c r="T90" s="9">
        <f t="shared" si="30"/>
        <v>0.40456797310532622</v>
      </c>
      <c r="U90" s="9">
        <f t="shared" si="30"/>
        <v>0.25285498319082889</v>
      </c>
      <c r="V90" s="9">
        <f t="shared" si="30"/>
        <v>0.10114199327633155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</row>
    <row r="91" spans="1:36" x14ac:dyDescent="0.45">
      <c r="A91" s="34" t="s">
        <v>227</v>
      </c>
      <c r="B91" s="3" t="s">
        <v>157</v>
      </c>
      <c r="C91" s="3" t="s">
        <v>158</v>
      </c>
      <c r="D91" s="3" t="s">
        <v>425</v>
      </c>
      <c r="E91" s="9">
        <v>1.1205930520566263</v>
      </c>
      <c r="F91" s="3" t="s">
        <v>461</v>
      </c>
      <c r="G91" s="9">
        <f>$E$91-0.5*$E$91*(G1-2020)</f>
        <v>0.56029652602831315</v>
      </c>
      <c r="H91" s="9">
        <f t="shared" ref="H91" si="31">$E$91-0.5*$E$91*(H1-2020)</f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</row>
    <row r="92" spans="1:36" x14ac:dyDescent="0.45">
      <c r="A92" s="34"/>
      <c r="B92" s="3" t="s">
        <v>159</v>
      </c>
      <c r="C92" s="3" t="s">
        <v>160</v>
      </c>
      <c r="D92" s="3" t="s">
        <v>425</v>
      </c>
      <c r="E92" s="9">
        <v>0.17404955914922066</v>
      </c>
      <c r="F92" s="3" t="s">
        <v>461</v>
      </c>
      <c r="G92" s="9">
        <f>$E$92-0.16*$E$92*(G1-2020)</f>
        <v>0.14620162968534534</v>
      </c>
      <c r="H92" s="9">
        <f t="shared" ref="H92:L92" si="32">$E$92-0.16*$E$92*(H1-2020)</f>
        <v>0.11835370022147004</v>
      </c>
      <c r="I92" s="9">
        <f t="shared" si="32"/>
        <v>9.0505770757594736E-2</v>
      </c>
      <c r="J92" s="9">
        <f t="shared" si="32"/>
        <v>6.265784129371943E-2</v>
      </c>
      <c r="K92" s="9">
        <f t="shared" si="32"/>
        <v>3.4809911829844109E-2</v>
      </c>
      <c r="L92" s="9">
        <f t="shared" si="32"/>
        <v>6.9619823659688163E-3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</row>
    <row r="93" spans="1:36" x14ac:dyDescent="0.45">
      <c r="A93" s="34" t="s">
        <v>228</v>
      </c>
      <c r="B93" s="3" t="s">
        <v>161</v>
      </c>
      <c r="C93" s="3" t="s">
        <v>162</v>
      </c>
      <c r="D93" s="3" t="s">
        <v>425</v>
      </c>
      <c r="E93" s="9">
        <v>353.77319248699973</v>
      </c>
      <c r="F93" s="3" t="s">
        <v>461</v>
      </c>
      <c r="G93" s="9">
        <f>$E$93-0.07*$E$93*(G1-2020)</f>
        <v>329.00906901290978</v>
      </c>
      <c r="H93" s="9">
        <f t="shared" ref="H93:T93" si="33">$E$93-0.07*$E$93*(H1-2020)</f>
        <v>304.24494553881976</v>
      </c>
      <c r="I93" s="9">
        <f t="shared" si="33"/>
        <v>279.48082206472975</v>
      </c>
      <c r="J93" s="9">
        <f t="shared" si="33"/>
        <v>254.71669859063979</v>
      </c>
      <c r="K93" s="9">
        <f t="shared" si="33"/>
        <v>229.95257511654981</v>
      </c>
      <c r="L93" s="9">
        <f t="shared" si="33"/>
        <v>205.18845164245982</v>
      </c>
      <c r="M93" s="9">
        <f t="shared" si="33"/>
        <v>180.42432816836984</v>
      </c>
      <c r="N93" s="9">
        <f t="shared" si="33"/>
        <v>155.66020469427986</v>
      </c>
      <c r="O93" s="9">
        <f t="shared" si="33"/>
        <v>130.89608122018987</v>
      </c>
      <c r="P93" s="9">
        <f t="shared" si="33"/>
        <v>106.13195774609989</v>
      </c>
      <c r="Q93" s="9">
        <f t="shared" si="33"/>
        <v>81.367834272009873</v>
      </c>
      <c r="R93" s="9">
        <f t="shared" si="33"/>
        <v>56.603710797919916</v>
      </c>
      <c r="S93" s="9">
        <f t="shared" si="33"/>
        <v>31.83958732382996</v>
      </c>
      <c r="T93" s="9">
        <f t="shared" si="33"/>
        <v>7.0754638497399469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</row>
    <row r="94" spans="1:36" x14ac:dyDescent="0.45">
      <c r="A94" s="34"/>
      <c r="B94" s="3" t="s">
        <v>163</v>
      </c>
      <c r="C94" s="3" t="s">
        <v>164</v>
      </c>
      <c r="D94" s="3" t="s">
        <v>425</v>
      </c>
      <c r="E94" s="9">
        <v>30.861065727589338</v>
      </c>
      <c r="F94" s="3" t="s">
        <v>461</v>
      </c>
      <c r="G94" s="9">
        <f>$E$94-0.07*$E$94*(G1-2020)</f>
        <v>28.700791126658086</v>
      </c>
      <c r="H94" s="9">
        <f t="shared" ref="H94:T94" si="34">$E$94-0.07*$E$94*(H1-2020)</f>
        <v>26.540516525726829</v>
      </c>
      <c r="I94" s="9">
        <f t="shared" si="34"/>
        <v>24.380241924795577</v>
      </c>
      <c r="J94" s="9">
        <f t="shared" si="34"/>
        <v>22.219967323864324</v>
      </c>
      <c r="K94" s="9">
        <f t="shared" si="34"/>
        <v>20.059692722933068</v>
      </c>
      <c r="L94" s="9">
        <f t="shared" si="34"/>
        <v>17.899418122001816</v>
      </c>
      <c r="M94" s="9">
        <f t="shared" si="34"/>
        <v>15.739143521070561</v>
      </c>
      <c r="N94" s="9">
        <f t="shared" si="34"/>
        <v>13.578868920139307</v>
      </c>
      <c r="O94" s="9">
        <f t="shared" si="34"/>
        <v>11.418594319208054</v>
      </c>
      <c r="P94" s="9">
        <f t="shared" si="34"/>
        <v>9.2583197182767982</v>
      </c>
      <c r="Q94" s="9">
        <f t="shared" si="34"/>
        <v>7.0980451173455457</v>
      </c>
      <c r="R94" s="9">
        <f t="shared" si="34"/>
        <v>4.9377705164142931</v>
      </c>
      <c r="S94" s="9">
        <f t="shared" si="34"/>
        <v>2.777495915483037</v>
      </c>
      <c r="T94" s="9">
        <f t="shared" si="34"/>
        <v>0.61722131455178442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</row>
    <row r="95" spans="1:36" x14ac:dyDescent="0.45">
      <c r="A95" s="34" t="s">
        <v>229</v>
      </c>
      <c r="B95" s="3" t="s">
        <v>165</v>
      </c>
      <c r="C95" s="3" t="s">
        <v>166</v>
      </c>
      <c r="D95" s="3" t="s">
        <v>425</v>
      </c>
      <c r="E95" s="9">
        <v>412.76287417554539</v>
      </c>
      <c r="F95" s="3" t="s">
        <v>461</v>
      </c>
      <c r="G95" s="9">
        <f>$E$95-0.125*$E$95*(G1-2020)</f>
        <v>361.16751490360224</v>
      </c>
      <c r="H95" s="9">
        <f t="shared" ref="H95:N95" si="35">$E$95-0.125*$E$95*(H1-2020)</f>
        <v>309.57215563165903</v>
      </c>
      <c r="I95" s="9">
        <f t="shared" si="35"/>
        <v>257.97679635971588</v>
      </c>
      <c r="J95" s="9">
        <f t="shared" si="35"/>
        <v>206.3814370877727</v>
      </c>
      <c r="K95" s="9">
        <f t="shared" si="35"/>
        <v>154.78607781582951</v>
      </c>
      <c r="L95" s="9">
        <f t="shared" si="35"/>
        <v>103.19071854388636</v>
      </c>
      <c r="M95" s="9">
        <f t="shared" si="35"/>
        <v>51.595359271943153</v>
      </c>
      <c r="N95" s="9">
        <f t="shared" si="35"/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</row>
    <row r="96" spans="1:36" x14ac:dyDescent="0.45">
      <c r="A96" s="34"/>
      <c r="B96" s="3" t="s">
        <v>167</v>
      </c>
      <c r="C96" s="3" t="s">
        <v>168</v>
      </c>
      <c r="D96" s="3" t="s">
        <v>425</v>
      </c>
      <c r="E96" s="9">
        <v>287.99115951511283</v>
      </c>
      <c r="F96" s="3" t="s">
        <v>461</v>
      </c>
      <c r="G96" s="9">
        <f>$E$96-0.125*$E$96*(G1-2020)</f>
        <v>251.99226457572371</v>
      </c>
      <c r="H96" s="9">
        <f t="shared" ref="H96:N96" si="36">$E$96-0.125*$E$96*(H1-2020)</f>
        <v>215.99336963633462</v>
      </c>
      <c r="I96" s="9">
        <f t="shared" si="36"/>
        <v>179.99447469694553</v>
      </c>
      <c r="J96" s="9">
        <f t="shared" si="36"/>
        <v>143.99557975755641</v>
      </c>
      <c r="K96" s="9">
        <f t="shared" si="36"/>
        <v>107.9966848181673</v>
      </c>
      <c r="L96" s="9">
        <f t="shared" si="36"/>
        <v>71.997789878778207</v>
      </c>
      <c r="M96" s="9">
        <f t="shared" si="36"/>
        <v>35.998894939389118</v>
      </c>
      <c r="N96" s="9">
        <f t="shared" si="36"/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</row>
    <row r="97" spans="1:36" x14ac:dyDescent="0.45">
      <c r="A97" s="34" t="s">
        <v>230</v>
      </c>
      <c r="B97" s="3" t="s">
        <v>169</v>
      </c>
      <c r="C97" s="3" t="s">
        <v>170</v>
      </c>
      <c r="D97" s="3" t="s">
        <v>425</v>
      </c>
      <c r="E97" s="9">
        <v>3.3159069259687297</v>
      </c>
      <c r="F97" s="3" t="s">
        <v>461</v>
      </c>
      <c r="G97" s="9">
        <f>$E$97-0.2*$E$97*(G1-2020)</f>
        <v>2.6527255407749837</v>
      </c>
      <c r="H97" s="9">
        <f t="shared" ref="H97:K97" si="37">$E$97-0.2*$E$97*(H1-2020)</f>
        <v>1.9895441555812376</v>
      </c>
      <c r="I97" s="9">
        <f t="shared" si="37"/>
        <v>1.3263627703874916</v>
      </c>
      <c r="J97" s="9">
        <f t="shared" si="37"/>
        <v>0.66318138519374559</v>
      </c>
      <c r="K97" s="9">
        <f t="shared" si="37"/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</row>
    <row r="98" spans="1:36" x14ac:dyDescent="0.45">
      <c r="A98" s="34"/>
      <c r="B98" s="3" t="s">
        <v>171</v>
      </c>
      <c r="C98" s="3" t="s">
        <v>172</v>
      </c>
      <c r="D98" s="3" t="s">
        <v>425</v>
      </c>
      <c r="E98" s="9">
        <v>0.67344337954877487</v>
      </c>
      <c r="F98" s="3" t="s">
        <v>461</v>
      </c>
      <c r="G98" s="9">
        <f>$E$98-0.2*$E$98*(G1-2020)</f>
        <v>0.53875470363901989</v>
      </c>
      <c r="H98" s="9">
        <f t="shared" ref="H98:K98" si="38">$E$98-0.2*$E$98*(H1-2020)</f>
        <v>0.40406602772926492</v>
      </c>
      <c r="I98" s="9">
        <f t="shared" si="38"/>
        <v>0.26937735181950995</v>
      </c>
      <c r="J98" s="9">
        <f t="shared" si="38"/>
        <v>0.13468867590975497</v>
      </c>
      <c r="K98" s="9">
        <f t="shared" si="38"/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</row>
    <row r="99" spans="1:36" x14ac:dyDescent="0.45">
      <c r="A99" s="34" t="s">
        <v>231</v>
      </c>
      <c r="B99" s="3" t="s">
        <v>173</v>
      </c>
      <c r="C99" s="3" t="s">
        <v>174</v>
      </c>
      <c r="D99" s="3" t="s">
        <v>425</v>
      </c>
      <c r="E99" s="9">
        <v>8.5781070476147576</v>
      </c>
      <c r="F99" s="3" t="s">
        <v>461</v>
      </c>
      <c r="G99" s="9">
        <f>$E$99-0.08*$E$99*(G1-2020)</f>
        <v>7.891858483805577</v>
      </c>
      <c r="H99" s="9">
        <f t="shared" ref="H99:R99" si="39">$E$99-0.08*$E$99*(H1-2020)</f>
        <v>7.2056099199963963</v>
      </c>
      <c r="I99" s="9">
        <f t="shared" si="39"/>
        <v>6.5193613561872157</v>
      </c>
      <c r="J99" s="9">
        <f t="shared" si="39"/>
        <v>5.833112792378035</v>
      </c>
      <c r="K99" s="9">
        <f t="shared" si="39"/>
        <v>5.1468642285688544</v>
      </c>
      <c r="L99" s="9">
        <f t="shared" si="39"/>
        <v>4.4606156647596737</v>
      </c>
      <c r="M99" s="9">
        <f t="shared" si="39"/>
        <v>3.7743671009504931</v>
      </c>
      <c r="N99" s="9">
        <f t="shared" si="39"/>
        <v>3.0881185371413125</v>
      </c>
      <c r="O99" s="9">
        <f t="shared" si="39"/>
        <v>2.4018699733321318</v>
      </c>
      <c r="P99" s="9">
        <f t="shared" si="39"/>
        <v>1.7156214095229512</v>
      </c>
      <c r="Q99" s="9">
        <f t="shared" si="39"/>
        <v>1.0293728457137705</v>
      </c>
      <c r="R99" s="9">
        <f t="shared" si="39"/>
        <v>0.34312428190458988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</row>
    <row r="100" spans="1:36" x14ac:dyDescent="0.45">
      <c r="A100" s="34"/>
      <c r="B100" s="3" t="s">
        <v>175</v>
      </c>
      <c r="C100" s="3" t="s">
        <v>176</v>
      </c>
      <c r="D100" s="3" t="s">
        <v>425</v>
      </c>
      <c r="E100" s="9">
        <v>0.82130812158013655</v>
      </c>
      <c r="F100" s="3" t="s">
        <v>461</v>
      </c>
      <c r="G100" s="9">
        <f>$E$100-0.08*$E$100*(G1-2020)</f>
        <v>0.75560347185372567</v>
      </c>
      <c r="H100" s="9">
        <f t="shared" ref="H100:R100" si="40">$E$100-0.08*$E$100*(H1-2020)</f>
        <v>0.68989882212731468</v>
      </c>
      <c r="I100" s="9">
        <f t="shared" si="40"/>
        <v>0.6241941724009038</v>
      </c>
      <c r="J100" s="9">
        <f t="shared" si="40"/>
        <v>0.55848952267449281</v>
      </c>
      <c r="K100" s="9">
        <f t="shared" si="40"/>
        <v>0.49278487294808193</v>
      </c>
      <c r="L100" s="9">
        <f t="shared" si="40"/>
        <v>0.42708022322167105</v>
      </c>
      <c r="M100" s="9">
        <f t="shared" si="40"/>
        <v>0.36137557349526012</v>
      </c>
      <c r="N100" s="9">
        <f t="shared" si="40"/>
        <v>0.29567092376884918</v>
      </c>
      <c r="O100" s="9">
        <f t="shared" si="40"/>
        <v>0.2299662740424383</v>
      </c>
      <c r="P100" s="9">
        <f t="shared" si="40"/>
        <v>0.16426162431602731</v>
      </c>
      <c r="Q100" s="9">
        <f t="shared" si="40"/>
        <v>9.8556974589616431E-2</v>
      </c>
      <c r="R100" s="9">
        <f t="shared" si="40"/>
        <v>3.2852324863205551E-2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</row>
    <row r="101" spans="1:36" x14ac:dyDescent="0.45">
      <c r="A101" s="34" t="s">
        <v>232</v>
      </c>
      <c r="B101" s="3" t="s">
        <v>177</v>
      </c>
      <c r="C101" s="3" t="s">
        <v>178</v>
      </c>
      <c r="D101" s="3" t="s">
        <v>425</v>
      </c>
      <c r="E101" s="9">
        <v>5.137689782528625</v>
      </c>
      <c r="F101" s="3" t="s">
        <v>461</v>
      </c>
      <c r="G101" s="9">
        <f>$E$101-0.08*$E$101*(G1-2020)</f>
        <v>4.7266745999263353</v>
      </c>
      <c r="H101" s="9">
        <f t="shared" ref="H101:R101" si="41">$E$101-0.08*$E$101*(H1-2020)</f>
        <v>4.3156594173240448</v>
      </c>
      <c r="I101" s="9">
        <f t="shared" si="41"/>
        <v>3.9046442347217551</v>
      </c>
      <c r="J101" s="9">
        <f t="shared" si="41"/>
        <v>3.4936290521194646</v>
      </c>
      <c r="K101" s="9">
        <f t="shared" si="41"/>
        <v>3.082613869517175</v>
      </c>
      <c r="L101" s="9">
        <f t="shared" si="41"/>
        <v>2.6715986869148849</v>
      </c>
      <c r="M101" s="9">
        <f t="shared" si="41"/>
        <v>2.2605835043125948</v>
      </c>
      <c r="N101" s="9">
        <f t="shared" si="41"/>
        <v>1.8495683217103047</v>
      </c>
      <c r="O101" s="9">
        <f t="shared" si="41"/>
        <v>1.4385531391080146</v>
      </c>
      <c r="P101" s="9">
        <f t="shared" si="41"/>
        <v>1.027537956505725</v>
      </c>
      <c r="Q101" s="9">
        <f t="shared" si="41"/>
        <v>0.61652277390343446</v>
      </c>
      <c r="R101" s="9">
        <f t="shared" si="41"/>
        <v>0.20550759130114482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</row>
    <row r="102" spans="1:36" x14ac:dyDescent="0.45">
      <c r="A102" s="34"/>
      <c r="B102" s="3" t="s">
        <v>179</v>
      </c>
      <c r="C102" s="3" t="s">
        <v>180</v>
      </c>
      <c r="D102" s="3" t="s">
        <v>425</v>
      </c>
      <c r="E102" s="9">
        <v>0.4304181599724779</v>
      </c>
      <c r="F102" s="3" t="s">
        <v>461</v>
      </c>
      <c r="G102" s="9">
        <f>$E$102-0.08*$E$102*(G1-2020)</f>
        <v>0.39598470717467965</v>
      </c>
      <c r="H102" s="9">
        <f t="shared" ref="H102:R102" si="42">$E$102-0.08*$E$102*(H1-2020)</f>
        <v>0.3615512543768814</v>
      </c>
      <c r="I102" s="9">
        <f t="shared" si="42"/>
        <v>0.32711780157908321</v>
      </c>
      <c r="J102" s="9">
        <f t="shared" si="42"/>
        <v>0.29268434878128496</v>
      </c>
      <c r="K102" s="9">
        <f t="shared" si="42"/>
        <v>0.25825089598348672</v>
      </c>
      <c r="L102" s="9">
        <f t="shared" si="42"/>
        <v>0.2238174431856885</v>
      </c>
      <c r="M102" s="9">
        <f t="shared" si="42"/>
        <v>0.18938399038789028</v>
      </c>
      <c r="N102" s="9">
        <f t="shared" si="42"/>
        <v>0.15495053759009203</v>
      </c>
      <c r="O102" s="9">
        <f t="shared" si="42"/>
        <v>0.12051708479229378</v>
      </c>
      <c r="P102" s="9">
        <f t="shared" si="42"/>
        <v>8.6083631994495535E-2</v>
      </c>
      <c r="Q102" s="9">
        <f t="shared" si="42"/>
        <v>5.1650179196697343E-2</v>
      </c>
      <c r="R102" s="9">
        <f t="shared" si="42"/>
        <v>1.7216726398899096E-2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</row>
    <row r="103" spans="1:36" ht="35" x14ac:dyDescent="0.45">
      <c r="A103" s="4" t="s">
        <v>233</v>
      </c>
      <c r="B103" s="3" t="s">
        <v>381</v>
      </c>
      <c r="C103" s="3" t="s">
        <v>181</v>
      </c>
      <c r="D103" s="3" t="s">
        <v>425</v>
      </c>
      <c r="E103" s="9">
        <v>33.818569712123271</v>
      </c>
      <c r="F103" s="3" t="s">
        <v>461</v>
      </c>
      <c r="G103" s="9">
        <f>$E$103-0.2*$E$103*(G1-2020)</f>
        <v>27.054855769698616</v>
      </c>
      <c r="H103" s="9">
        <f t="shared" ref="H103:K103" si="43">$E$103-0.2*$E$103*(H1-2020)</f>
        <v>20.291141827273961</v>
      </c>
      <c r="I103" s="9">
        <f t="shared" si="43"/>
        <v>13.527427884849306</v>
      </c>
      <c r="J103" s="9">
        <f t="shared" si="43"/>
        <v>6.7637139424246513</v>
      </c>
      <c r="K103" s="9">
        <f t="shared" si="43"/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</row>
    <row r="104" spans="1:36" x14ac:dyDescent="0.45">
      <c r="A104" s="34" t="s">
        <v>297</v>
      </c>
      <c r="B104" s="3" t="s">
        <v>280</v>
      </c>
      <c r="C104" s="3" t="s">
        <v>325</v>
      </c>
      <c r="D104" s="3" t="s">
        <v>463</v>
      </c>
      <c r="E104" s="15">
        <v>28.513105500000002</v>
      </c>
      <c r="F104" s="3" t="s">
        <v>465</v>
      </c>
      <c r="G104" s="15">
        <f>$E$104-0.05*$E$104*(G1-2020)</f>
        <v>27.087450225000001</v>
      </c>
      <c r="H104" s="15">
        <f t="shared" ref="H104:Z104" si="44">$E$104-0.05*$E$104*(H1-2020)</f>
        <v>25.661794950000001</v>
      </c>
      <c r="I104" s="15">
        <f t="shared" si="44"/>
        <v>24.236139675</v>
      </c>
      <c r="J104" s="15">
        <f t="shared" si="44"/>
        <v>22.8104844</v>
      </c>
      <c r="K104" s="15">
        <f t="shared" si="44"/>
        <v>21.384829125</v>
      </c>
      <c r="L104" s="15">
        <f t="shared" si="44"/>
        <v>19.959173849999999</v>
      </c>
      <c r="M104" s="15">
        <f t="shared" si="44"/>
        <v>18.533518575000002</v>
      </c>
      <c r="N104" s="15">
        <f t="shared" si="44"/>
        <v>17.107863299999998</v>
      </c>
      <c r="O104" s="15">
        <f t="shared" si="44"/>
        <v>15.682208025</v>
      </c>
      <c r="P104" s="15">
        <f t="shared" si="44"/>
        <v>14.256552749999999</v>
      </c>
      <c r="Q104" s="15">
        <f t="shared" si="44"/>
        <v>12.830897474999999</v>
      </c>
      <c r="R104" s="15">
        <f t="shared" si="44"/>
        <v>11.4052422</v>
      </c>
      <c r="S104" s="15">
        <f t="shared" si="44"/>
        <v>9.9795869249999996</v>
      </c>
      <c r="T104" s="15">
        <f t="shared" si="44"/>
        <v>8.5539316499999991</v>
      </c>
      <c r="U104" s="15">
        <f t="shared" si="44"/>
        <v>7.1282763749999987</v>
      </c>
      <c r="V104" s="15">
        <f t="shared" si="44"/>
        <v>5.7026210999999982</v>
      </c>
      <c r="W104" s="15">
        <f t="shared" si="44"/>
        <v>4.2769658249999978</v>
      </c>
      <c r="X104" s="15">
        <f t="shared" si="44"/>
        <v>2.8513105499999973</v>
      </c>
      <c r="Y104" s="15">
        <f t="shared" si="44"/>
        <v>1.4256552749999969</v>
      </c>
      <c r="Z104" s="15">
        <f t="shared" si="44"/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</row>
    <row r="105" spans="1:36" x14ac:dyDescent="0.45">
      <c r="A105" s="34"/>
      <c r="B105" s="3" t="s">
        <v>281</v>
      </c>
      <c r="C105" s="3" t="s">
        <v>326</v>
      </c>
      <c r="D105" s="3" t="s">
        <v>463</v>
      </c>
      <c r="E105" s="21">
        <v>1.609434</v>
      </c>
      <c r="F105" s="3" t="s">
        <v>466</v>
      </c>
      <c r="G105" s="15">
        <f>$E$105-0.05*$E$105*(G1-2020)</f>
        <v>1.5289623000000001</v>
      </c>
      <c r="H105" s="15">
        <f t="shared" ref="H105:Z105" si="45">$E$105-0.05*$E$105*(H1-2020)</f>
        <v>1.4484906</v>
      </c>
      <c r="I105" s="15">
        <f t="shared" si="45"/>
        <v>1.3680189</v>
      </c>
      <c r="J105" s="15">
        <f t="shared" si="45"/>
        <v>1.2875472000000001</v>
      </c>
      <c r="K105" s="15">
        <f t="shared" si="45"/>
        <v>1.2070755</v>
      </c>
      <c r="L105" s="15">
        <f t="shared" si="45"/>
        <v>1.1266038</v>
      </c>
      <c r="M105" s="15">
        <f t="shared" si="45"/>
        <v>1.0461320999999999</v>
      </c>
      <c r="N105" s="15">
        <f t="shared" si="45"/>
        <v>0.96566039999999997</v>
      </c>
      <c r="O105" s="15">
        <f t="shared" si="45"/>
        <v>0.88518869999999994</v>
      </c>
      <c r="P105" s="15">
        <f t="shared" si="45"/>
        <v>0.8047169999999999</v>
      </c>
      <c r="Q105" s="15">
        <f t="shared" si="45"/>
        <v>0.72424529999999998</v>
      </c>
      <c r="R105" s="15">
        <f t="shared" si="45"/>
        <v>0.64377359999999995</v>
      </c>
      <c r="S105" s="15">
        <f t="shared" si="45"/>
        <v>0.56330189999999991</v>
      </c>
      <c r="T105" s="15">
        <f t="shared" si="45"/>
        <v>0.48283019999999999</v>
      </c>
      <c r="U105" s="15">
        <f t="shared" si="45"/>
        <v>0.40235849999999984</v>
      </c>
      <c r="V105" s="15">
        <f t="shared" si="45"/>
        <v>0.32188679999999992</v>
      </c>
      <c r="W105" s="15">
        <f t="shared" si="45"/>
        <v>0.24141509999999999</v>
      </c>
      <c r="X105" s="15">
        <f t="shared" si="45"/>
        <v>0.16094339999999985</v>
      </c>
      <c r="Y105" s="15">
        <f t="shared" si="45"/>
        <v>8.0471699999999924E-2</v>
      </c>
      <c r="Z105" s="15">
        <f t="shared" si="45"/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</row>
    <row r="106" spans="1:36" x14ac:dyDescent="0.45">
      <c r="A106" s="34"/>
      <c r="B106" s="3" t="s">
        <v>282</v>
      </c>
      <c r="C106" s="3" t="s">
        <v>327</v>
      </c>
      <c r="D106" s="3" t="s">
        <v>463</v>
      </c>
      <c r="E106" s="21">
        <v>0.75051420000000002</v>
      </c>
      <c r="F106" s="3" t="s">
        <v>467</v>
      </c>
      <c r="G106" s="15">
        <f>$E$106-0.05*$E$106*(G1-2020)</f>
        <v>0.71298848999999997</v>
      </c>
      <c r="H106" s="15">
        <f t="shared" ref="H106:Z106" si="46">$E$106-0.05*$E$106*(H1-2020)</f>
        <v>0.67546278000000004</v>
      </c>
      <c r="I106" s="15">
        <f t="shared" si="46"/>
        <v>0.63793706999999999</v>
      </c>
      <c r="J106" s="15">
        <f t="shared" si="46"/>
        <v>0.60041136000000006</v>
      </c>
      <c r="K106" s="15">
        <f t="shared" si="46"/>
        <v>0.56288565000000002</v>
      </c>
      <c r="L106" s="15">
        <f t="shared" si="46"/>
        <v>0.52535993999999997</v>
      </c>
      <c r="M106" s="15">
        <f t="shared" si="46"/>
        <v>0.48783422999999998</v>
      </c>
      <c r="N106" s="15">
        <f t="shared" si="46"/>
        <v>0.45030851999999999</v>
      </c>
      <c r="O106" s="15">
        <f t="shared" si="46"/>
        <v>0.41278281</v>
      </c>
      <c r="P106" s="15">
        <f t="shared" si="46"/>
        <v>0.37525710000000001</v>
      </c>
      <c r="Q106" s="15">
        <f t="shared" si="46"/>
        <v>0.33773138999999996</v>
      </c>
      <c r="R106" s="15">
        <f t="shared" si="46"/>
        <v>0.30020567999999997</v>
      </c>
      <c r="S106" s="15">
        <f t="shared" si="46"/>
        <v>0.26267996999999998</v>
      </c>
      <c r="T106" s="15">
        <f t="shared" si="46"/>
        <v>0.22515425999999994</v>
      </c>
      <c r="U106" s="15">
        <f t="shared" si="46"/>
        <v>0.18762855000000001</v>
      </c>
      <c r="V106" s="15">
        <f t="shared" si="46"/>
        <v>0.15010283999999996</v>
      </c>
      <c r="W106" s="15">
        <f t="shared" si="46"/>
        <v>0.11257712999999991</v>
      </c>
      <c r="X106" s="15">
        <f t="shared" si="46"/>
        <v>7.505141999999998E-2</v>
      </c>
      <c r="Y106" s="15">
        <f t="shared" si="46"/>
        <v>3.7525709999999934E-2</v>
      </c>
      <c r="Z106" s="15">
        <f t="shared" si="46"/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</row>
    <row r="107" spans="1:36" x14ac:dyDescent="0.45">
      <c r="A107" s="34"/>
      <c r="B107" s="3" t="s">
        <v>283</v>
      </c>
      <c r="C107" s="3" t="s">
        <v>328</v>
      </c>
      <c r="D107" s="3" t="s">
        <v>463</v>
      </c>
      <c r="E107" s="21">
        <v>2.8050000000000002E-3</v>
      </c>
      <c r="F107" s="3" t="s">
        <v>468</v>
      </c>
      <c r="G107" s="15">
        <f>$E$107-0.059*$E$107*(G1-2020)</f>
        <v>2.6395050000000003E-3</v>
      </c>
      <c r="H107" s="15">
        <f t="shared" ref="H107:V107" si="47">$E$107-0.059*$E$107*(H1-2020)</f>
        <v>2.47401E-3</v>
      </c>
      <c r="I107" s="15">
        <f t="shared" si="47"/>
        <v>2.3085150000000001E-3</v>
      </c>
      <c r="J107" s="15">
        <f t="shared" si="47"/>
        <v>2.1430200000000003E-3</v>
      </c>
      <c r="K107" s="15">
        <f t="shared" si="47"/>
        <v>1.9775249999999999E-3</v>
      </c>
      <c r="L107" s="15">
        <f t="shared" si="47"/>
        <v>1.8120300000000001E-3</v>
      </c>
      <c r="M107" s="15">
        <f t="shared" si="47"/>
        <v>1.6465350000000002E-3</v>
      </c>
      <c r="N107" s="15">
        <f t="shared" si="47"/>
        <v>1.4810400000000001E-3</v>
      </c>
      <c r="O107" s="15">
        <f t="shared" si="47"/>
        <v>1.315545E-3</v>
      </c>
      <c r="P107" s="15">
        <f t="shared" si="47"/>
        <v>1.1500500000000001E-3</v>
      </c>
      <c r="Q107" s="15">
        <f t="shared" si="47"/>
        <v>9.8455500000000002E-4</v>
      </c>
      <c r="R107" s="15">
        <f t="shared" si="47"/>
        <v>8.1905999999999993E-4</v>
      </c>
      <c r="S107" s="15">
        <f t="shared" si="47"/>
        <v>6.5356500000000005E-4</v>
      </c>
      <c r="T107" s="15">
        <f t="shared" si="47"/>
        <v>4.8807000000000017E-4</v>
      </c>
      <c r="U107" s="15">
        <f t="shared" si="47"/>
        <v>3.2257499999999986E-4</v>
      </c>
      <c r="V107" s="15">
        <f t="shared" si="47"/>
        <v>1.5707999999999998E-4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</row>
    <row r="108" spans="1:36" x14ac:dyDescent="0.45">
      <c r="A108" s="34"/>
      <c r="B108" s="3" t="s">
        <v>284</v>
      </c>
      <c r="C108" s="3" t="s">
        <v>329</v>
      </c>
      <c r="D108" s="3" t="s">
        <v>463</v>
      </c>
      <c r="E108" s="21">
        <v>1.8942000000000001E-2</v>
      </c>
      <c r="F108" s="3" t="s">
        <v>469</v>
      </c>
      <c r="G108" s="15">
        <f>$E$108-0.059*$E$108*(G1-2020)</f>
        <v>1.7824421999999999E-2</v>
      </c>
      <c r="H108" s="15">
        <f t="shared" ref="H108:V108" si="48">$E$108-0.059*$E$108*(H1-2020)</f>
        <v>1.6706844000000002E-2</v>
      </c>
      <c r="I108" s="15">
        <f t="shared" si="48"/>
        <v>1.5589266000000001E-2</v>
      </c>
      <c r="J108" s="15">
        <f t="shared" si="48"/>
        <v>1.4471688E-2</v>
      </c>
      <c r="K108" s="15">
        <f t="shared" si="48"/>
        <v>1.3354110000000001E-2</v>
      </c>
      <c r="L108" s="15">
        <f t="shared" si="48"/>
        <v>1.2236532000000001E-2</v>
      </c>
      <c r="M108" s="15">
        <f t="shared" si="48"/>
        <v>1.1118954E-2</v>
      </c>
      <c r="N108" s="15">
        <f t="shared" si="48"/>
        <v>1.0001376000000001E-2</v>
      </c>
      <c r="O108" s="15">
        <f t="shared" si="48"/>
        <v>8.8837980000000018E-3</v>
      </c>
      <c r="P108" s="15">
        <f t="shared" si="48"/>
        <v>7.7662200000000008E-3</v>
      </c>
      <c r="Q108" s="15">
        <f t="shared" si="48"/>
        <v>6.6486420000000015E-3</v>
      </c>
      <c r="R108" s="15">
        <f t="shared" si="48"/>
        <v>5.5310640000000022E-3</v>
      </c>
      <c r="S108" s="15">
        <f t="shared" si="48"/>
        <v>4.4134860000000012E-3</v>
      </c>
      <c r="T108" s="15">
        <f t="shared" si="48"/>
        <v>3.2959080000000002E-3</v>
      </c>
      <c r="U108" s="15">
        <f t="shared" si="48"/>
        <v>2.1783300000000026E-3</v>
      </c>
      <c r="V108" s="15">
        <f t="shared" si="48"/>
        <v>1.0607520000000016E-3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</row>
    <row r="109" spans="1:36" x14ac:dyDescent="0.45">
      <c r="A109" s="34"/>
      <c r="B109" s="3" t="s">
        <v>291</v>
      </c>
      <c r="C109" s="3" t="s">
        <v>330</v>
      </c>
      <c r="D109" s="3" t="s">
        <v>463</v>
      </c>
      <c r="E109" s="15">
        <v>0</v>
      </c>
      <c r="F109" s="3" t="s">
        <v>470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</row>
    <row r="110" spans="1:36" x14ac:dyDescent="0.45">
      <c r="A110" s="34"/>
      <c r="B110" s="3" t="s">
        <v>285</v>
      </c>
      <c r="C110" s="3" t="s">
        <v>331</v>
      </c>
      <c r="D110" s="3" t="s">
        <v>463</v>
      </c>
      <c r="E110" s="15">
        <v>11.689859999999999</v>
      </c>
      <c r="F110" s="3" t="s">
        <v>471</v>
      </c>
      <c r="G110" s="15">
        <f>$E$110-0.05*$E$110*(G1-2020)</f>
        <v>11.105366999999999</v>
      </c>
      <c r="H110" s="15">
        <f t="shared" ref="H110:Z110" si="49">$E$110-0.05*$E$110*(H1-2020)</f>
        <v>10.520873999999999</v>
      </c>
      <c r="I110" s="15">
        <f t="shared" si="49"/>
        <v>9.936380999999999</v>
      </c>
      <c r="J110" s="15">
        <f t="shared" si="49"/>
        <v>9.3518879999999989</v>
      </c>
      <c r="K110" s="15">
        <f t="shared" si="49"/>
        <v>8.7673949999999987</v>
      </c>
      <c r="L110" s="15">
        <f t="shared" si="49"/>
        <v>8.1829019999999986</v>
      </c>
      <c r="M110" s="15">
        <f t="shared" si="49"/>
        <v>7.5984089999999993</v>
      </c>
      <c r="N110" s="15">
        <f t="shared" si="49"/>
        <v>7.0139159999999992</v>
      </c>
      <c r="O110" s="15">
        <f t="shared" si="49"/>
        <v>6.429422999999999</v>
      </c>
      <c r="P110" s="15">
        <f t="shared" si="49"/>
        <v>5.8449299999999988</v>
      </c>
      <c r="Q110" s="15">
        <f t="shared" si="49"/>
        <v>5.2604369999999987</v>
      </c>
      <c r="R110" s="15">
        <f t="shared" si="49"/>
        <v>4.6759439999999994</v>
      </c>
      <c r="S110" s="15">
        <f t="shared" si="49"/>
        <v>4.0914509999999993</v>
      </c>
      <c r="T110" s="15">
        <f t="shared" si="49"/>
        <v>3.5069579999999991</v>
      </c>
      <c r="U110" s="15">
        <f t="shared" si="49"/>
        <v>2.922464999999999</v>
      </c>
      <c r="V110" s="15">
        <f t="shared" si="49"/>
        <v>2.3379719999999988</v>
      </c>
      <c r="W110" s="15">
        <f t="shared" si="49"/>
        <v>1.7534789999999987</v>
      </c>
      <c r="X110" s="15">
        <f t="shared" si="49"/>
        <v>1.1689859999999985</v>
      </c>
      <c r="Y110" s="15">
        <f t="shared" si="49"/>
        <v>0.58449299999999837</v>
      </c>
      <c r="Z110" s="15">
        <f t="shared" si="49"/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</row>
    <row r="111" spans="1:36" x14ac:dyDescent="0.45">
      <c r="A111" s="34"/>
      <c r="B111" s="3" t="s">
        <v>286</v>
      </c>
      <c r="C111" s="3" t="s">
        <v>332</v>
      </c>
      <c r="D111" s="3" t="s">
        <v>463</v>
      </c>
      <c r="E111" s="15">
        <v>10.297601999999999</v>
      </c>
      <c r="F111" s="3" t="s">
        <v>472</v>
      </c>
      <c r="G111" s="15">
        <f>$E$111-0.05*$E$111*(G1-2020)</f>
        <v>9.7827219000000003</v>
      </c>
      <c r="H111" s="15">
        <f t="shared" ref="H111:Z111" si="50">$E$111-0.05*$E$111*(H1-2020)</f>
        <v>9.2678417999999994</v>
      </c>
      <c r="I111" s="15">
        <f t="shared" si="50"/>
        <v>8.7529617000000002</v>
      </c>
      <c r="J111" s="15">
        <f t="shared" si="50"/>
        <v>8.2380815999999992</v>
      </c>
      <c r="K111" s="15">
        <f t="shared" si="50"/>
        <v>7.7232015000000001</v>
      </c>
      <c r="L111" s="15">
        <f t="shared" si="50"/>
        <v>7.2083214</v>
      </c>
      <c r="M111" s="15">
        <f t="shared" si="50"/>
        <v>6.6934412999999999</v>
      </c>
      <c r="N111" s="15">
        <f t="shared" si="50"/>
        <v>6.1785611999999999</v>
      </c>
      <c r="O111" s="15">
        <f t="shared" si="50"/>
        <v>5.6636810999999998</v>
      </c>
      <c r="P111" s="15">
        <f t="shared" si="50"/>
        <v>5.1488009999999997</v>
      </c>
      <c r="Q111" s="15">
        <f t="shared" si="50"/>
        <v>4.6339208999999997</v>
      </c>
      <c r="R111" s="15">
        <f t="shared" si="50"/>
        <v>4.1190408000000005</v>
      </c>
      <c r="S111" s="15">
        <f t="shared" si="50"/>
        <v>3.6041607000000004</v>
      </c>
      <c r="T111" s="15">
        <f t="shared" si="50"/>
        <v>3.0892806000000004</v>
      </c>
      <c r="U111" s="15">
        <f t="shared" si="50"/>
        <v>2.5744005000000003</v>
      </c>
      <c r="V111" s="15">
        <f t="shared" si="50"/>
        <v>2.0595204000000003</v>
      </c>
      <c r="W111" s="15">
        <f t="shared" si="50"/>
        <v>1.5446403000000011</v>
      </c>
      <c r="X111" s="15">
        <f t="shared" si="50"/>
        <v>1.0297602000000001</v>
      </c>
      <c r="Y111" s="15">
        <f t="shared" si="50"/>
        <v>0.51488010000000095</v>
      </c>
      <c r="Z111" s="15">
        <f t="shared" si="50"/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</row>
    <row r="112" spans="1:36" x14ac:dyDescent="0.45">
      <c r="A112" s="34"/>
      <c r="B112" s="3" t="s">
        <v>287</v>
      </c>
      <c r="C112" s="3" t="s">
        <v>333</v>
      </c>
      <c r="D112" s="3" t="s">
        <v>463</v>
      </c>
      <c r="E112" s="15">
        <v>1.0693367999999999</v>
      </c>
      <c r="F112" s="3" t="s">
        <v>473</v>
      </c>
      <c r="G112" s="15">
        <f>$E$112-0.05*$E$112*(G1-2020)</f>
        <v>1.0158699599999998</v>
      </c>
      <c r="H112" s="15">
        <f t="shared" ref="H112:Z112" si="51">$E$112-0.05*$E$112*(H1-2020)</f>
        <v>0.96240311999999983</v>
      </c>
      <c r="I112" s="15">
        <f t="shared" si="51"/>
        <v>0.90893627999999982</v>
      </c>
      <c r="J112" s="15">
        <f t="shared" si="51"/>
        <v>0.85546943999999991</v>
      </c>
      <c r="K112" s="15">
        <f t="shared" si="51"/>
        <v>0.8020025999999999</v>
      </c>
      <c r="L112" s="15">
        <f t="shared" si="51"/>
        <v>0.74853575999999988</v>
      </c>
      <c r="M112" s="15">
        <f t="shared" si="51"/>
        <v>0.69506891999999998</v>
      </c>
      <c r="N112" s="15">
        <f t="shared" si="51"/>
        <v>0.64160207999999996</v>
      </c>
      <c r="O112" s="15">
        <f t="shared" si="51"/>
        <v>0.58813523999999995</v>
      </c>
      <c r="P112" s="15">
        <f t="shared" si="51"/>
        <v>0.53466839999999993</v>
      </c>
      <c r="Q112" s="15">
        <f t="shared" si="51"/>
        <v>0.48120155999999992</v>
      </c>
      <c r="R112" s="15">
        <f t="shared" si="51"/>
        <v>0.4277347199999999</v>
      </c>
      <c r="S112" s="15">
        <f t="shared" si="51"/>
        <v>0.37426787999999989</v>
      </c>
      <c r="T112" s="15">
        <f t="shared" si="51"/>
        <v>0.32080103999999998</v>
      </c>
      <c r="U112" s="15">
        <f t="shared" si="51"/>
        <v>0.26733419999999997</v>
      </c>
      <c r="V112" s="15">
        <f t="shared" si="51"/>
        <v>0.21386735999999995</v>
      </c>
      <c r="W112" s="15">
        <f t="shared" si="51"/>
        <v>0.16040051999999994</v>
      </c>
      <c r="X112" s="15">
        <f t="shared" si="51"/>
        <v>0.10693367999999992</v>
      </c>
      <c r="Y112" s="15">
        <f t="shared" si="51"/>
        <v>5.3466840000000015E-2</v>
      </c>
      <c r="Z112" s="15">
        <f t="shared" si="51"/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</row>
    <row r="113" spans="1:36" x14ac:dyDescent="0.45">
      <c r="A113" s="34"/>
      <c r="B113" s="3" t="s">
        <v>288</v>
      </c>
      <c r="C113" s="3" t="s">
        <v>334</v>
      </c>
      <c r="D113" s="3" t="s">
        <v>463</v>
      </c>
      <c r="E113" s="21">
        <v>1.1130000000000001E-3</v>
      </c>
      <c r="F113" s="3" t="s">
        <v>474</v>
      </c>
      <c r="G113" s="15">
        <f>$E$113-0.059*$E$113*(G1-2020)</f>
        <v>1.0473330000000001E-3</v>
      </c>
      <c r="H113" s="15">
        <f t="shared" ref="H113:V113" si="52">$E$113-0.059*$E$113*(H1-2020)</f>
        <v>9.8166599999999996E-4</v>
      </c>
      <c r="I113" s="15">
        <f t="shared" si="52"/>
        <v>9.1599900000000002E-4</v>
      </c>
      <c r="J113" s="15">
        <f t="shared" si="52"/>
        <v>8.5033200000000008E-4</v>
      </c>
      <c r="K113" s="15">
        <f t="shared" si="52"/>
        <v>7.8466500000000015E-4</v>
      </c>
      <c r="L113" s="15">
        <f t="shared" si="52"/>
        <v>7.189980000000001E-4</v>
      </c>
      <c r="M113" s="15">
        <f t="shared" si="52"/>
        <v>6.5333100000000005E-4</v>
      </c>
      <c r="N113" s="15">
        <f t="shared" si="52"/>
        <v>5.8766400000000011E-4</v>
      </c>
      <c r="O113" s="15">
        <f t="shared" si="52"/>
        <v>5.2199700000000017E-4</v>
      </c>
      <c r="P113" s="15">
        <f t="shared" si="52"/>
        <v>4.5633000000000013E-4</v>
      </c>
      <c r="Q113" s="15">
        <f t="shared" si="52"/>
        <v>3.9066300000000008E-4</v>
      </c>
      <c r="R113" s="15">
        <f t="shared" si="52"/>
        <v>3.2499600000000014E-4</v>
      </c>
      <c r="S113" s="15">
        <f t="shared" si="52"/>
        <v>2.593290000000002E-4</v>
      </c>
      <c r="T113" s="15">
        <f t="shared" si="52"/>
        <v>1.9366200000000015E-4</v>
      </c>
      <c r="U113" s="15">
        <f t="shared" si="52"/>
        <v>1.2799500000000011E-4</v>
      </c>
      <c r="V113" s="15">
        <f t="shared" si="52"/>
        <v>6.2328000000000166E-5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</row>
    <row r="114" spans="1:36" x14ac:dyDescent="0.45">
      <c r="A114" s="34"/>
      <c r="B114" s="3" t="s">
        <v>289</v>
      </c>
      <c r="C114" s="3" t="s">
        <v>335</v>
      </c>
      <c r="D114" s="3" t="s">
        <v>463</v>
      </c>
      <c r="E114" s="21">
        <v>1.6302999999999998E-2</v>
      </c>
      <c r="F114" s="3" t="s">
        <v>475</v>
      </c>
      <c r="G114" s="15">
        <f>$E$114-0.059*$E$114*(G1-2020)</f>
        <v>1.5341122999999998E-2</v>
      </c>
      <c r="H114" s="15">
        <f t="shared" ref="H114:V114" si="53">$E$114-0.059*$E$114*(H1-2020)</f>
        <v>1.4379245999999998E-2</v>
      </c>
      <c r="I114" s="15">
        <f t="shared" si="53"/>
        <v>1.3417368999999998E-2</v>
      </c>
      <c r="J114" s="15">
        <f t="shared" si="53"/>
        <v>1.2455491999999999E-2</v>
      </c>
      <c r="K114" s="15">
        <f t="shared" si="53"/>
        <v>1.1493614999999999E-2</v>
      </c>
      <c r="L114" s="15">
        <f t="shared" si="53"/>
        <v>1.0531737999999999E-2</v>
      </c>
      <c r="M114" s="15">
        <f t="shared" si="53"/>
        <v>9.569860999999999E-3</v>
      </c>
      <c r="N114" s="15">
        <f t="shared" si="53"/>
        <v>8.6079839999999991E-3</v>
      </c>
      <c r="O114" s="15">
        <f t="shared" si="53"/>
        <v>7.6461069999999992E-3</v>
      </c>
      <c r="P114" s="15">
        <f t="shared" si="53"/>
        <v>6.6842299999999993E-3</v>
      </c>
      <c r="Q114" s="15">
        <f t="shared" si="53"/>
        <v>5.7223529999999995E-3</v>
      </c>
      <c r="R114" s="15">
        <f t="shared" si="53"/>
        <v>4.7604759999999996E-3</v>
      </c>
      <c r="S114" s="15">
        <f t="shared" si="53"/>
        <v>3.7985989999999997E-3</v>
      </c>
      <c r="T114" s="15">
        <f t="shared" si="53"/>
        <v>2.8367219999999999E-3</v>
      </c>
      <c r="U114" s="15">
        <f t="shared" si="53"/>
        <v>1.874845E-3</v>
      </c>
      <c r="V114" s="15">
        <f t="shared" si="53"/>
        <v>9.1296800000000011E-4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</row>
    <row r="115" spans="1:36" x14ac:dyDescent="0.45">
      <c r="A115" s="34"/>
      <c r="B115" s="3" t="s">
        <v>290</v>
      </c>
      <c r="C115" s="3" t="s">
        <v>336</v>
      </c>
      <c r="D115" s="3" t="s">
        <v>463</v>
      </c>
      <c r="E115" s="15">
        <v>0</v>
      </c>
      <c r="F115" s="3" t="s">
        <v>476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</row>
    <row r="116" spans="1:36" x14ac:dyDescent="0.45">
      <c r="A116" s="34"/>
      <c r="B116" s="3" t="s">
        <v>292</v>
      </c>
      <c r="C116" s="3" t="s">
        <v>337</v>
      </c>
      <c r="D116" s="3" t="s">
        <v>463</v>
      </c>
      <c r="E116" s="15">
        <v>77.725716480000003</v>
      </c>
      <c r="F116" s="3" t="s">
        <v>477</v>
      </c>
      <c r="G116" s="15">
        <f>$E$116-0.05*$E$116*(G1-2020)</f>
        <v>73.839430656000005</v>
      </c>
      <c r="H116" s="15">
        <f t="shared" ref="H116:Z116" si="54">$E$116-0.05*$E$116*(H1-2020)</f>
        <v>69.953144832000007</v>
      </c>
      <c r="I116" s="15">
        <f t="shared" si="54"/>
        <v>66.066859007999994</v>
      </c>
      <c r="J116" s="15">
        <f t="shared" si="54"/>
        <v>62.180573184000004</v>
      </c>
      <c r="K116" s="15">
        <f t="shared" si="54"/>
        <v>58.294287359999998</v>
      </c>
      <c r="L116" s="15">
        <f t="shared" si="54"/>
        <v>54.408001536</v>
      </c>
      <c r="M116" s="15">
        <f t="shared" si="54"/>
        <v>50.521715712000002</v>
      </c>
      <c r="N116" s="15">
        <f t="shared" si="54"/>
        <v>46.635429888000004</v>
      </c>
      <c r="O116" s="15">
        <f t="shared" si="54"/>
        <v>42.749144063999999</v>
      </c>
      <c r="P116" s="15">
        <f t="shared" si="54"/>
        <v>38.862858240000001</v>
      </c>
      <c r="Q116" s="15">
        <f t="shared" si="54"/>
        <v>34.976572416000003</v>
      </c>
      <c r="R116" s="15">
        <f t="shared" si="54"/>
        <v>31.090286591999998</v>
      </c>
      <c r="S116" s="15">
        <f t="shared" si="54"/>
        <v>27.204000768</v>
      </c>
      <c r="T116" s="15">
        <f t="shared" si="54"/>
        <v>23.317714944000002</v>
      </c>
      <c r="U116" s="15">
        <f t="shared" si="54"/>
        <v>19.431429119999997</v>
      </c>
      <c r="V116" s="15">
        <f t="shared" si="54"/>
        <v>15.545143295999999</v>
      </c>
      <c r="W116" s="15">
        <f t="shared" si="54"/>
        <v>11.658857471999994</v>
      </c>
      <c r="X116" s="15">
        <f t="shared" si="54"/>
        <v>7.772571647999996</v>
      </c>
      <c r="Y116" s="15">
        <f t="shared" si="54"/>
        <v>3.886285823999998</v>
      </c>
      <c r="Z116" s="15">
        <f t="shared" si="54"/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</row>
    <row r="117" spans="1:36" x14ac:dyDescent="0.45">
      <c r="A117" s="34"/>
      <c r="B117" s="3" t="s">
        <v>293</v>
      </c>
      <c r="C117" s="3" t="s">
        <v>338</v>
      </c>
      <c r="D117" s="3" t="s">
        <v>463</v>
      </c>
      <c r="E117" s="15">
        <v>2.0315099999999999</v>
      </c>
      <c r="F117" s="3" t="s">
        <v>478</v>
      </c>
      <c r="G117" s="15">
        <f>$E$117-0.05*$E$117*(G1-2020)</f>
        <v>1.9299344999999999</v>
      </c>
      <c r="H117" s="15">
        <f t="shared" ref="H117:Z117" si="55">$E$117-0.05*$E$117*(H1-2020)</f>
        <v>1.8283589999999998</v>
      </c>
      <c r="I117" s="15">
        <f t="shared" si="55"/>
        <v>1.7267834999999998</v>
      </c>
      <c r="J117" s="15">
        <f t="shared" si="55"/>
        <v>1.625208</v>
      </c>
      <c r="K117" s="15">
        <f t="shared" si="55"/>
        <v>1.5236324999999999</v>
      </c>
      <c r="L117" s="15">
        <f t="shared" si="55"/>
        <v>1.4220569999999999</v>
      </c>
      <c r="M117" s="15">
        <f t="shared" si="55"/>
        <v>1.3204815000000001</v>
      </c>
      <c r="N117" s="15">
        <f t="shared" si="55"/>
        <v>1.218906</v>
      </c>
      <c r="O117" s="15">
        <f t="shared" si="55"/>
        <v>1.1173305</v>
      </c>
      <c r="P117" s="15">
        <f t="shared" si="55"/>
        <v>1.015755</v>
      </c>
      <c r="Q117" s="15">
        <f t="shared" si="55"/>
        <v>0.91417949999999992</v>
      </c>
      <c r="R117" s="15">
        <f t="shared" si="55"/>
        <v>0.81260399999999988</v>
      </c>
      <c r="S117" s="15">
        <f t="shared" si="55"/>
        <v>0.71102849999999984</v>
      </c>
      <c r="T117" s="15">
        <f t="shared" si="55"/>
        <v>0.60945300000000002</v>
      </c>
      <c r="U117" s="15">
        <f t="shared" si="55"/>
        <v>0.50787749999999998</v>
      </c>
      <c r="V117" s="15">
        <f t="shared" si="55"/>
        <v>0.40630199999999994</v>
      </c>
      <c r="W117" s="15">
        <f t="shared" si="55"/>
        <v>0.3047264999999999</v>
      </c>
      <c r="X117" s="15">
        <f t="shared" si="55"/>
        <v>0.20315099999999986</v>
      </c>
      <c r="Y117" s="15">
        <f t="shared" si="55"/>
        <v>0.10157550000000004</v>
      </c>
      <c r="Z117" s="15">
        <f t="shared" si="55"/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</row>
    <row r="118" spans="1:36" x14ac:dyDescent="0.45">
      <c r="A118" s="34"/>
      <c r="B118" s="3" t="s">
        <v>294</v>
      </c>
      <c r="C118" s="3" t="s">
        <v>339</v>
      </c>
      <c r="D118" s="3" t="s">
        <v>463</v>
      </c>
      <c r="E118" s="15">
        <v>0.122823</v>
      </c>
      <c r="F118" s="3" t="s">
        <v>479</v>
      </c>
      <c r="G118" s="15">
        <f>$E$118-0.05*$E$118*(G1-2020)</f>
        <v>0.11668185</v>
      </c>
      <c r="H118" s="15">
        <f t="shared" ref="H118:Z118" si="56">$E$118-0.05*$E$118*(H1-2020)</f>
        <v>0.11054070000000001</v>
      </c>
      <c r="I118" s="15">
        <f t="shared" si="56"/>
        <v>0.10439955000000001</v>
      </c>
      <c r="J118" s="15">
        <f t="shared" si="56"/>
        <v>9.8258399999999996E-2</v>
      </c>
      <c r="K118" s="15">
        <f t="shared" si="56"/>
        <v>9.2117249999999998E-2</v>
      </c>
      <c r="L118" s="15">
        <f t="shared" si="56"/>
        <v>8.59761E-2</v>
      </c>
      <c r="M118" s="15">
        <f t="shared" si="56"/>
        <v>7.9834949999999988E-2</v>
      </c>
      <c r="N118" s="15">
        <f t="shared" si="56"/>
        <v>7.3693800000000004E-2</v>
      </c>
      <c r="O118" s="15">
        <f t="shared" si="56"/>
        <v>6.7552649999999992E-2</v>
      </c>
      <c r="P118" s="15">
        <f t="shared" si="56"/>
        <v>6.1411499999999994E-2</v>
      </c>
      <c r="Q118" s="15">
        <f t="shared" si="56"/>
        <v>5.5270349999999996E-2</v>
      </c>
      <c r="R118" s="15">
        <f t="shared" si="56"/>
        <v>4.9129199999999998E-2</v>
      </c>
      <c r="S118" s="15">
        <f t="shared" si="56"/>
        <v>4.298805E-2</v>
      </c>
      <c r="T118" s="15">
        <f t="shared" si="56"/>
        <v>3.6846899999999988E-2</v>
      </c>
      <c r="U118" s="15">
        <f t="shared" si="56"/>
        <v>3.070574999999999E-2</v>
      </c>
      <c r="V118" s="15">
        <f t="shared" si="56"/>
        <v>2.4564599999999992E-2</v>
      </c>
      <c r="W118" s="15">
        <f t="shared" si="56"/>
        <v>1.8423449999999994E-2</v>
      </c>
      <c r="X118" s="15">
        <f t="shared" si="56"/>
        <v>1.2282299999999996E-2</v>
      </c>
      <c r="Y118" s="15">
        <f t="shared" si="56"/>
        <v>6.1411499999999841E-3</v>
      </c>
      <c r="Z118" s="15">
        <f t="shared" si="56"/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</row>
    <row r="119" spans="1:36" x14ac:dyDescent="0.45">
      <c r="A119" s="34"/>
      <c r="B119" s="3" t="s">
        <v>295</v>
      </c>
      <c r="C119" s="3" t="s">
        <v>340</v>
      </c>
      <c r="D119" s="3" t="s">
        <v>463</v>
      </c>
      <c r="E119" s="15">
        <v>2.1530879999999999E-2</v>
      </c>
      <c r="F119" s="3" t="s">
        <v>480</v>
      </c>
      <c r="G119" s="15">
        <f>$E$119-0.059*$E$119*(G1-2020)</f>
        <v>2.0260558079999998E-2</v>
      </c>
      <c r="H119" s="15">
        <f t="shared" ref="H119:V119" si="57">$E$119-0.059*$E$119*(H1-2020)</f>
        <v>1.899023616E-2</v>
      </c>
      <c r="I119" s="15">
        <f t="shared" si="57"/>
        <v>1.7719914239999999E-2</v>
      </c>
      <c r="J119" s="15">
        <f t="shared" si="57"/>
        <v>1.6449592319999998E-2</v>
      </c>
      <c r="K119" s="15">
        <f t="shared" si="57"/>
        <v>1.51792704E-2</v>
      </c>
      <c r="L119" s="15">
        <f t="shared" si="57"/>
        <v>1.3908948479999999E-2</v>
      </c>
      <c r="M119" s="15">
        <f t="shared" si="57"/>
        <v>1.263862656E-2</v>
      </c>
      <c r="N119" s="15">
        <f t="shared" si="57"/>
        <v>1.136830464E-2</v>
      </c>
      <c r="O119" s="15">
        <f t="shared" si="57"/>
        <v>1.0097982720000001E-2</v>
      </c>
      <c r="P119" s="15">
        <f t="shared" si="57"/>
        <v>8.8276608000000013E-3</v>
      </c>
      <c r="Q119" s="15">
        <f t="shared" si="57"/>
        <v>7.5573388800000002E-3</v>
      </c>
      <c r="R119" s="15">
        <f t="shared" si="57"/>
        <v>6.2870169600000008E-3</v>
      </c>
      <c r="S119" s="15">
        <f t="shared" si="57"/>
        <v>5.0166950400000014E-3</v>
      </c>
      <c r="T119" s="15">
        <f t="shared" si="57"/>
        <v>3.7463731200000003E-3</v>
      </c>
      <c r="U119" s="15">
        <f t="shared" si="57"/>
        <v>2.4760512000000026E-3</v>
      </c>
      <c r="V119" s="15">
        <f t="shared" si="57"/>
        <v>1.2057292800000015E-3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</row>
    <row r="120" spans="1:36" x14ac:dyDescent="0.45">
      <c r="A120" s="34"/>
      <c r="B120" s="3" t="s">
        <v>296</v>
      </c>
      <c r="C120" s="3" t="s">
        <v>341</v>
      </c>
      <c r="D120" s="3" t="s">
        <v>463</v>
      </c>
      <c r="E120" s="15">
        <v>0</v>
      </c>
      <c r="F120" s="3" t="s">
        <v>481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</row>
    <row r="121" spans="1:36" x14ac:dyDescent="0.45">
      <c r="A121" s="34" t="s">
        <v>313</v>
      </c>
      <c r="B121" s="3" t="s">
        <v>298</v>
      </c>
      <c r="C121" s="3" t="s">
        <v>342</v>
      </c>
      <c r="D121" s="3" t="s">
        <v>463</v>
      </c>
      <c r="E121" s="15">
        <v>7.9165240000000008</v>
      </c>
      <c r="F121" s="3" t="s">
        <v>482</v>
      </c>
      <c r="G121" s="15">
        <f>$E$121-0.05*$E$121*(G1-2020)</f>
        <v>7.5206978000000007</v>
      </c>
      <c r="H121" s="15">
        <f t="shared" ref="H121:Z121" si="58">$E$121-0.05*$E$121*(H1-2020)</f>
        <v>7.1248716000000005</v>
      </c>
      <c r="I121" s="15">
        <f t="shared" si="58"/>
        <v>6.7290454000000004</v>
      </c>
      <c r="J121" s="15">
        <f t="shared" si="58"/>
        <v>6.3332192000000003</v>
      </c>
      <c r="K121" s="15">
        <f t="shared" si="58"/>
        <v>5.9373930000000001</v>
      </c>
      <c r="L121" s="15">
        <f t="shared" si="58"/>
        <v>5.5415668</v>
      </c>
      <c r="M121" s="15">
        <f t="shared" si="58"/>
        <v>5.1457405999999999</v>
      </c>
      <c r="N121" s="15">
        <f t="shared" si="58"/>
        <v>4.7499143999999998</v>
      </c>
      <c r="O121" s="15">
        <f t="shared" si="58"/>
        <v>4.3540881999999996</v>
      </c>
      <c r="P121" s="15">
        <f t="shared" si="58"/>
        <v>3.9582619999999999</v>
      </c>
      <c r="Q121" s="15">
        <f t="shared" si="58"/>
        <v>3.5624358000000003</v>
      </c>
      <c r="R121" s="15">
        <f t="shared" si="58"/>
        <v>3.1666096000000001</v>
      </c>
      <c r="S121" s="15">
        <f t="shared" si="58"/>
        <v>2.7707834</v>
      </c>
      <c r="T121" s="15">
        <f t="shared" si="58"/>
        <v>2.3749571999999999</v>
      </c>
      <c r="U121" s="15">
        <f t="shared" si="58"/>
        <v>1.9791309999999998</v>
      </c>
      <c r="V121" s="15">
        <f t="shared" si="58"/>
        <v>1.5833047999999996</v>
      </c>
      <c r="W121" s="15">
        <f t="shared" si="58"/>
        <v>1.1874785999999995</v>
      </c>
      <c r="X121" s="15">
        <f t="shared" si="58"/>
        <v>0.79165239999999937</v>
      </c>
      <c r="Y121" s="15">
        <f t="shared" si="58"/>
        <v>0.39582619999999924</v>
      </c>
      <c r="Z121" s="15">
        <f t="shared" si="58"/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</row>
    <row r="122" spans="1:36" x14ac:dyDescent="0.45">
      <c r="A122" s="34"/>
      <c r="B122" s="3" t="s">
        <v>299</v>
      </c>
      <c r="C122" s="3" t="s">
        <v>343</v>
      </c>
      <c r="D122" s="3" t="s">
        <v>463</v>
      </c>
      <c r="E122" s="15">
        <v>0.30168600000000001</v>
      </c>
      <c r="F122" s="3" t="s">
        <v>483</v>
      </c>
      <c r="G122" s="15">
        <f>$E$122-0.05*$E$122*(G1-2020)</f>
        <v>0.28660170000000001</v>
      </c>
      <c r="H122" s="15">
        <f t="shared" ref="H122:Z122" si="59">$E$122-0.05*$E$122*(H1-2020)</f>
        <v>0.27151740000000002</v>
      </c>
      <c r="I122" s="15">
        <f t="shared" si="59"/>
        <v>0.25643310000000002</v>
      </c>
      <c r="J122" s="15">
        <f t="shared" si="59"/>
        <v>0.2413488</v>
      </c>
      <c r="K122" s="15">
        <f t="shared" si="59"/>
        <v>0.22626450000000001</v>
      </c>
      <c r="L122" s="15">
        <f t="shared" si="59"/>
        <v>0.21118019999999998</v>
      </c>
      <c r="M122" s="15">
        <f t="shared" si="59"/>
        <v>0.19609589999999999</v>
      </c>
      <c r="N122" s="15">
        <f t="shared" si="59"/>
        <v>0.18101159999999999</v>
      </c>
      <c r="O122" s="15">
        <f t="shared" si="59"/>
        <v>0.1659273</v>
      </c>
      <c r="P122" s="15">
        <f t="shared" si="59"/>
        <v>0.150843</v>
      </c>
      <c r="Q122" s="15">
        <f t="shared" si="59"/>
        <v>0.13575869999999998</v>
      </c>
      <c r="R122" s="15">
        <f t="shared" si="59"/>
        <v>0.12067439999999999</v>
      </c>
      <c r="S122" s="15">
        <f t="shared" si="59"/>
        <v>0.10559009999999999</v>
      </c>
      <c r="T122" s="15">
        <f t="shared" si="59"/>
        <v>9.050579999999997E-2</v>
      </c>
      <c r="U122" s="15">
        <f t="shared" si="59"/>
        <v>7.5421499999999975E-2</v>
      </c>
      <c r="V122" s="15">
        <f t="shared" si="59"/>
        <v>6.033719999999998E-2</v>
      </c>
      <c r="W122" s="15">
        <f t="shared" si="59"/>
        <v>4.5252899999999985E-2</v>
      </c>
      <c r="X122" s="15">
        <f t="shared" si="59"/>
        <v>3.016859999999999E-2</v>
      </c>
      <c r="Y122" s="15">
        <f t="shared" si="59"/>
        <v>1.5084299999999995E-2</v>
      </c>
      <c r="Z122" s="15">
        <f t="shared" si="59"/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</row>
    <row r="123" spans="1:36" x14ac:dyDescent="0.45">
      <c r="A123" s="34"/>
      <c r="B123" s="3" t="s">
        <v>300</v>
      </c>
      <c r="C123" s="3" t="s">
        <v>344</v>
      </c>
      <c r="D123" s="3" t="s">
        <v>463</v>
      </c>
      <c r="E123" s="15">
        <v>2.0453004000000004</v>
      </c>
      <c r="F123" s="3" t="s">
        <v>484</v>
      </c>
      <c r="G123" s="15">
        <f>$E$123-0.05*$E$123*(G1-2020)</f>
        <v>1.9430353800000004</v>
      </c>
      <c r="H123" s="15">
        <f t="shared" ref="H123:Z123" si="60">$E$123-0.05*$E$123*(H1-2020)</f>
        <v>1.8407703600000003</v>
      </c>
      <c r="I123" s="15">
        <f t="shared" si="60"/>
        <v>1.7385053400000003</v>
      </c>
      <c r="J123" s="15">
        <f t="shared" si="60"/>
        <v>1.6362403200000002</v>
      </c>
      <c r="K123" s="15">
        <f t="shared" si="60"/>
        <v>1.5339753000000003</v>
      </c>
      <c r="L123" s="15">
        <f t="shared" si="60"/>
        <v>1.4317102800000003</v>
      </c>
      <c r="M123" s="15">
        <f t="shared" si="60"/>
        <v>1.3294452600000002</v>
      </c>
      <c r="N123" s="15">
        <f t="shared" si="60"/>
        <v>1.22718024</v>
      </c>
      <c r="O123" s="15">
        <f t="shared" si="60"/>
        <v>1.1249152200000001</v>
      </c>
      <c r="P123" s="15">
        <f t="shared" si="60"/>
        <v>1.0226502000000002</v>
      </c>
      <c r="Q123" s="15">
        <f t="shared" si="60"/>
        <v>0.92038518000000002</v>
      </c>
      <c r="R123" s="15">
        <f t="shared" si="60"/>
        <v>0.8181201600000001</v>
      </c>
      <c r="S123" s="15">
        <f t="shared" si="60"/>
        <v>0.71585513999999995</v>
      </c>
      <c r="T123" s="15">
        <f t="shared" si="60"/>
        <v>0.61359012000000002</v>
      </c>
      <c r="U123" s="15">
        <f t="shared" si="60"/>
        <v>0.51132509999999987</v>
      </c>
      <c r="V123" s="15">
        <f t="shared" si="60"/>
        <v>0.40906007999999994</v>
      </c>
      <c r="W123" s="15">
        <f t="shared" si="60"/>
        <v>0.30679506000000001</v>
      </c>
      <c r="X123" s="15">
        <f t="shared" si="60"/>
        <v>0.20453003999999986</v>
      </c>
      <c r="Y123" s="15">
        <f t="shared" si="60"/>
        <v>0.10226501999999993</v>
      </c>
      <c r="Z123" s="15">
        <f t="shared" si="60"/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</row>
    <row r="124" spans="1:36" x14ac:dyDescent="0.45">
      <c r="A124" s="34"/>
      <c r="B124" s="3" t="s">
        <v>301</v>
      </c>
      <c r="C124" s="3" t="s">
        <v>345</v>
      </c>
      <c r="D124" s="3" t="s">
        <v>463</v>
      </c>
      <c r="E124" s="21">
        <v>4.444E-3</v>
      </c>
      <c r="F124" s="3" t="s">
        <v>485</v>
      </c>
      <c r="G124" s="15">
        <f>$E$124-0.05*$E$124*(G1-2020)</f>
        <v>4.2218000000000004E-3</v>
      </c>
      <c r="H124" s="15">
        <f t="shared" ref="H124:Z124" si="61">$E$124-0.05*$E$124*(H1-2020)</f>
        <v>3.9995999999999999E-3</v>
      </c>
      <c r="I124" s="15">
        <f t="shared" si="61"/>
        <v>3.7774000000000002E-3</v>
      </c>
      <c r="J124" s="15">
        <f t="shared" si="61"/>
        <v>3.5552000000000001E-3</v>
      </c>
      <c r="K124" s="15">
        <f t="shared" si="61"/>
        <v>3.333E-3</v>
      </c>
      <c r="L124" s="15">
        <f t="shared" si="61"/>
        <v>3.1107999999999999E-3</v>
      </c>
      <c r="M124" s="15">
        <f t="shared" si="61"/>
        <v>2.8885999999999998E-3</v>
      </c>
      <c r="N124" s="15">
        <f t="shared" si="61"/>
        <v>2.6664000000000002E-3</v>
      </c>
      <c r="O124" s="15">
        <f t="shared" si="61"/>
        <v>2.4442000000000001E-3</v>
      </c>
      <c r="P124" s="15">
        <f t="shared" si="61"/>
        <v>2.222E-3</v>
      </c>
      <c r="Q124" s="15">
        <f t="shared" si="61"/>
        <v>1.9997999999999999E-3</v>
      </c>
      <c r="R124" s="15">
        <f t="shared" si="61"/>
        <v>1.7775999999999998E-3</v>
      </c>
      <c r="S124" s="15">
        <f t="shared" si="61"/>
        <v>1.5553999999999998E-3</v>
      </c>
      <c r="T124" s="15">
        <f t="shared" si="61"/>
        <v>1.3332000000000001E-3</v>
      </c>
      <c r="U124" s="15">
        <f t="shared" si="61"/>
        <v>1.111E-3</v>
      </c>
      <c r="V124" s="15">
        <f t="shared" si="61"/>
        <v>8.8879999999999992E-4</v>
      </c>
      <c r="W124" s="15">
        <f t="shared" si="61"/>
        <v>6.6659999999999983E-4</v>
      </c>
      <c r="X124" s="15">
        <f t="shared" si="61"/>
        <v>4.4440000000000018E-4</v>
      </c>
      <c r="Y124" s="15">
        <f t="shared" si="61"/>
        <v>2.2219999999999965E-4</v>
      </c>
      <c r="Z124" s="15">
        <f t="shared" si="61"/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</row>
    <row r="125" spans="1:36" x14ac:dyDescent="0.45">
      <c r="A125" s="34"/>
      <c r="B125" s="3" t="s">
        <v>302</v>
      </c>
      <c r="C125" s="3" t="s">
        <v>346</v>
      </c>
      <c r="D125" s="3" t="s">
        <v>463</v>
      </c>
      <c r="E125" s="15">
        <v>0</v>
      </c>
      <c r="F125" s="3" t="s">
        <v>486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</row>
    <row r="126" spans="1:36" x14ac:dyDescent="0.45">
      <c r="A126" s="34"/>
      <c r="B126" s="3" t="s">
        <v>303</v>
      </c>
      <c r="C126" s="3" t="s">
        <v>347</v>
      </c>
      <c r="D126" s="3" t="s">
        <v>463</v>
      </c>
      <c r="E126" s="15">
        <v>0</v>
      </c>
      <c r="F126" s="3" t="s">
        <v>487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</row>
    <row r="127" spans="1:36" x14ac:dyDescent="0.45">
      <c r="A127" s="34"/>
      <c r="B127" s="3" t="s">
        <v>304</v>
      </c>
      <c r="C127" s="3" t="s">
        <v>348</v>
      </c>
      <c r="D127" s="3" t="s">
        <v>463</v>
      </c>
      <c r="E127" s="15">
        <v>2.3394176</v>
      </c>
      <c r="F127" s="3" t="s">
        <v>488</v>
      </c>
      <c r="G127" s="15">
        <f>$E$127-0.04*$E$127*(G1-2020)</f>
        <v>2.2458408959999998</v>
      </c>
      <c r="H127" s="15">
        <f t="shared" ref="H127:AE127" si="62">$E$127-0.04*$E$127*(H1-2020)</f>
        <v>2.1522641920000001</v>
      </c>
      <c r="I127" s="15">
        <f t="shared" si="62"/>
        <v>2.0586874879999999</v>
      </c>
      <c r="J127" s="15">
        <f t="shared" si="62"/>
        <v>1.9651107839999999</v>
      </c>
      <c r="K127" s="15">
        <f t="shared" si="62"/>
        <v>1.87153408</v>
      </c>
      <c r="L127" s="15">
        <f t="shared" si="62"/>
        <v>1.777957376</v>
      </c>
      <c r="M127" s="15">
        <f t="shared" si="62"/>
        <v>1.6843806720000001</v>
      </c>
      <c r="N127" s="15">
        <f t="shared" si="62"/>
        <v>1.5908039679999999</v>
      </c>
      <c r="O127" s="15">
        <f t="shared" si="62"/>
        <v>1.4972272640000002</v>
      </c>
      <c r="P127" s="15">
        <f t="shared" si="62"/>
        <v>1.40365056</v>
      </c>
      <c r="Q127" s="15">
        <f t="shared" si="62"/>
        <v>1.310073856</v>
      </c>
      <c r="R127" s="15">
        <f t="shared" si="62"/>
        <v>1.2164971520000001</v>
      </c>
      <c r="S127" s="15">
        <f t="shared" si="62"/>
        <v>1.1229204480000001</v>
      </c>
      <c r="T127" s="15">
        <f t="shared" si="62"/>
        <v>1.0293437439999999</v>
      </c>
      <c r="U127" s="15">
        <f t="shared" si="62"/>
        <v>0.93576703999999999</v>
      </c>
      <c r="V127" s="15">
        <f t="shared" si="62"/>
        <v>0.84219033600000004</v>
      </c>
      <c r="W127" s="15">
        <f t="shared" si="62"/>
        <v>0.74861363200000008</v>
      </c>
      <c r="X127" s="15">
        <f t="shared" si="62"/>
        <v>0.65503692800000013</v>
      </c>
      <c r="Y127" s="15">
        <f t="shared" si="62"/>
        <v>0.56146022399999995</v>
      </c>
      <c r="Z127" s="15">
        <f t="shared" si="62"/>
        <v>0.46788352</v>
      </c>
      <c r="AA127" s="15">
        <f t="shared" si="62"/>
        <v>0.37430681600000004</v>
      </c>
      <c r="AB127" s="15">
        <f t="shared" si="62"/>
        <v>0.28073011200000009</v>
      </c>
      <c r="AC127" s="15">
        <f t="shared" si="62"/>
        <v>0.18715340799999991</v>
      </c>
      <c r="AD127" s="15">
        <f t="shared" si="62"/>
        <v>9.3576704000000177E-2</v>
      </c>
      <c r="AE127" s="15">
        <f t="shared" si="62"/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</row>
    <row r="128" spans="1:36" x14ac:dyDescent="0.45">
      <c r="A128" s="34"/>
      <c r="B128" s="3" t="s">
        <v>305</v>
      </c>
      <c r="C128" s="3" t="s">
        <v>349</v>
      </c>
      <c r="D128" s="3" t="s">
        <v>463</v>
      </c>
      <c r="E128" s="15">
        <v>42.469862399999997</v>
      </c>
      <c r="F128" s="3" t="s">
        <v>489</v>
      </c>
      <c r="G128" s="15">
        <f>$E$128-0.04*$E$128*(G1-2020)</f>
        <v>40.771067903999999</v>
      </c>
      <c r="H128" s="15">
        <f t="shared" ref="H128:AE128" si="63">$E$128-0.04*$E$128*(H1-2020)</f>
        <v>39.072273407999994</v>
      </c>
      <c r="I128" s="15">
        <f t="shared" si="63"/>
        <v>37.373478911999996</v>
      </c>
      <c r="J128" s="15">
        <f t="shared" si="63"/>
        <v>35.674684415999998</v>
      </c>
      <c r="K128" s="15">
        <f t="shared" si="63"/>
        <v>33.97588992</v>
      </c>
      <c r="L128" s="15">
        <f t="shared" si="63"/>
        <v>32.277095423999995</v>
      </c>
      <c r="M128" s="15">
        <f t="shared" si="63"/>
        <v>30.578300927999997</v>
      </c>
      <c r="N128" s="15">
        <f t="shared" si="63"/>
        <v>28.879506431999999</v>
      </c>
      <c r="O128" s="15">
        <f t="shared" si="63"/>
        <v>27.180711935999998</v>
      </c>
      <c r="P128" s="15">
        <f t="shared" si="63"/>
        <v>25.481917439999997</v>
      </c>
      <c r="Q128" s="15">
        <f t="shared" si="63"/>
        <v>23.783122943999999</v>
      </c>
      <c r="R128" s="15">
        <f t="shared" si="63"/>
        <v>22.084328447999997</v>
      </c>
      <c r="S128" s="15">
        <f t="shared" si="63"/>
        <v>20.385533951999999</v>
      </c>
      <c r="T128" s="15">
        <f t="shared" si="63"/>
        <v>18.686739455999998</v>
      </c>
      <c r="U128" s="15">
        <f t="shared" si="63"/>
        <v>16.98794496</v>
      </c>
      <c r="V128" s="15">
        <f t="shared" si="63"/>
        <v>15.289150463999999</v>
      </c>
      <c r="W128" s="15">
        <f t="shared" si="63"/>
        <v>13.590355967999997</v>
      </c>
      <c r="X128" s="15">
        <f t="shared" si="63"/>
        <v>11.891561471999999</v>
      </c>
      <c r="Y128" s="15">
        <f t="shared" si="63"/>
        <v>10.192766976000001</v>
      </c>
      <c r="Z128" s="15">
        <f t="shared" si="63"/>
        <v>8.4939724799999965</v>
      </c>
      <c r="AA128" s="15">
        <f t="shared" si="63"/>
        <v>6.7951779839999986</v>
      </c>
      <c r="AB128" s="15">
        <f t="shared" si="63"/>
        <v>5.0963834880000007</v>
      </c>
      <c r="AC128" s="15">
        <f t="shared" si="63"/>
        <v>3.3975889920000029</v>
      </c>
      <c r="AD128" s="15">
        <f t="shared" si="63"/>
        <v>1.6987944959999979</v>
      </c>
      <c r="AE128" s="15">
        <f t="shared" si="63"/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</row>
    <row r="129" spans="1:36" x14ac:dyDescent="0.45">
      <c r="A129" s="34"/>
      <c r="B129" s="3" t="s">
        <v>306</v>
      </c>
      <c r="C129" s="3" t="s">
        <v>350</v>
      </c>
      <c r="D129" s="3" t="s">
        <v>463</v>
      </c>
      <c r="E129" s="15">
        <v>3.5765280000000002</v>
      </c>
      <c r="F129" s="3" t="s">
        <v>490</v>
      </c>
      <c r="G129" s="15">
        <f>$E$129-0.04*$E$129*(G1-2020)</f>
        <v>3.4334668800000001</v>
      </c>
      <c r="H129" s="15">
        <f t="shared" ref="H129:AE129" si="64">$E$129-0.04*$E$129*(H1-2020)</f>
        <v>3.2904057600000001</v>
      </c>
      <c r="I129" s="15">
        <f t="shared" si="64"/>
        <v>3.14734464</v>
      </c>
      <c r="J129" s="15">
        <f t="shared" si="64"/>
        <v>3.00428352</v>
      </c>
      <c r="K129" s="15">
        <f t="shared" si="64"/>
        <v>2.8612223999999999</v>
      </c>
      <c r="L129" s="15">
        <f t="shared" si="64"/>
        <v>2.7181612800000003</v>
      </c>
      <c r="M129" s="15">
        <f t="shared" si="64"/>
        <v>2.5751001599999999</v>
      </c>
      <c r="N129" s="15">
        <f t="shared" si="64"/>
        <v>2.4320390400000003</v>
      </c>
      <c r="O129" s="15">
        <f t="shared" si="64"/>
        <v>2.2889779199999998</v>
      </c>
      <c r="P129" s="15">
        <f t="shared" si="64"/>
        <v>2.1459168000000002</v>
      </c>
      <c r="Q129" s="15">
        <f t="shared" si="64"/>
        <v>2.0028556799999997</v>
      </c>
      <c r="R129" s="15">
        <f t="shared" si="64"/>
        <v>1.8597945600000001</v>
      </c>
      <c r="S129" s="15">
        <f t="shared" si="64"/>
        <v>1.7167334400000001</v>
      </c>
      <c r="T129" s="15">
        <f t="shared" si="64"/>
        <v>1.57367232</v>
      </c>
      <c r="U129" s="15">
        <f t="shared" si="64"/>
        <v>1.4306112</v>
      </c>
      <c r="V129" s="15">
        <f t="shared" si="64"/>
        <v>1.2875500799999999</v>
      </c>
      <c r="W129" s="15">
        <f t="shared" si="64"/>
        <v>1.1444889599999999</v>
      </c>
      <c r="X129" s="15">
        <f t="shared" si="64"/>
        <v>1.0014278399999998</v>
      </c>
      <c r="Y129" s="15">
        <f t="shared" si="64"/>
        <v>0.85836671999999981</v>
      </c>
      <c r="Z129" s="15">
        <f t="shared" si="64"/>
        <v>0.71530559999999976</v>
      </c>
      <c r="AA129" s="15">
        <f t="shared" si="64"/>
        <v>0.57224447999999972</v>
      </c>
      <c r="AB129" s="15">
        <f t="shared" si="64"/>
        <v>0.42918335999999968</v>
      </c>
      <c r="AC129" s="15">
        <f t="shared" si="64"/>
        <v>0.28612223999999964</v>
      </c>
      <c r="AD129" s="15">
        <f t="shared" si="64"/>
        <v>0.14306112000000004</v>
      </c>
      <c r="AE129" s="15">
        <f t="shared" si="64"/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</row>
    <row r="130" spans="1:36" x14ac:dyDescent="0.45">
      <c r="A130" s="34"/>
      <c r="B130" s="3" t="s">
        <v>311</v>
      </c>
      <c r="C130" s="3" t="s">
        <v>351</v>
      </c>
      <c r="D130" s="3" t="s">
        <v>463</v>
      </c>
      <c r="E130" s="15">
        <v>0</v>
      </c>
      <c r="F130" s="3" t="s">
        <v>491</v>
      </c>
      <c r="G130" s="15">
        <f>$E$130-0.045*$E$130*(G1-2020)</f>
        <v>0</v>
      </c>
      <c r="H130" s="15">
        <f t="shared" ref="H130:AE130" si="65">$E$130-0.045*$E$130*(H1-2020)</f>
        <v>0</v>
      </c>
      <c r="I130" s="15">
        <f t="shared" si="65"/>
        <v>0</v>
      </c>
      <c r="J130" s="15">
        <f t="shared" si="65"/>
        <v>0</v>
      </c>
      <c r="K130" s="15">
        <f t="shared" si="65"/>
        <v>0</v>
      </c>
      <c r="L130" s="15">
        <f t="shared" si="65"/>
        <v>0</v>
      </c>
      <c r="M130" s="15">
        <f t="shared" si="65"/>
        <v>0</v>
      </c>
      <c r="N130" s="15">
        <f t="shared" si="65"/>
        <v>0</v>
      </c>
      <c r="O130" s="15">
        <f t="shared" si="65"/>
        <v>0</v>
      </c>
      <c r="P130" s="15">
        <f t="shared" si="65"/>
        <v>0</v>
      </c>
      <c r="Q130" s="15">
        <f t="shared" si="65"/>
        <v>0</v>
      </c>
      <c r="R130" s="15">
        <f t="shared" si="65"/>
        <v>0</v>
      </c>
      <c r="S130" s="15">
        <f t="shared" si="65"/>
        <v>0</v>
      </c>
      <c r="T130" s="15">
        <f t="shared" si="65"/>
        <v>0</v>
      </c>
      <c r="U130" s="15">
        <f t="shared" si="65"/>
        <v>0</v>
      </c>
      <c r="V130" s="15">
        <f t="shared" si="65"/>
        <v>0</v>
      </c>
      <c r="W130" s="15">
        <f t="shared" si="65"/>
        <v>0</v>
      </c>
      <c r="X130" s="15">
        <f t="shared" si="65"/>
        <v>0</v>
      </c>
      <c r="Y130" s="15">
        <f t="shared" si="65"/>
        <v>0</v>
      </c>
      <c r="Z130" s="15">
        <f t="shared" si="65"/>
        <v>0</v>
      </c>
      <c r="AA130" s="15">
        <f t="shared" si="65"/>
        <v>0</v>
      </c>
      <c r="AB130" s="15">
        <f t="shared" si="65"/>
        <v>0</v>
      </c>
      <c r="AC130" s="15">
        <f t="shared" si="65"/>
        <v>0</v>
      </c>
      <c r="AD130" s="15">
        <f t="shared" si="65"/>
        <v>0</v>
      </c>
      <c r="AE130" s="15">
        <f t="shared" si="65"/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</row>
    <row r="131" spans="1:36" x14ac:dyDescent="0.45">
      <c r="A131" s="34"/>
      <c r="B131" s="3" t="s">
        <v>307</v>
      </c>
      <c r="C131" s="3" t="s">
        <v>352</v>
      </c>
      <c r="D131" s="3" t="s">
        <v>463</v>
      </c>
      <c r="E131" s="15">
        <v>0</v>
      </c>
      <c r="F131" s="3" t="s">
        <v>492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</row>
    <row r="132" spans="1:36" x14ac:dyDescent="0.45">
      <c r="A132" s="34"/>
      <c r="B132" s="3" t="s">
        <v>367</v>
      </c>
      <c r="C132" s="3" t="s">
        <v>184</v>
      </c>
      <c r="D132" s="3" t="s">
        <v>463</v>
      </c>
      <c r="E132" s="15">
        <v>3.1753167999999996</v>
      </c>
      <c r="F132" s="3" t="s">
        <v>492</v>
      </c>
      <c r="G132" s="15">
        <f>$E$132-0.04*$E$132*(G1-2020)</f>
        <v>3.0483041279999998</v>
      </c>
      <c r="H132" s="15">
        <f t="shared" ref="H132:AE132" si="66">$E$132-0.04*$E$132*(H1-2020)</f>
        <v>2.9212914559999996</v>
      </c>
      <c r="I132" s="15">
        <f t="shared" si="66"/>
        <v>2.7942787839999994</v>
      </c>
      <c r="J132" s="15">
        <f t="shared" si="66"/>
        <v>2.6672661119999996</v>
      </c>
      <c r="K132" s="15">
        <f t="shared" si="66"/>
        <v>2.5402534399999999</v>
      </c>
      <c r="L132" s="15">
        <f t="shared" si="66"/>
        <v>2.4132407679999996</v>
      </c>
      <c r="M132" s="15">
        <f t="shared" si="66"/>
        <v>2.2862280959999994</v>
      </c>
      <c r="N132" s="15">
        <f t="shared" si="66"/>
        <v>2.1592154239999997</v>
      </c>
      <c r="O132" s="15">
        <f t="shared" si="66"/>
        <v>2.0322027519999999</v>
      </c>
      <c r="P132" s="15">
        <f t="shared" si="66"/>
        <v>1.9051900799999997</v>
      </c>
      <c r="Q132" s="15">
        <f t="shared" si="66"/>
        <v>1.7781774079999997</v>
      </c>
      <c r="R132" s="15">
        <f t="shared" si="66"/>
        <v>1.6511647359999997</v>
      </c>
      <c r="S132" s="15">
        <f t="shared" si="66"/>
        <v>1.5241520639999997</v>
      </c>
      <c r="T132" s="15">
        <f t="shared" si="66"/>
        <v>1.3971393919999997</v>
      </c>
      <c r="U132" s="15">
        <f t="shared" si="66"/>
        <v>1.2701267199999997</v>
      </c>
      <c r="V132" s="15">
        <f t="shared" si="66"/>
        <v>1.1431140479999997</v>
      </c>
      <c r="W132" s="15">
        <f t="shared" si="66"/>
        <v>1.0161013759999995</v>
      </c>
      <c r="X132" s="15">
        <f t="shared" si="66"/>
        <v>0.88908870399999973</v>
      </c>
      <c r="Y132" s="15">
        <f t="shared" si="66"/>
        <v>0.76207603199999996</v>
      </c>
      <c r="Z132" s="15">
        <f t="shared" si="66"/>
        <v>0.63506335999999974</v>
      </c>
      <c r="AA132" s="15">
        <f t="shared" si="66"/>
        <v>0.50805068799999953</v>
      </c>
      <c r="AB132" s="15">
        <f t="shared" si="66"/>
        <v>0.38103801599999976</v>
      </c>
      <c r="AC132" s="15">
        <f t="shared" si="66"/>
        <v>0.25402534399999999</v>
      </c>
      <c r="AD132" s="15">
        <f t="shared" si="66"/>
        <v>0.12701267199999977</v>
      </c>
      <c r="AE132" s="15">
        <f t="shared" si="66"/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</row>
    <row r="133" spans="1:36" x14ac:dyDescent="0.45">
      <c r="A133" s="34"/>
      <c r="B133" s="3" t="s">
        <v>308</v>
      </c>
      <c r="C133" s="3" t="s">
        <v>182</v>
      </c>
      <c r="D133" s="3" t="s">
        <v>463</v>
      </c>
      <c r="E133" s="15">
        <v>237.13404479999997</v>
      </c>
      <c r="F133" s="3" t="s">
        <v>493</v>
      </c>
      <c r="G133" s="15">
        <f>$E$133-0.04*$E$133*(G1-2020)</f>
        <v>227.64868300799998</v>
      </c>
      <c r="H133" s="15">
        <f t="shared" ref="H133:AE133" si="67">$E$133-0.04*$E$133*(H1-2020)</f>
        <v>218.16332121599999</v>
      </c>
      <c r="I133" s="15">
        <f t="shared" si="67"/>
        <v>208.67795942399997</v>
      </c>
      <c r="J133" s="15">
        <f t="shared" si="67"/>
        <v>199.19259763199997</v>
      </c>
      <c r="K133" s="15">
        <f t="shared" si="67"/>
        <v>189.70723583999998</v>
      </c>
      <c r="L133" s="15">
        <f t="shared" si="67"/>
        <v>180.22187404799996</v>
      </c>
      <c r="M133" s="15">
        <f t="shared" si="67"/>
        <v>170.73651225599997</v>
      </c>
      <c r="N133" s="15">
        <f t="shared" si="67"/>
        <v>161.25115046399998</v>
      </c>
      <c r="O133" s="15">
        <f t="shared" si="67"/>
        <v>151.76578867199999</v>
      </c>
      <c r="P133" s="15">
        <f t="shared" si="67"/>
        <v>142.28042687999999</v>
      </c>
      <c r="Q133" s="15">
        <f t="shared" si="67"/>
        <v>132.79506508799997</v>
      </c>
      <c r="R133" s="15">
        <f t="shared" si="67"/>
        <v>123.30970329599998</v>
      </c>
      <c r="S133" s="15">
        <f t="shared" si="67"/>
        <v>113.82434150399999</v>
      </c>
      <c r="T133" s="15">
        <f t="shared" si="67"/>
        <v>104.33897971199997</v>
      </c>
      <c r="U133" s="15">
        <f t="shared" si="67"/>
        <v>94.853617919999976</v>
      </c>
      <c r="V133" s="15">
        <f t="shared" si="67"/>
        <v>85.368256127999985</v>
      </c>
      <c r="W133" s="15">
        <f t="shared" si="67"/>
        <v>75.882894335999993</v>
      </c>
      <c r="X133" s="15">
        <f t="shared" si="67"/>
        <v>66.397532544000001</v>
      </c>
      <c r="Y133" s="15">
        <f t="shared" si="67"/>
        <v>56.91217075199998</v>
      </c>
      <c r="Z133" s="15">
        <f t="shared" si="67"/>
        <v>47.426808959999988</v>
      </c>
      <c r="AA133" s="15">
        <f t="shared" si="67"/>
        <v>37.941447167999996</v>
      </c>
      <c r="AB133" s="15">
        <f t="shared" si="67"/>
        <v>28.456085375999976</v>
      </c>
      <c r="AC133" s="15">
        <f t="shared" si="67"/>
        <v>18.970723583999984</v>
      </c>
      <c r="AD133" s="15">
        <f t="shared" si="67"/>
        <v>9.485361791999992</v>
      </c>
      <c r="AE133" s="15">
        <f t="shared" si="67"/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</row>
    <row r="134" spans="1:36" x14ac:dyDescent="0.45">
      <c r="A134" s="34"/>
      <c r="B134" s="3" t="s">
        <v>309</v>
      </c>
      <c r="C134" s="3" t="s">
        <v>353</v>
      </c>
      <c r="D134" s="3" t="s">
        <v>463</v>
      </c>
      <c r="E134" s="15">
        <v>13.306859999999999</v>
      </c>
      <c r="F134" s="3" t="s">
        <v>494</v>
      </c>
      <c r="G134" s="15">
        <f>$E$134-0.04*$E$134*(G1-2020)</f>
        <v>12.774585599999998</v>
      </c>
      <c r="H134" s="15">
        <f t="shared" ref="H134:AE134" si="68">$E$134-0.04*$E$134*(H1-2020)</f>
        <v>12.2423112</v>
      </c>
      <c r="I134" s="15">
        <f t="shared" si="68"/>
        <v>11.710036799999999</v>
      </c>
      <c r="J134" s="15">
        <f t="shared" si="68"/>
        <v>11.177762399999999</v>
      </c>
      <c r="K134" s="15">
        <f t="shared" si="68"/>
        <v>10.645487999999999</v>
      </c>
      <c r="L134" s="15">
        <f t="shared" si="68"/>
        <v>10.113213599999998</v>
      </c>
      <c r="M134" s="15">
        <f t="shared" si="68"/>
        <v>9.5809391999999995</v>
      </c>
      <c r="N134" s="15">
        <f t="shared" si="68"/>
        <v>9.0486647999999992</v>
      </c>
      <c r="O134" s="15">
        <f t="shared" si="68"/>
        <v>8.5163903999999988</v>
      </c>
      <c r="P134" s="15">
        <f t="shared" si="68"/>
        <v>7.9841159999999993</v>
      </c>
      <c r="Q134" s="15">
        <f t="shared" si="68"/>
        <v>7.4518415999999998</v>
      </c>
      <c r="R134" s="15">
        <f t="shared" si="68"/>
        <v>6.9195671999999995</v>
      </c>
      <c r="S134" s="15">
        <f t="shared" si="68"/>
        <v>6.3872927999999991</v>
      </c>
      <c r="T134" s="15">
        <f t="shared" si="68"/>
        <v>5.8550183999999996</v>
      </c>
      <c r="U134" s="15">
        <f t="shared" si="68"/>
        <v>5.3227440000000001</v>
      </c>
      <c r="V134" s="15">
        <f t="shared" si="68"/>
        <v>4.7904695999999998</v>
      </c>
      <c r="W134" s="15">
        <f t="shared" si="68"/>
        <v>4.2581951999999994</v>
      </c>
      <c r="X134" s="15">
        <f t="shared" si="68"/>
        <v>3.725920799999999</v>
      </c>
      <c r="Y134" s="15">
        <f t="shared" si="68"/>
        <v>3.1936464000000004</v>
      </c>
      <c r="Z134" s="15">
        <f t="shared" si="68"/>
        <v>2.6613720000000001</v>
      </c>
      <c r="AA134" s="15">
        <f t="shared" si="68"/>
        <v>2.1290975999999997</v>
      </c>
      <c r="AB134" s="15">
        <f t="shared" si="68"/>
        <v>1.5968232000000011</v>
      </c>
      <c r="AC134" s="15">
        <f t="shared" si="68"/>
        <v>1.0645488000000007</v>
      </c>
      <c r="AD134" s="15">
        <f t="shared" si="68"/>
        <v>0.53227440000000037</v>
      </c>
      <c r="AE134" s="15">
        <f t="shared" si="68"/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</row>
    <row r="135" spans="1:36" x14ac:dyDescent="0.45">
      <c r="A135" s="34"/>
      <c r="B135" s="3" t="s">
        <v>312</v>
      </c>
      <c r="C135" s="3" t="s">
        <v>183</v>
      </c>
      <c r="D135" s="3" t="s">
        <v>463</v>
      </c>
      <c r="E135" s="15">
        <v>1.6084223999999998</v>
      </c>
      <c r="F135" s="3" t="s">
        <v>495</v>
      </c>
      <c r="G135" s="15">
        <f>$E$135-0.045*$E$135*(G1-2020)</f>
        <v>1.5360433919999998</v>
      </c>
      <c r="H135" s="15">
        <f t="shared" ref="H135:AB135" si="69">$E$135-0.045*$E$135*(H1-2020)</f>
        <v>1.4636643839999999</v>
      </c>
      <c r="I135" s="15">
        <f t="shared" si="69"/>
        <v>1.3912853759999999</v>
      </c>
      <c r="J135" s="15">
        <f t="shared" si="69"/>
        <v>1.3189063679999999</v>
      </c>
      <c r="K135" s="15">
        <f t="shared" si="69"/>
        <v>1.24652736</v>
      </c>
      <c r="L135" s="15">
        <f t="shared" si="69"/>
        <v>1.1741483519999998</v>
      </c>
      <c r="M135" s="15">
        <f t="shared" si="69"/>
        <v>1.1017693439999998</v>
      </c>
      <c r="N135" s="15">
        <f t="shared" si="69"/>
        <v>1.0293903359999999</v>
      </c>
      <c r="O135" s="15">
        <f t="shared" si="69"/>
        <v>0.95701132799999988</v>
      </c>
      <c r="P135" s="15">
        <f t="shared" si="69"/>
        <v>0.88463231999999992</v>
      </c>
      <c r="Q135" s="15">
        <f t="shared" si="69"/>
        <v>0.81225331199999984</v>
      </c>
      <c r="R135" s="15">
        <f t="shared" si="69"/>
        <v>0.73987430399999987</v>
      </c>
      <c r="S135" s="15">
        <f t="shared" si="69"/>
        <v>0.6674952959999999</v>
      </c>
      <c r="T135" s="15">
        <f t="shared" si="69"/>
        <v>0.59511628799999983</v>
      </c>
      <c r="U135" s="15">
        <f t="shared" si="69"/>
        <v>0.52273727999999986</v>
      </c>
      <c r="V135" s="15">
        <f t="shared" si="69"/>
        <v>0.45035827199999989</v>
      </c>
      <c r="W135" s="15">
        <f t="shared" si="69"/>
        <v>0.37797926399999993</v>
      </c>
      <c r="X135" s="15">
        <f t="shared" si="69"/>
        <v>0.30560025599999996</v>
      </c>
      <c r="Y135" s="15">
        <f t="shared" si="69"/>
        <v>0.23322124799999999</v>
      </c>
      <c r="Z135" s="15">
        <f t="shared" si="69"/>
        <v>0.16084224000000003</v>
      </c>
      <c r="AA135" s="15">
        <f t="shared" si="69"/>
        <v>8.8463231999999836E-2</v>
      </c>
      <c r="AB135" s="15">
        <f t="shared" si="69"/>
        <v>1.6084223999999869E-2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</row>
    <row r="136" spans="1:36" x14ac:dyDescent="0.45">
      <c r="A136" s="34"/>
      <c r="B136" s="3" t="s">
        <v>310</v>
      </c>
      <c r="C136" s="3" t="s">
        <v>185</v>
      </c>
      <c r="D136" s="3" t="s">
        <v>463</v>
      </c>
      <c r="E136" s="15">
        <v>0</v>
      </c>
      <c r="F136" s="3" t="s">
        <v>496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</row>
    <row r="137" spans="1:36" x14ac:dyDescent="0.45">
      <c r="A137" s="34" t="s">
        <v>324</v>
      </c>
      <c r="B137" s="3" t="s">
        <v>316</v>
      </c>
      <c r="C137" s="3" t="s">
        <v>354</v>
      </c>
      <c r="D137" s="3" t="s">
        <v>464</v>
      </c>
      <c r="E137" s="15">
        <v>1.61931</v>
      </c>
      <c r="F137" s="3" t="s">
        <v>497</v>
      </c>
      <c r="G137" s="15">
        <f>$E$137-0.04*$E$137*(G1-2020)</f>
        <v>1.5545376</v>
      </c>
      <c r="H137" s="15">
        <f t="shared" ref="H137:AE137" si="70">$E$137-0.04*$E$137*(H1-2020)</f>
        <v>1.4897651999999999</v>
      </c>
      <c r="I137" s="15">
        <f t="shared" si="70"/>
        <v>1.4249928000000001</v>
      </c>
      <c r="J137" s="15">
        <f t="shared" si="70"/>
        <v>1.3602204</v>
      </c>
      <c r="K137" s="15">
        <f t="shared" si="70"/>
        <v>1.2954479999999999</v>
      </c>
      <c r="L137" s="15">
        <f t="shared" si="70"/>
        <v>1.2306756000000001</v>
      </c>
      <c r="M137" s="15">
        <f t="shared" si="70"/>
        <v>1.1659032</v>
      </c>
      <c r="N137" s="15">
        <f t="shared" si="70"/>
        <v>1.1011308</v>
      </c>
      <c r="O137" s="15">
        <f t="shared" si="70"/>
        <v>1.0363583999999999</v>
      </c>
      <c r="P137" s="15">
        <f t="shared" si="70"/>
        <v>0.97158599999999995</v>
      </c>
      <c r="Q137" s="15">
        <f t="shared" si="70"/>
        <v>0.9068136</v>
      </c>
      <c r="R137" s="15">
        <f t="shared" si="70"/>
        <v>0.84204119999999993</v>
      </c>
      <c r="S137" s="15">
        <f t="shared" si="70"/>
        <v>0.77726879999999987</v>
      </c>
      <c r="T137" s="15">
        <f t="shared" si="70"/>
        <v>0.71249639999999992</v>
      </c>
      <c r="U137" s="15">
        <f t="shared" si="70"/>
        <v>0.64772399999999997</v>
      </c>
      <c r="V137" s="15">
        <f t="shared" si="70"/>
        <v>0.5829515999999999</v>
      </c>
      <c r="W137" s="15">
        <f t="shared" si="70"/>
        <v>0.51817919999999984</v>
      </c>
      <c r="X137" s="15">
        <f t="shared" si="70"/>
        <v>0.45340679999999978</v>
      </c>
      <c r="Y137" s="15">
        <f t="shared" si="70"/>
        <v>0.38863439999999994</v>
      </c>
      <c r="Z137" s="15">
        <f t="shared" si="70"/>
        <v>0.32386199999999987</v>
      </c>
      <c r="AA137" s="15">
        <f t="shared" si="70"/>
        <v>0.25908959999999981</v>
      </c>
      <c r="AB137" s="15">
        <f t="shared" si="70"/>
        <v>0.19431719999999997</v>
      </c>
      <c r="AC137" s="15">
        <f t="shared" si="70"/>
        <v>0.1295447999999999</v>
      </c>
      <c r="AD137" s="15">
        <f t="shared" si="70"/>
        <v>6.4772399999999841E-2</v>
      </c>
      <c r="AE137" s="15">
        <f t="shared" si="70"/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</row>
    <row r="138" spans="1:36" x14ac:dyDescent="0.45">
      <c r="A138" s="34"/>
      <c r="B138" s="3" t="s">
        <v>314</v>
      </c>
      <c r="C138" s="3" t="s">
        <v>355</v>
      </c>
      <c r="D138" s="3" t="s">
        <v>464</v>
      </c>
      <c r="E138" s="15">
        <v>40.7121</v>
      </c>
      <c r="F138" s="3" t="s">
        <v>498</v>
      </c>
      <c r="G138" s="15">
        <f>$E$138-0.04*$E$138*(G1-2020)</f>
        <v>39.083615999999999</v>
      </c>
      <c r="H138" s="15">
        <f t="shared" ref="H138:AE138" si="71">$E$138-0.04*$E$138*(H1-2020)</f>
        <v>37.455131999999999</v>
      </c>
      <c r="I138" s="15">
        <f t="shared" si="71"/>
        <v>35.826647999999999</v>
      </c>
      <c r="J138" s="15">
        <f t="shared" si="71"/>
        <v>34.198163999999998</v>
      </c>
      <c r="K138" s="15">
        <f t="shared" si="71"/>
        <v>32.569679999999998</v>
      </c>
      <c r="L138" s="15">
        <f t="shared" si="71"/>
        <v>30.941195999999998</v>
      </c>
      <c r="M138" s="15">
        <f t="shared" si="71"/>
        <v>29.312711999999998</v>
      </c>
      <c r="N138" s="15">
        <f t="shared" si="71"/>
        <v>27.684227999999997</v>
      </c>
      <c r="O138" s="15">
        <f t="shared" si="71"/>
        <v>26.055743999999997</v>
      </c>
      <c r="P138" s="15">
        <f t="shared" si="71"/>
        <v>24.42726</v>
      </c>
      <c r="Q138" s="15">
        <f t="shared" si="71"/>
        <v>22.798776</v>
      </c>
      <c r="R138" s="15">
        <f t="shared" si="71"/>
        <v>21.170292</v>
      </c>
      <c r="S138" s="15">
        <f t="shared" si="71"/>
        <v>19.541808</v>
      </c>
      <c r="T138" s="15">
        <f t="shared" si="71"/>
        <v>17.913323999999999</v>
      </c>
      <c r="U138" s="15">
        <f t="shared" si="71"/>
        <v>16.284839999999999</v>
      </c>
      <c r="V138" s="15">
        <f t="shared" si="71"/>
        <v>14.656355999999999</v>
      </c>
      <c r="W138" s="15">
        <f t="shared" si="71"/>
        <v>13.027871999999999</v>
      </c>
      <c r="X138" s="15">
        <f t="shared" si="71"/>
        <v>11.399387999999998</v>
      </c>
      <c r="Y138" s="15">
        <f t="shared" si="71"/>
        <v>9.770903999999998</v>
      </c>
      <c r="Z138" s="15">
        <f t="shared" si="71"/>
        <v>8.1424200000000013</v>
      </c>
      <c r="AA138" s="15">
        <f t="shared" si="71"/>
        <v>6.5139360000000011</v>
      </c>
      <c r="AB138" s="15">
        <f t="shared" si="71"/>
        <v>4.8854520000000008</v>
      </c>
      <c r="AC138" s="15">
        <f t="shared" si="71"/>
        <v>3.2569680000000005</v>
      </c>
      <c r="AD138" s="15">
        <f t="shared" si="71"/>
        <v>1.6284840000000003</v>
      </c>
      <c r="AE138" s="15">
        <f t="shared" si="71"/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</row>
    <row r="139" spans="1:36" x14ac:dyDescent="0.45">
      <c r="A139" s="34"/>
      <c r="B139" s="3" t="s">
        <v>315</v>
      </c>
      <c r="C139" s="3" t="s">
        <v>356</v>
      </c>
      <c r="D139" s="3" t="s">
        <v>464</v>
      </c>
      <c r="E139" s="15">
        <v>0.96623999999999999</v>
      </c>
      <c r="F139" s="3" t="s">
        <v>499</v>
      </c>
      <c r="G139" s="15">
        <f>$E$139-0.04*$E$139*(G1-2020)</f>
        <v>0.92759040000000004</v>
      </c>
      <c r="H139" s="15">
        <f t="shared" ref="H139:AE139" si="72">$E$139-0.04*$E$139*(H1-2020)</f>
        <v>0.88894079999999998</v>
      </c>
      <c r="I139" s="15">
        <f t="shared" si="72"/>
        <v>0.85029120000000002</v>
      </c>
      <c r="J139" s="15">
        <f t="shared" si="72"/>
        <v>0.81164159999999996</v>
      </c>
      <c r="K139" s="15">
        <f t="shared" si="72"/>
        <v>0.77299200000000001</v>
      </c>
      <c r="L139" s="15">
        <f t="shared" si="72"/>
        <v>0.73434240000000006</v>
      </c>
      <c r="M139" s="15">
        <f t="shared" si="72"/>
        <v>0.6956928</v>
      </c>
      <c r="N139" s="15">
        <f t="shared" si="72"/>
        <v>0.65704319999999994</v>
      </c>
      <c r="O139" s="15">
        <f t="shared" si="72"/>
        <v>0.61839359999999999</v>
      </c>
      <c r="P139" s="15">
        <f t="shared" si="72"/>
        <v>0.57974400000000004</v>
      </c>
      <c r="Q139" s="15">
        <f t="shared" si="72"/>
        <v>0.54109439999999998</v>
      </c>
      <c r="R139" s="15">
        <f t="shared" si="72"/>
        <v>0.50244480000000002</v>
      </c>
      <c r="S139" s="15">
        <f t="shared" si="72"/>
        <v>0.46379519999999996</v>
      </c>
      <c r="T139" s="15">
        <f t="shared" si="72"/>
        <v>0.42514560000000001</v>
      </c>
      <c r="U139" s="15">
        <f t="shared" si="72"/>
        <v>0.38649599999999995</v>
      </c>
      <c r="V139" s="15">
        <f t="shared" si="72"/>
        <v>0.3478464</v>
      </c>
      <c r="W139" s="15">
        <f t="shared" si="72"/>
        <v>0.30919680000000005</v>
      </c>
      <c r="X139" s="15">
        <f t="shared" si="72"/>
        <v>0.27054719999999999</v>
      </c>
      <c r="Y139" s="15">
        <f t="shared" si="72"/>
        <v>0.23189760000000004</v>
      </c>
      <c r="Z139" s="15">
        <f t="shared" si="72"/>
        <v>0.19324799999999998</v>
      </c>
      <c r="AA139" s="15">
        <f t="shared" si="72"/>
        <v>0.15459840000000002</v>
      </c>
      <c r="AB139" s="15">
        <f t="shared" si="72"/>
        <v>0.11594879999999996</v>
      </c>
      <c r="AC139" s="15">
        <f t="shared" si="72"/>
        <v>7.7299200000000012E-2</v>
      </c>
      <c r="AD139" s="15">
        <f t="shared" si="72"/>
        <v>3.8649600000000062E-2</v>
      </c>
      <c r="AE139" s="15">
        <f t="shared" si="72"/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</row>
    <row r="140" spans="1:36" x14ac:dyDescent="0.45">
      <c r="A140" s="34"/>
      <c r="B140" s="3" t="s">
        <v>317</v>
      </c>
      <c r="C140" s="3" t="s">
        <v>357</v>
      </c>
      <c r="D140" s="3" t="s">
        <v>464</v>
      </c>
      <c r="E140" s="15">
        <v>1.6004999999999998E-2</v>
      </c>
      <c r="F140" s="3" t="s">
        <v>500</v>
      </c>
      <c r="G140" s="15">
        <f>$E$140-0.04*$E$140*(G1-2020)</f>
        <v>1.5364799999999998E-2</v>
      </c>
      <c r="H140" s="15">
        <f t="shared" ref="H140:AE140" si="73">$E$140-0.04*$E$140*(H1-2020)</f>
        <v>1.4724599999999999E-2</v>
      </c>
      <c r="I140" s="15">
        <f t="shared" si="73"/>
        <v>1.4084399999999999E-2</v>
      </c>
      <c r="J140" s="15">
        <f t="shared" si="73"/>
        <v>1.3444199999999998E-2</v>
      </c>
      <c r="K140" s="15">
        <f t="shared" si="73"/>
        <v>1.2803999999999999E-2</v>
      </c>
      <c r="L140" s="15">
        <f t="shared" si="73"/>
        <v>1.2163799999999999E-2</v>
      </c>
      <c r="M140" s="15">
        <f t="shared" si="73"/>
        <v>1.1523599999999998E-2</v>
      </c>
      <c r="N140" s="15">
        <f t="shared" si="73"/>
        <v>1.0883399999999998E-2</v>
      </c>
      <c r="O140" s="15">
        <f t="shared" si="73"/>
        <v>1.0243199999999999E-2</v>
      </c>
      <c r="P140" s="15">
        <f t="shared" si="73"/>
        <v>9.6029999999999987E-3</v>
      </c>
      <c r="Q140" s="15">
        <f t="shared" si="73"/>
        <v>8.9627999999999999E-3</v>
      </c>
      <c r="R140" s="15">
        <f t="shared" si="73"/>
        <v>8.3225999999999994E-3</v>
      </c>
      <c r="S140" s="15">
        <f t="shared" si="73"/>
        <v>7.682399999999999E-3</v>
      </c>
      <c r="T140" s="15">
        <f t="shared" si="73"/>
        <v>7.0421999999999985E-3</v>
      </c>
      <c r="U140" s="15">
        <f t="shared" si="73"/>
        <v>6.4019999999999997E-3</v>
      </c>
      <c r="V140" s="15">
        <f t="shared" si="73"/>
        <v>5.7617999999999992E-3</v>
      </c>
      <c r="W140" s="15">
        <f t="shared" si="73"/>
        <v>5.1215999999999987E-3</v>
      </c>
      <c r="X140" s="15">
        <f t="shared" si="73"/>
        <v>4.4814E-3</v>
      </c>
      <c r="Y140" s="15">
        <f t="shared" si="73"/>
        <v>3.8411999999999995E-3</v>
      </c>
      <c r="Z140" s="15">
        <f t="shared" si="73"/>
        <v>3.200999999999999E-3</v>
      </c>
      <c r="AA140" s="15">
        <f t="shared" si="73"/>
        <v>2.5608000000000002E-3</v>
      </c>
      <c r="AB140" s="15">
        <f t="shared" si="73"/>
        <v>1.9205999999999997E-3</v>
      </c>
      <c r="AC140" s="15">
        <f t="shared" si="73"/>
        <v>1.2803999999999992E-3</v>
      </c>
      <c r="AD140" s="15">
        <f t="shared" si="73"/>
        <v>6.4020000000000049E-4</v>
      </c>
      <c r="AE140" s="15">
        <f t="shared" si="73"/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</row>
    <row r="141" spans="1:36" x14ac:dyDescent="0.45">
      <c r="A141" s="34"/>
      <c r="B141" s="3" t="s">
        <v>318</v>
      </c>
      <c r="C141" s="3" t="s">
        <v>358</v>
      </c>
      <c r="D141" s="3" t="s">
        <v>464</v>
      </c>
      <c r="E141" s="15">
        <v>0</v>
      </c>
      <c r="F141" s="3" t="s">
        <v>501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</row>
    <row r="142" spans="1:36" x14ac:dyDescent="0.45">
      <c r="A142" s="34"/>
      <c r="B142" s="3" t="s">
        <v>321</v>
      </c>
      <c r="C142" s="3" t="s">
        <v>359</v>
      </c>
      <c r="D142" s="3" t="s">
        <v>464</v>
      </c>
      <c r="E142" s="15">
        <v>9.3766500000000003E-2</v>
      </c>
      <c r="F142" s="3" t="s">
        <v>502</v>
      </c>
      <c r="G142" s="15">
        <f>$E$142-0.04*$E$142*(G1-2020)</f>
        <v>9.001584E-2</v>
      </c>
      <c r="H142" s="15">
        <f t="shared" ref="H142:AE142" si="74">$E$142-0.04*$E$142*(H1-2020)</f>
        <v>8.6265179999999997E-2</v>
      </c>
      <c r="I142" s="15">
        <f t="shared" si="74"/>
        <v>8.2514520000000008E-2</v>
      </c>
      <c r="J142" s="15">
        <f t="shared" si="74"/>
        <v>7.8763860000000005E-2</v>
      </c>
      <c r="K142" s="15">
        <f t="shared" si="74"/>
        <v>7.5013200000000002E-2</v>
      </c>
      <c r="L142" s="15">
        <f t="shared" si="74"/>
        <v>7.1262539999999999E-2</v>
      </c>
      <c r="M142" s="15">
        <f t="shared" si="74"/>
        <v>6.7511879999999996E-2</v>
      </c>
      <c r="N142" s="15">
        <f t="shared" si="74"/>
        <v>6.3761220000000007E-2</v>
      </c>
      <c r="O142" s="15">
        <f t="shared" si="74"/>
        <v>6.0010559999999998E-2</v>
      </c>
      <c r="P142" s="15">
        <f t="shared" si="74"/>
        <v>5.6259900000000002E-2</v>
      </c>
      <c r="Q142" s="15">
        <f t="shared" si="74"/>
        <v>5.2509239999999999E-2</v>
      </c>
      <c r="R142" s="15">
        <f t="shared" si="74"/>
        <v>4.8758579999999996E-2</v>
      </c>
      <c r="S142" s="15">
        <f t="shared" si="74"/>
        <v>4.500792E-2</v>
      </c>
      <c r="T142" s="15">
        <f t="shared" si="74"/>
        <v>4.1257259999999997E-2</v>
      </c>
      <c r="U142" s="15">
        <f t="shared" si="74"/>
        <v>3.7506600000000001E-2</v>
      </c>
      <c r="V142" s="15">
        <f t="shared" si="74"/>
        <v>3.3755939999999998E-2</v>
      </c>
      <c r="W142" s="15">
        <f t="shared" si="74"/>
        <v>3.0005279999999995E-2</v>
      </c>
      <c r="X142" s="15">
        <f t="shared" si="74"/>
        <v>2.6254619999999992E-2</v>
      </c>
      <c r="Y142" s="15">
        <f t="shared" si="74"/>
        <v>2.2503960000000003E-2</v>
      </c>
      <c r="Z142" s="15">
        <f t="shared" si="74"/>
        <v>1.8753300000000001E-2</v>
      </c>
      <c r="AA142" s="15">
        <f t="shared" si="74"/>
        <v>1.5002639999999998E-2</v>
      </c>
      <c r="AB142" s="15">
        <f t="shared" si="74"/>
        <v>1.1251979999999995E-2</v>
      </c>
      <c r="AC142" s="15">
        <f t="shared" si="74"/>
        <v>7.5013199999999919E-3</v>
      </c>
      <c r="AD142" s="15">
        <f t="shared" si="74"/>
        <v>3.750659999999989E-3</v>
      </c>
      <c r="AE142" s="15">
        <f t="shared" si="74"/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</row>
    <row r="143" spans="1:36" x14ac:dyDescent="0.45">
      <c r="A143" s="34"/>
      <c r="B143" s="3" t="s">
        <v>319</v>
      </c>
      <c r="C143" s="3" t="s">
        <v>360</v>
      </c>
      <c r="D143" s="3" t="s">
        <v>464</v>
      </c>
      <c r="E143" s="15">
        <v>68.679187500000012</v>
      </c>
      <c r="F143" s="3" t="s">
        <v>503</v>
      </c>
      <c r="G143" s="15">
        <f>$E$143-0.04*$E$143*(G1-2020)</f>
        <v>65.932020000000009</v>
      </c>
      <c r="H143" s="15">
        <f t="shared" ref="H143:AE143" si="75">$E$143-0.04*$E$143*(H1-2020)</f>
        <v>63.184852500000012</v>
      </c>
      <c r="I143" s="15">
        <f t="shared" si="75"/>
        <v>60.437685000000009</v>
      </c>
      <c r="J143" s="15">
        <f t="shared" si="75"/>
        <v>57.690517500000013</v>
      </c>
      <c r="K143" s="15">
        <f t="shared" si="75"/>
        <v>54.943350000000009</v>
      </c>
      <c r="L143" s="15">
        <f t="shared" si="75"/>
        <v>52.196182500000006</v>
      </c>
      <c r="M143" s="15">
        <f t="shared" si="75"/>
        <v>49.449015000000003</v>
      </c>
      <c r="N143" s="15">
        <f t="shared" si="75"/>
        <v>46.701847500000007</v>
      </c>
      <c r="O143" s="15">
        <f t="shared" si="75"/>
        <v>43.95468000000001</v>
      </c>
      <c r="P143" s="15">
        <f t="shared" si="75"/>
        <v>41.207512500000007</v>
      </c>
      <c r="Q143" s="15">
        <f t="shared" si="75"/>
        <v>38.460345000000004</v>
      </c>
      <c r="R143" s="15">
        <f t="shared" si="75"/>
        <v>35.7131775</v>
      </c>
      <c r="S143" s="15">
        <f t="shared" si="75"/>
        <v>32.966010000000004</v>
      </c>
      <c r="T143" s="15">
        <f t="shared" si="75"/>
        <v>30.218842500000001</v>
      </c>
      <c r="U143" s="15">
        <f t="shared" si="75"/>
        <v>27.471675000000005</v>
      </c>
      <c r="V143" s="15">
        <f t="shared" si="75"/>
        <v>24.724507500000001</v>
      </c>
      <c r="W143" s="15">
        <f t="shared" si="75"/>
        <v>21.977339999999998</v>
      </c>
      <c r="X143" s="15">
        <f t="shared" si="75"/>
        <v>19.230172500000002</v>
      </c>
      <c r="Y143" s="15">
        <f t="shared" si="75"/>
        <v>16.483004999999999</v>
      </c>
      <c r="Z143" s="15">
        <f t="shared" si="75"/>
        <v>13.735837500000002</v>
      </c>
      <c r="AA143" s="15">
        <f t="shared" si="75"/>
        <v>10.988669999999999</v>
      </c>
      <c r="AB143" s="15">
        <f t="shared" si="75"/>
        <v>8.2415024999999957</v>
      </c>
      <c r="AC143" s="15">
        <f t="shared" si="75"/>
        <v>5.4943349999999995</v>
      </c>
      <c r="AD143" s="15">
        <f t="shared" si="75"/>
        <v>2.7471674999999891</v>
      </c>
      <c r="AE143" s="15">
        <f t="shared" si="75"/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</row>
    <row r="144" spans="1:36" x14ac:dyDescent="0.45">
      <c r="A144" s="34"/>
      <c r="B144" s="3" t="s">
        <v>320</v>
      </c>
      <c r="C144" s="3" t="s">
        <v>361</v>
      </c>
      <c r="D144" s="3" t="s">
        <v>464</v>
      </c>
      <c r="E144" s="15">
        <v>1.1736470400000001</v>
      </c>
      <c r="F144" s="3" t="s">
        <v>504</v>
      </c>
      <c r="G144" s="15">
        <f>$E$144-0.04*$E$144*(G1-2020)</f>
        <v>1.1267011584000002</v>
      </c>
      <c r="H144" s="15">
        <f t="shared" ref="H144:AE144" si="76">$E$144-0.04*$E$144*(H1-2020)</f>
        <v>1.0797552768000001</v>
      </c>
      <c r="I144" s="15">
        <f t="shared" si="76"/>
        <v>1.0328093952000001</v>
      </c>
      <c r="J144" s="15">
        <f t="shared" si="76"/>
        <v>0.98586351360000002</v>
      </c>
      <c r="K144" s="15">
        <f t="shared" si="76"/>
        <v>0.93891763200000011</v>
      </c>
      <c r="L144" s="15">
        <f t="shared" si="76"/>
        <v>0.8919717504000001</v>
      </c>
      <c r="M144" s="15">
        <f t="shared" si="76"/>
        <v>0.84502586880000008</v>
      </c>
      <c r="N144" s="15">
        <f t="shared" si="76"/>
        <v>0.79807998720000006</v>
      </c>
      <c r="O144" s="15">
        <f t="shared" si="76"/>
        <v>0.75113410560000005</v>
      </c>
      <c r="P144" s="15">
        <f t="shared" si="76"/>
        <v>0.70418822400000003</v>
      </c>
      <c r="Q144" s="15">
        <f t="shared" si="76"/>
        <v>0.65724234240000001</v>
      </c>
      <c r="R144" s="15">
        <f t="shared" si="76"/>
        <v>0.61029646080000011</v>
      </c>
      <c r="S144" s="15">
        <f t="shared" si="76"/>
        <v>0.56335057920000009</v>
      </c>
      <c r="T144" s="15">
        <f t="shared" si="76"/>
        <v>0.51640469760000007</v>
      </c>
      <c r="U144" s="15">
        <f t="shared" si="76"/>
        <v>0.46945881600000006</v>
      </c>
      <c r="V144" s="15">
        <f t="shared" si="76"/>
        <v>0.42251293440000004</v>
      </c>
      <c r="W144" s="15">
        <f t="shared" si="76"/>
        <v>0.37556705280000002</v>
      </c>
      <c r="X144" s="15">
        <f t="shared" si="76"/>
        <v>0.32862117120000001</v>
      </c>
      <c r="Y144" s="15">
        <f t="shared" si="76"/>
        <v>0.28167528959999999</v>
      </c>
      <c r="Z144" s="15">
        <f t="shared" si="76"/>
        <v>0.23472940799999997</v>
      </c>
      <c r="AA144" s="15">
        <f t="shared" si="76"/>
        <v>0.18778352640000007</v>
      </c>
      <c r="AB144" s="15">
        <f t="shared" si="76"/>
        <v>0.14083764479999994</v>
      </c>
      <c r="AC144" s="15">
        <f t="shared" si="76"/>
        <v>9.3891763200000034E-2</v>
      </c>
      <c r="AD144" s="15">
        <f t="shared" si="76"/>
        <v>4.6945881600000128E-2</v>
      </c>
      <c r="AE144" s="15">
        <f t="shared" si="76"/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</row>
    <row r="145" spans="1:36" x14ac:dyDescent="0.45">
      <c r="A145" s="34"/>
      <c r="B145" s="3" t="s">
        <v>322</v>
      </c>
      <c r="C145" s="3" t="s">
        <v>362</v>
      </c>
      <c r="D145" s="3" t="s">
        <v>464</v>
      </c>
      <c r="E145" s="15">
        <v>0</v>
      </c>
      <c r="F145" s="3" t="s">
        <v>505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</row>
    <row r="146" spans="1:36" x14ac:dyDescent="0.45">
      <c r="A146" s="34"/>
      <c r="B146" s="3" t="s">
        <v>323</v>
      </c>
      <c r="C146" s="3" t="s">
        <v>363</v>
      </c>
      <c r="D146" s="3" t="s">
        <v>464</v>
      </c>
      <c r="E146" s="15">
        <v>0</v>
      </c>
      <c r="F146" s="3" t="s">
        <v>506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</row>
    <row r="147" spans="1:36" ht="52.5" x14ac:dyDescent="0.45">
      <c r="A147" s="4" t="s">
        <v>236</v>
      </c>
      <c r="B147" s="3" t="s">
        <v>186</v>
      </c>
      <c r="C147" s="3" t="s">
        <v>187</v>
      </c>
      <c r="D147" s="3" t="s">
        <v>463</v>
      </c>
      <c r="E147" s="15">
        <v>23.1</v>
      </c>
      <c r="F147" s="3" t="s">
        <v>507</v>
      </c>
      <c r="G147" s="15">
        <f>$E$147-0.03*$E$147*(G1-2020)</f>
        <v>22.407</v>
      </c>
      <c r="H147" s="15">
        <f t="shared" ref="H147:AJ147" si="77">$E$147-0.03*$E$147*(H1-2020)</f>
        <v>21.714000000000002</v>
      </c>
      <c r="I147" s="15">
        <f t="shared" si="77"/>
        <v>21.021000000000001</v>
      </c>
      <c r="J147" s="15">
        <f t="shared" si="77"/>
        <v>20.328000000000003</v>
      </c>
      <c r="K147" s="15">
        <f t="shared" si="77"/>
        <v>19.635000000000002</v>
      </c>
      <c r="L147" s="15">
        <f t="shared" si="77"/>
        <v>18.942</v>
      </c>
      <c r="M147" s="15">
        <f t="shared" si="77"/>
        <v>18.249000000000002</v>
      </c>
      <c r="N147" s="15">
        <f t="shared" si="77"/>
        <v>17.556000000000001</v>
      </c>
      <c r="O147" s="15">
        <f t="shared" si="77"/>
        <v>16.863</v>
      </c>
      <c r="P147" s="15">
        <f t="shared" si="77"/>
        <v>16.170000000000002</v>
      </c>
      <c r="Q147" s="15">
        <f t="shared" si="77"/>
        <v>15.477</v>
      </c>
      <c r="R147" s="15">
        <f t="shared" si="77"/>
        <v>14.784000000000001</v>
      </c>
      <c r="S147" s="15">
        <f t="shared" si="77"/>
        <v>14.091000000000001</v>
      </c>
      <c r="T147" s="15">
        <f t="shared" si="77"/>
        <v>13.398</v>
      </c>
      <c r="U147" s="15">
        <f t="shared" si="77"/>
        <v>12.705</v>
      </c>
      <c r="V147" s="15">
        <f t="shared" si="77"/>
        <v>12.012</v>
      </c>
      <c r="W147" s="15">
        <f t="shared" si="77"/>
        <v>11.319000000000001</v>
      </c>
      <c r="X147" s="15">
        <f t="shared" si="77"/>
        <v>10.626000000000001</v>
      </c>
      <c r="Y147" s="15">
        <f t="shared" si="77"/>
        <v>9.9329999999999998</v>
      </c>
      <c r="Z147" s="15">
        <f t="shared" si="77"/>
        <v>9.24</v>
      </c>
      <c r="AA147" s="15">
        <f t="shared" si="77"/>
        <v>8.5470000000000006</v>
      </c>
      <c r="AB147" s="15">
        <f t="shared" si="77"/>
        <v>7.8539999999999992</v>
      </c>
      <c r="AC147" s="15">
        <f t="shared" si="77"/>
        <v>7.1609999999999996</v>
      </c>
      <c r="AD147" s="15">
        <f t="shared" si="77"/>
        <v>6.468</v>
      </c>
      <c r="AE147" s="15">
        <f t="shared" si="77"/>
        <v>5.7749999999999986</v>
      </c>
      <c r="AF147" s="15">
        <f t="shared" si="77"/>
        <v>5.0820000000000007</v>
      </c>
      <c r="AG147" s="15">
        <f t="shared" si="77"/>
        <v>4.3889999999999993</v>
      </c>
      <c r="AH147" s="15">
        <f t="shared" si="77"/>
        <v>3.695999999999998</v>
      </c>
      <c r="AI147" s="15">
        <f t="shared" si="77"/>
        <v>3.0030000000000001</v>
      </c>
      <c r="AJ147" s="15">
        <f t="shared" si="77"/>
        <v>2.3099999999999987</v>
      </c>
    </row>
    <row r="148" spans="1:36" ht="52.5" x14ac:dyDescent="0.45">
      <c r="A148" s="4" t="s">
        <v>237</v>
      </c>
      <c r="B148" s="3" t="s">
        <v>188</v>
      </c>
      <c r="C148" s="3" t="s">
        <v>189</v>
      </c>
      <c r="D148" s="3" t="s">
        <v>464</v>
      </c>
      <c r="E148" s="15">
        <v>15.68</v>
      </c>
      <c r="F148" s="3" t="s">
        <v>508</v>
      </c>
      <c r="G148" s="15">
        <f>$E$148-0.03*$E$148*(G1-2020)</f>
        <v>15.2096</v>
      </c>
      <c r="H148" s="15">
        <f t="shared" ref="H148:AJ148" si="78">$E$148-0.03*$E$148*(H1-2020)</f>
        <v>14.7392</v>
      </c>
      <c r="I148" s="15">
        <f t="shared" si="78"/>
        <v>14.268799999999999</v>
      </c>
      <c r="J148" s="15">
        <f t="shared" si="78"/>
        <v>13.798399999999999</v>
      </c>
      <c r="K148" s="15">
        <f t="shared" si="78"/>
        <v>13.327999999999999</v>
      </c>
      <c r="L148" s="15">
        <f t="shared" si="78"/>
        <v>12.8576</v>
      </c>
      <c r="M148" s="15">
        <f t="shared" si="78"/>
        <v>12.3872</v>
      </c>
      <c r="N148" s="15">
        <f t="shared" si="78"/>
        <v>11.9168</v>
      </c>
      <c r="O148" s="15">
        <f t="shared" si="78"/>
        <v>11.446400000000001</v>
      </c>
      <c r="P148" s="15">
        <f t="shared" si="78"/>
        <v>10.975999999999999</v>
      </c>
      <c r="Q148" s="15">
        <f t="shared" si="78"/>
        <v>10.505600000000001</v>
      </c>
      <c r="R148" s="15">
        <f t="shared" si="78"/>
        <v>10.0352</v>
      </c>
      <c r="S148" s="15">
        <f t="shared" si="78"/>
        <v>9.5648</v>
      </c>
      <c r="T148" s="15">
        <f t="shared" si="78"/>
        <v>9.0944000000000003</v>
      </c>
      <c r="U148" s="15">
        <f t="shared" si="78"/>
        <v>8.6239999999999988</v>
      </c>
      <c r="V148" s="15">
        <f t="shared" si="78"/>
        <v>8.1536000000000008</v>
      </c>
      <c r="W148" s="15">
        <f t="shared" si="78"/>
        <v>7.6832000000000003</v>
      </c>
      <c r="X148" s="15">
        <f t="shared" si="78"/>
        <v>7.2127999999999997</v>
      </c>
      <c r="Y148" s="15">
        <f t="shared" si="78"/>
        <v>6.7423999999999999</v>
      </c>
      <c r="Z148" s="15">
        <f t="shared" si="78"/>
        <v>6.2720000000000002</v>
      </c>
      <c r="AA148" s="15">
        <f t="shared" si="78"/>
        <v>5.8016000000000005</v>
      </c>
      <c r="AB148" s="15">
        <f t="shared" si="78"/>
        <v>5.3312000000000008</v>
      </c>
      <c r="AC148" s="15">
        <f t="shared" si="78"/>
        <v>4.8607999999999993</v>
      </c>
      <c r="AD148" s="15">
        <f t="shared" si="78"/>
        <v>4.3903999999999996</v>
      </c>
      <c r="AE148" s="15">
        <f t="shared" si="78"/>
        <v>3.92</v>
      </c>
      <c r="AF148" s="15">
        <f t="shared" si="78"/>
        <v>3.4496000000000002</v>
      </c>
      <c r="AG148" s="15">
        <f t="shared" si="78"/>
        <v>2.9792000000000005</v>
      </c>
      <c r="AH148" s="15">
        <f t="shared" si="78"/>
        <v>2.5088000000000008</v>
      </c>
      <c r="AI148" s="15">
        <f t="shared" si="78"/>
        <v>2.0383999999999993</v>
      </c>
      <c r="AJ148" s="15">
        <f t="shared" si="78"/>
        <v>1.5679999999999996</v>
      </c>
    </row>
    <row r="149" spans="1:36" ht="52.5" x14ac:dyDescent="0.45">
      <c r="A149" s="4" t="s">
        <v>238</v>
      </c>
      <c r="B149" s="3" t="s">
        <v>190</v>
      </c>
      <c r="C149" s="3" t="s">
        <v>191</v>
      </c>
      <c r="D149" s="3" t="s">
        <v>463</v>
      </c>
      <c r="E149" s="15">
        <v>37.44</v>
      </c>
      <c r="F149" s="3" t="s">
        <v>509</v>
      </c>
      <c r="G149" s="15">
        <v>37.44</v>
      </c>
      <c r="H149" s="15">
        <v>37.44</v>
      </c>
      <c r="I149" s="15">
        <v>37.44</v>
      </c>
      <c r="J149" s="15">
        <v>37.44</v>
      </c>
      <c r="K149" s="15">
        <v>37.44</v>
      </c>
      <c r="L149" s="15">
        <v>37.44</v>
      </c>
      <c r="M149" s="15">
        <v>37.44</v>
      </c>
      <c r="N149" s="15">
        <f>37.44*2</f>
        <v>74.88</v>
      </c>
      <c r="O149" s="15">
        <f>37.44*2</f>
        <v>74.88</v>
      </c>
      <c r="P149" s="15">
        <f t="shared" ref="P149:AJ149" si="79">37.44*2</f>
        <v>74.88</v>
      </c>
      <c r="Q149" s="15">
        <f t="shared" si="79"/>
        <v>74.88</v>
      </c>
      <c r="R149" s="15">
        <f t="shared" si="79"/>
        <v>74.88</v>
      </c>
      <c r="S149" s="15">
        <f t="shared" si="79"/>
        <v>74.88</v>
      </c>
      <c r="T149" s="15">
        <f t="shared" si="79"/>
        <v>74.88</v>
      </c>
      <c r="U149" s="15">
        <f t="shared" si="79"/>
        <v>74.88</v>
      </c>
      <c r="V149" s="15">
        <f t="shared" si="79"/>
        <v>74.88</v>
      </c>
      <c r="W149" s="15">
        <f t="shared" si="79"/>
        <v>74.88</v>
      </c>
      <c r="X149" s="15">
        <f t="shared" si="79"/>
        <v>74.88</v>
      </c>
      <c r="Y149" s="15">
        <f t="shared" si="79"/>
        <v>74.88</v>
      </c>
      <c r="Z149" s="15">
        <f t="shared" si="79"/>
        <v>74.88</v>
      </c>
      <c r="AA149" s="15">
        <f t="shared" si="79"/>
        <v>74.88</v>
      </c>
      <c r="AB149" s="15">
        <f t="shared" si="79"/>
        <v>74.88</v>
      </c>
      <c r="AC149" s="15">
        <f t="shared" si="79"/>
        <v>74.88</v>
      </c>
      <c r="AD149" s="15">
        <f t="shared" si="79"/>
        <v>74.88</v>
      </c>
      <c r="AE149" s="15">
        <f t="shared" si="79"/>
        <v>74.88</v>
      </c>
      <c r="AF149" s="15">
        <f t="shared" si="79"/>
        <v>74.88</v>
      </c>
      <c r="AG149" s="15">
        <f t="shared" si="79"/>
        <v>74.88</v>
      </c>
      <c r="AH149" s="15">
        <f t="shared" si="79"/>
        <v>74.88</v>
      </c>
      <c r="AI149" s="15">
        <f t="shared" si="79"/>
        <v>74.88</v>
      </c>
      <c r="AJ149" s="15">
        <f t="shared" si="79"/>
        <v>74.88</v>
      </c>
    </row>
    <row r="150" spans="1:36" x14ac:dyDescent="0.45">
      <c r="A150" s="34" t="s">
        <v>224</v>
      </c>
      <c r="B150" s="3" t="s">
        <v>192</v>
      </c>
      <c r="C150" s="3" t="s">
        <v>193</v>
      </c>
      <c r="D150" s="3" t="s">
        <v>401</v>
      </c>
      <c r="E150" s="9">
        <v>83.583714285714294</v>
      </c>
      <c r="F150" s="3" t="s">
        <v>377</v>
      </c>
      <c r="G150" s="9">
        <f>$E$150-0.04*$E$150*(G1-2020)</f>
        <v>80.240365714285716</v>
      </c>
      <c r="H150" s="9">
        <f t="shared" ref="H150:AE150" si="80">$E$150-0.04*$E$150*(H1-2020)</f>
        <v>76.897017142857152</v>
      </c>
      <c r="I150" s="9">
        <f t="shared" si="80"/>
        <v>73.553668571428574</v>
      </c>
      <c r="J150" s="9">
        <f t="shared" si="80"/>
        <v>70.21032000000001</v>
      </c>
      <c r="K150" s="9">
        <f t="shared" si="80"/>
        <v>66.866971428571432</v>
      </c>
      <c r="L150" s="9">
        <f t="shared" si="80"/>
        <v>63.523622857142861</v>
      </c>
      <c r="M150" s="9">
        <f t="shared" si="80"/>
        <v>60.18027428571429</v>
      </c>
      <c r="N150" s="9">
        <f t="shared" si="80"/>
        <v>56.836925714285719</v>
      </c>
      <c r="O150" s="9">
        <f t="shared" si="80"/>
        <v>53.493577142857148</v>
      </c>
      <c r="P150" s="9">
        <f t="shared" si="80"/>
        <v>50.150228571428578</v>
      </c>
      <c r="Q150" s="9">
        <f t="shared" si="80"/>
        <v>46.806880000000007</v>
      </c>
      <c r="R150" s="9">
        <f t="shared" si="80"/>
        <v>43.463531428571429</v>
      </c>
      <c r="S150" s="9">
        <f t="shared" si="80"/>
        <v>40.120182857142858</v>
      </c>
      <c r="T150" s="9">
        <f t="shared" si="80"/>
        <v>36.776834285714287</v>
      </c>
      <c r="U150" s="9">
        <f t="shared" si="80"/>
        <v>33.433485714285716</v>
      </c>
      <c r="V150" s="9">
        <f t="shared" si="80"/>
        <v>30.090137142857145</v>
      </c>
      <c r="W150" s="9">
        <f t="shared" si="80"/>
        <v>26.746788571428574</v>
      </c>
      <c r="X150" s="9">
        <f t="shared" si="80"/>
        <v>23.403440000000003</v>
      </c>
      <c r="Y150" s="9">
        <f t="shared" si="80"/>
        <v>20.060091428571432</v>
      </c>
      <c r="Z150" s="9">
        <f t="shared" si="80"/>
        <v>16.716742857142862</v>
      </c>
      <c r="AA150" s="9">
        <f t="shared" si="80"/>
        <v>13.373394285714284</v>
      </c>
      <c r="AB150" s="9">
        <f t="shared" si="80"/>
        <v>10.03004571428572</v>
      </c>
      <c r="AC150" s="9">
        <f t="shared" si="80"/>
        <v>6.6866971428571418</v>
      </c>
      <c r="AD150" s="9">
        <f t="shared" si="80"/>
        <v>3.3433485714285638</v>
      </c>
      <c r="AE150" s="3">
        <f t="shared" si="80"/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</row>
    <row r="151" spans="1:36" x14ac:dyDescent="0.45">
      <c r="A151" s="34"/>
      <c r="B151" s="3" t="s">
        <v>194</v>
      </c>
      <c r="C151" s="3" t="s">
        <v>195</v>
      </c>
      <c r="D151" s="3" t="s">
        <v>401</v>
      </c>
      <c r="E151" s="9">
        <v>28.198628571428568</v>
      </c>
      <c r="F151" s="3" t="s">
        <v>377</v>
      </c>
      <c r="G151" s="9">
        <f>$E$151-0.04*$E$151*(G1-2020)</f>
        <v>27.070683428571424</v>
      </c>
      <c r="H151" s="9">
        <f t="shared" ref="H151:AE151" si="81">$E$151-0.04*$E$151*(H1-2020)</f>
        <v>25.942738285714281</v>
      </c>
      <c r="I151" s="9">
        <f t="shared" si="81"/>
        <v>24.814793142857141</v>
      </c>
      <c r="J151" s="9">
        <f t="shared" si="81"/>
        <v>23.686847999999998</v>
      </c>
      <c r="K151" s="9">
        <f t="shared" si="81"/>
        <v>22.558902857142854</v>
      </c>
      <c r="L151" s="9">
        <f t="shared" si="81"/>
        <v>21.430957714285711</v>
      </c>
      <c r="M151" s="9">
        <f t="shared" si="81"/>
        <v>20.303012571428567</v>
      </c>
      <c r="N151" s="9">
        <f t="shared" si="81"/>
        <v>19.175067428571424</v>
      </c>
      <c r="O151" s="9">
        <f t="shared" si="81"/>
        <v>18.047122285714281</v>
      </c>
      <c r="P151" s="9">
        <f t="shared" si="81"/>
        <v>16.919177142857141</v>
      </c>
      <c r="Q151" s="9">
        <f t="shared" si="81"/>
        <v>15.791231999999997</v>
      </c>
      <c r="R151" s="9">
        <f t="shared" si="81"/>
        <v>14.663286857142854</v>
      </c>
      <c r="S151" s="9">
        <f t="shared" si="81"/>
        <v>13.535341714285712</v>
      </c>
      <c r="T151" s="9">
        <f t="shared" si="81"/>
        <v>12.407396571428569</v>
      </c>
      <c r="U151" s="9">
        <f t="shared" si="81"/>
        <v>11.279451428571427</v>
      </c>
      <c r="V151" s="9">
        <f t="shared" si="81"/>
        <v>10.151506285714284</v>
      </c>
      <c r="W151" s="9">
        <f t="shared" si="81"/>
        <v>9.0235611428571403</v>
      </c>
      <c r="X151" s="9">
        <f t="shared" si="81"/>
        <v>7.8956159999999969</v>
      </c>
      <c r="Y151" s="9">
        <f t="shared" si="81"/>
        <v>6.767670857142857</v>
      </c>
      <c r="Z151" s="9">
        <f t="shared" si="81"/>
        <v>5.6397257142857136</v>
      </c>
      <c r="AA151" s="9">
        <f t="shared" si="81"/>
        <v>4.5117805714285701</v>
      </c>
      <c r="AB151" s="9">
        <f t="shared" si="81"/>
        <v>3.3838354285714267</v>
      </c>
      <c r="AC151" s="9">
        <f t="shared" si="81"/>
        <v>2.2558902857142833</v>
      </c>
      <c r="AD151" s="9">
        <f t="shared" si="81"/>
        <v>1.1279451428571399</v>
      </c>
      <c r="AE151" s="3">
        <f t="shared" si="81"/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</row>
    <row r="152" spans="1:36" x14ac:dyDescent="0.45">
      <c r="A152" s="34"/>
      <c r="B152" s="3" t="s">
        <v>196</v>
      </c>
      <c r="C152" s="3" t="s">
        <v>197</v>
      </c>
      <c r="D152" s="3" t="s">
        <v>401</v>
      </c>
      <c r="E152" s="9">
        <v>92.867714285714285</v>
      </c>
      <c r="F152" s="3" t="s">
        <v>377</v>
      </c>
      <c r="G152" s="9">
        <f>$E$152-0.04*$E$152*(G1-2020)</f>
        <v>89.153005714285712</v>
      </c>
      <c r="H152" s="9">
        <f t="shared" ref="H152:AE152" si="82">$E$152-0.04*$E$152*(H1-2020)</f>
        <v>85.438297142857138</v>
      </c>
      <c r="I152" s="9">
        <f t="shared" si="82"/>
        <v>81.723588571428564</v>
      </c>
      <c r="J152" s="9">
        <f t="shared" si="82"/>
        <v>78.008880000000005</v>
      </c>
      <c r="K152" s="9">
        <f t="shared" si="82"/>
        <v>74.294171428571431</v>
      </c>
      <c r="L152" s="9">
        <f t="shared" si="82"/>
        <v>70.579462857142858</v>
      </c>
      <c r="M152" s="9">
        <f t="shared" si="82"/>
        <v>66.864754285714284</v>
      </c>
      <c r="N152" s="9">
        <f t="shared" si="82"/>
        <v>63.15004571428571</v>
      </c>
      <c r="O152" s="9">
        <f t="shared" si="82"/>
        <v>59.435337142857144</v>
      </c>
      <c r="P152" s="9">
        <f t="shared" si="82"/>
        <v>55.72062857142857</v>
      </c>
      <c r="Q152" s="9">
        <f t="shared" si="82"/>
        <v>52.005919999999996</v>
      </c>
      <c r="R152" s="9">
        <f t="shared" si="82"/>
        <v>48.29121142857143</v>
      </c>
      <c r="S152" s="9">
        <f t="shared" si="82"/>
        <v>44.576502857142856</v>
      </c>
      <c r="T152" s="9">
        <f t="shared" si="82"/>
        <v>40.861794285714282</v>
      </c>
      <c r="U152" s="9">
        <f t="shared" si="82"/>
        <v>37.147085714285716</v>
      </c>
      <c r="V152" s="9">
        <f t="shared" si="82"/>
        <v>33.432377142857142</v>
      </c>
      <c r="W152" s="9">
        <f t="shared" si="82"/>
        <v>29.717668571428568</v>
      </c>
      <c r="X152" s="9">
        <f t="shared" si="82"/>
        <v>26.002960000000002</v>
      </c>
      <c r="Y152" s="9">
        <f t="shared" si="82"/>
        <v>22.288251428571428</v>
      </c>
      <c r="Z152" s="9">
        <f t="shared" si="82"/>
        <v>18.573542857142854</v>
      </c>
      <c r="AA152" s="9">
        <f t="shared" si="82"/>
        <v>14.858834285714281</v>
      </c>
      <c r="AB152" s="9">
        <f t="shared" si="82"/>
        <v>11.144125714285707</v>
      </c>
      <c r="AC152" s="9">
        <f t="shared" si="82"/>
        <v>7.4294171428571474</v>
      </c>
      <c r="AD152" s="9">
        <f t="shared" si="82"/>
        <v>3.7147085714285737</v>
      </c>
      <c r="AE152" s="3">
        <f t="shared" si="82"/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</row>
    <row r="153" spans="1:36" x14ac:dyDescent="0.45">
      <c r="A153" s="34"/>
      <c r="B153" s="3" t="s">
        <v>198</v>
      </c>
      <c r="C153" s="3" t="s">
        <v>199</v>
      </c>
      <c r="D153" s="3" t="s">
        <v>401</v>
      </c>
      <c r="E153" s="9">
        <v>262.06148571428577</v>
      </c>
      <c r="F153" s="3" t="s">
        <v>377</v>
      </c>
      <c r="G153" s="9">
        <f>$E$153-0.04*$E$153*(G1-2020)</f>
        <v>251.57902628571435</v>
      </c>
      <c r="H153" s="9">
        <f t="shared" ref="H153:AE153" si="83">$E$153-0.04*$E$153*(H1-2020)</f>
        <v>241.0965668571429</v>
      </c>
      <c r="I153" s="9">
        <f t="shared" si="83"/>
        <v>230.61410742857146</v>
      </c>
      <c r="J153" s="9">
        <f t="shared" si="83"/>
        <v>220.13164800000004</v>
      </c>
      <c r="K153" s="9">
        <f t="shared" si="83"/>
        <v>209.64918857142862</v>
      </c>
      <c r="L153" s="9">
        <f t="shared" si="83"/>
        <v>199.16672914285718</v>
      </c>
      <c r="M153" s="9">
        <f t="shared" si="83"/>
        <v>188.68426971428573</v>
      </c>
      <c r="N153" s="9">
        <f t="shared" si="83"/>
        <v>178.20181028571432</v>
      </c>
      <c r="O153" s="9">
        <f t="shared" si="83"/>
        <v>167.7193508571429</v>
      </c>
      <c r="P153" s="9">
        <f t="shared" si="83"/>
        <v>157.23689142857145</v>
      </c>
      <c r="Q153" s="9">
        <f t="shared" si="83"/>
        <v>146.75443200000001</v>
      </c>
      <c r="R153" s="9">
        <f t="shared" si="83"/>
        <v>136.27197257142859</v>
      </c>
      <c r="S153" s="9">
        <f t="shared" si="83"/>
        <v>125.78951314285717</v>
      </c>
      <c r="T153" s="9">
        <f t="shared" si="83"/>
        <v>115.30705371428573</v>
      </c>
      <c r="U153" s="9">
        <f t="shared" si="83"/>
        <v>104.82459428571428</v>
      </c>
      <c r="V153" s="9">
        <f t="shared" si="83"/>
        <v>94.342134857142867</v>
      </c>
      <c r="W153" s="9">
        <f t="shared" si="83"/>
        <v>83.85967542857145</v>
      </c>
      <c r="X153" s="9">
        <f t="shared" si="83"/>
        <v>73.377216000000004</v>
      </c>
      <c r="Y153" s="9">
        <f t="shared" si="83"/>
        <v>62.894756571428559</v>
      </c>
      <c r="Z153" s="9">
        <f t="shared" si="83"/>
        <v>52.412297142857142</v>
      </c>
      <c r="AA153" s="9">
        <f t="shared" si="83"/>
        <v>41.929837714285725</v>
      </c>
      <c r="AB153" s="9">
        <f t="shared" si="83"/>
        <v>31.447378285714279</v>
      </c>
      <c r="AC153" s="9">
        <f t="shared" si="83"/>
        <v>20.964918857142834</v>
      </c>
      <c r="AD153" s="9">
        <f t="shared" si="83"/>
        <v>10.482459428571417</v>
      </c>
      <c r="AE153" s="3">
        <f t="shared" si="83"/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</row>
    <row r="154" spans="1:36" x14ac:dyDescent="0.45">
      <c r="A154" s="34"/>
      <c r="B154" s="3" t="s">
        <v>200</v>
      </c>
      <c r="C154" s="3" t="s">
        <v>201</v>
      </c>
      <c r="D154" s="3" t="s">
        <v>401</v>
      </c>
      <c r="E154" s="9">
        <v>12.983542857142856</v>
      </c>
      <c r="F154" s="3" t="s">
        <v>377</v>
      </c>
      <c r="G154" s="9">
        <f>$E$154-0.04*$E$154*(G1-2020)</f>
        <v>12.464201142857142</v>
      </c>
      <c r="H154" s="9">
        <f t="shared" ref="H154:AE154" si="84">$E$154-0.04*$E$154*(H1-2020)</f>
        <v>11.944859428571428</v>
      </c>
      <c r="I154" s="9">
        <f t="shared" si="84"/>
        <v>11.425517714285714</v>
      </c>
      <c r="J154" s="9">
        <f t="shared" si="84"/>
        <v>10.906175999999999</v>
      </c>
      <c r="K154" s="9">
        <f t="shared" si="84"/>
        <v>10.386834285714285</v>
      </c>
      <c r="L154" s="9">
        <f t="shared" si="84"/>
        <v>9.8674925714285706</v>
      </c>
      <c r="M154" s="9">
        <f t="shared" si="84"/>
        <v>9.3481508571428567</v>
      </c>
      <c r="N154" s="9">
        <f t="shared" si="84"/>
        <v>8.8288091428571427</v>
      </c>
      <c r="O154" s="9">
        <f t="shared" si="84"/>
        <v>8.309467428571427</v>
      </c>
      <c r="P154" s="9">
        <f t="shared" si="84"/>
        <v>7.790125714285713</v>
      </c>
      <c r="Q154" s="9">
        <f t="shared" si="84"/>
        <v>7.270783999999999</v>
      </c>
      <c r="R154" s="9">
        <f t="shared" si="84"/>
        <v>6.7514422857142851</v>
      </c>
      <c r="S154" s="9">
        <f t="shared" si="84"/>
        <v>6.2321005714285702</v>
      </c>
      <c r="T154" s="9">
        <f t="shared" si="84"/>
        <v>5.7127588571428563</v>
      </c>
      <c r="U154" s="9">
        <f t="shared" si="84"/>
        <v>5.1934171428571414</v>
      </c>
      <c r="V154" s="9">
        <f t="shared" si="84"/>
        <v>4.6740754285714274</v>
      </c>
      <c r="W154" s="9">
        <f t="shared" si="84"/>
        <v>4.1547337142857135</v>
      </c>
      <c r="X154" s="9">
        <f t="shared" si="84"/>
        <v>3.6353919999999995</v>
      </c>
      <c r="Y154" s="9">
        <f t="shared" si="84"/>
        <v>3.1160502857142838</v>
      </c>
      <c r="Z154" s="9">
        <f t="shared" si="84"/>
        <v>2.5967085714285698</v>
      </c>
      <c r="AA154" s="9">
        <f t="shared" si="84"/>
        <v>2.0773668571428558</v>
      </c>
      <c r="AB154" s="9">
        <f t="shared" si="84"/>
        <v>1.5580251428571419</v>
      </c>
      <c r="AC154" s="9">
        <f t="shared" si="84"/>
        <v>1.0386834285714279</v>
      </c>
      <c r="AD154" s="9">
        <f t="shared" si="84"/>
        <v>0.51934171428571396</v>
      </c>
      <c r="AE154" s="3">
        <f t="shared" si="84"/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</row>
    <row r="155" spans="1:36" x14ac:dyDescent="0.45">
      <c r="A155" s="34"/>
      <c r="B155" s="3" t="s">
        <v>202</v>
      </c>
      <c r="C155" s="3" t="s">
        <v>203</v>
      </c>
      <c r="D155" s="3" t="s">
        <v>401</v>
      </c>
      <c r="E155" s="9">
        <v>5.3246285714285717</v>
      </c>
      <c r="F155" s="3" t="s">
        <v>377</v>
      </c>
      <c r="G155" s="9">
        <f>$E$155-0.04*$E$155*(G1-2020)</f>
        <v>5.1116434285714289</v>
      </c>
      <c r="H155" s="9">
        <f t="shared" ref="H155:AE155" si="85">$E$155-0.04*$E$155*(H1-2020)</f>
        <v>4.8986582857142862</v>
      </c>
      <c r="I155" s="9">
        <f t="shared" si="85"/>
        <v>4.6856731428571434</v>
      </c>
      <c r="J155" s="9">
        <f t="shared" si="85"/>
        <v>4.4726879999999998</v>
      </c>
      <c r="K155" s="9">
        <f t="shared" si="85"/>
        <v>4.259702857142857</v>
      </c>
      <c r="L155" s="9">
        <f t="shared" si="85"/>
        <v>4.0467177142857143</v>
      </c>
      <c r="M155" s="9">
        <f t="shared" si="85"/>
        <v>3.8337325714285715</v>
      </c>
      <c r="N155" s="9">
        <f t="shared" si="85"/>
        <v>3.6207474285714287</v>
      </c>
      <c r="O155" s="9">
        <f t="shared" si="85"/>
        <v>3.407762285714286</v>
      </c>
      <c r="P155" s="9">
        <f t="shared" si="85"/>
        <v>3.1947771428571432</v>
      </c>
      <c r="Q155" s="9">
        <f t="shared" si="85"/>
        <v>2.981792</v>
      </c>
      <c r="R155" s="9">
        <f t="shared" si="85"/>
        <v>2.7688068571428572</v>
      </c>
      <c r="S155" s="9">
        <f t="shared" si="85"/>
        <v>2.5558217142857145</v>
      </c>
      <c r="T155" s="9">
        <f t="shared" si="85"/>
        <v>2.3428365714285713</v>
      </c>
      <c r="U155" s="9">
        <f t="shared" si="85"/>
        <v>2.1298514285714285</v>
      </c>
      <c r="V155" s="9">
        <f t="shared" si="85"/>
        <v>1.9168662857142857</v>
      </c>
      <c r="W155" s="9">
        <f t="shared" si="85"/>
        <v>1.703881142857143</v>
      </c>
      <c r="X155" s="9">
        <f t="shared" si="85"/>
        <v>1.4908960000000002</v>
      </c>
      <c r="Y155" s="9">
        <f t="shared" si="85"/>
        <v>1.2779108571428575</v>
      </c>
      <c r="Z155" s="9">
        <f t="shared" si="85"/>
        <v>1.0649257142857147</v>
      </c>
      <c r="AA155" s="9">
        <f t="shared" si="85"/>
        <v>0.85194057142857105</v>
      </c>
      <c r="AB155" s="9">
        <f t="shared" si="85"/>
        <v>0.63895542857142829</v>
      </c>
      <c r="AC155" s="9">
        <f t="shared" si="85"/>
        <v>0.42597028571428552</v>
      </c>
      <c r="AD155" s="9">
        <f t="shared" si="85"/>
        <v>0.21298514285714276</v>
      </c>
      <c r="AE155" s="3">
        <f t="shared" si="85"/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</row>
  </sheetData>
  <mergeCells count="25">
    <mergeCell ref="A137:A146"/>
    <mergeCell ref="A150:A155"/>
    <mergeCell ref="A95:A96"/>
    <mergeCell ref="A97:A98"/>
    <mergeCell ref="A99:A100"/>
    <mergeCell ref="A101:A102"/>
    <mergeCell ref="A104:A120"/>
    <mergeCell ref="A121:A136"/>
    <mergeCell ref="A93:A94"/>
    <mergeCell ref="A58:A59"/>
    <mergeCell ref="A60:A64"/>
    <mergeCell ref="A65:A67"/>
    <mergeCell ref="A68:A69"/>
    <mergeCell ref="A70:A73"/>
    <mergeCell ref="A74:A75"/>
    <mergeCell ref="A76:A80"/>
    <mergeCell ref="A81:A84"/>
    <mergeCell ref="A85:A88"/>
    <mergeCell ref="A89:A90"/>
    <mergeCell ref="A91:A92"/>
    <mergeCell ref="A2:A18"/>
    <mergeCell ref="A19:A25"/>
    <mergeCell ref="A26:A46"/>
    <mergeCell ref="A55:A57"/>
    <mergeCell ref="A47:A54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S159"/>
  <sheetViews>
    <sheetView topLeftCell="C142" zoomScale="80" zoomScaleNormal="80" workbookViewId="0">
      <selection activeCell="I150" sqref="I150"/>
    </sheetView>
  </sheetViews>
  <sheetFormatPr baseColWidth="10" defaultRowHeight="17.5" x14ac:dyDescent="0.45"/>
  <cols>
    <col min="2" max="2" width="40.53515625" bestFit="1" customWidth="1"/>
    <col min="3" max="3" width="14.765625" customWidth="1"/>
    <col min="5" max="5" width="28.4609375" bestFit="1" customWidth="1"/>
    <col min="6" max="7" width="9.23046875" customWidth="1"/>
    <col min="8" max="8" width="16" customWidth="1"/>
    <col min="9" max="9" width="22.15234375" customWidth="1"/>
    <col min="12" max="12" width="12.3046875" bestFit="1" customWidth="1"/>
    <col min="17" max="17" width="32.53515625" bestFit="1" customWidth="1"/>
  </cols>
  <sheetData>
    <row r="2" spans="1:5" ht="35" x14ac:dyDescent="0.45">
      <c r="A2" s="4"/>
      <c r="B2" s="12" t="s">
        <v>204</v>
      </c>
      <c r="C2" s="12" t="s">
        <v>205</v>
      </c>
      <c r="D2" s="12" t="s">
        <v>279</v>
      </c>
      <c r="E2" s="12" t="s">
        <v>240</v>
      </c>
    </row>
    <row r="3" spans="1:5" x14ac:dyDescent="0.45">
      <c r="A3" s="34" t="s">
        <v>207</v>
      </c>
      <c r="B3" s="4" t="s">
        <v>0</v>
      </c>
      <c r="C3" s="5" t="s">
        <v>1</v>
      </c>
      <c r="D3" s="4">
        <v>1</v>
      </c>
      <c r="E3" s="4" t="s">
        <v>442</v>
      </c>
    </row>
    <row r="4" spans="1:5" x14ac:dyDescent="0.45">
      <c r="A4" s="34"/>
      <c r="B4" s="4" t="s">
        <v>2</v>
      </c>
      <c r="C4" s="5" t="s">
        <v>3</v>
      </c>
      <c r="D4" s="4">
        <v>1</v>
      </c>
      <c r="E4" s="4" t="s">
        <v>442</v>
      </c>
    </row>
    <row r="5" spans="1:5" x14ac:dyDescent="0.45">
      <c r="A5" s="34"/>
      <c r="B5" s="4" t="s">
        <v>6</v>
      </c>
      <c r="C5" s="5" t="s">
        <v>7</v>
      </c>
      <c r="D5" s="4">
        <v>1</v>
      </c>
      <c r="E5" s="4" t="s">
        <v>442</v>
      </c>
    </row>
    <row r="6" spans="1:5" x14ac:dyDescent="0.45">
      <c r="A6" s="34"/>
      <c r="B6" s="4" t="s">
        <v>10</v>
      </c>
      <c r="C6" s="5" t="s">
        <v>11</v>
      </c>
      <c r="D6" s="4">
        <v>1</v>
      </c>
      <c r="E6" s="4" t="s">
        <v>442</v>
      </c>
    </row>
    <row r="7" spans="1:5" x14ac:dyDescent="0.45">
      <c r="A7" s="34"/>
      <c r="B7" s="4" t="s">
        <v>12</v>
      </c>
      <c r="C7" s="5" t="s">
        <v>13</v>
      </c>
      <c r="D7" s="4">
        <v>1</v>
      </c>
      <c r="E7" s="4" t="s">
        <v>442</v>
      </c>
    </row>
    <row r="8" spans="1:5" x14ac:dyDescent="0.45">
      <c r="A8" s="34"/>
      <c r="B8" s="4" t="s">
        <v>14</v>
      </c>
      <c r="C8" s="5" t="s">
        <v>15</v>
      </c>
      <c r="D8" s="4">
        <v>1</v>
      </c>
      <c r="E8" s="4" t="s">
        <v>442</v>
      </c>
    </row>
    <row r="9" spans="1:5" x14ac:dyDescent="0.45">
      <c r="A9" s="34"/>
      <c r="B9" s="4" t="s">
        <v>16</v>
      </c>
      <c r="C9" s="5" t="s">
        <v>17</v>
      </c>
      <c r="D9" s="4">
        <v>1</v>
      </c>
      <c r="E9" s="4" t="s">
        <v>442</v>
      </c>
    </row>
    <row r="10" spans="1:5" ht="35" x14ac:dyDescent="0.45">
      <c r="A10" s="34"/>
      <c r="B10" s="4" t="s">
        <v>18</v>
      </c>
      <c r="C10" s="5" t="s">
        <v>19</v>
      </c>
      <c r="D10" s="4">
        <v>1</v>
      </c>
      <c r="E10" s="4" t="s">
        <v>442</v>
      </c>
    </row>
    <row r="11" spans="1:5" x14ac:dyDescent="0.45">
      <c r="A11" s="34"/>
      <c r="B11" s="4" t="s">
        <v>20</v>
      </c>
      <c r="C11" s="5" t="s">
        <v>21</v>
      </c>
      <c r="D11" s="4">
        <v>1</v>
      </c>
      <c r="E11" s="4" t="s">
        <v>442</v>
      </c>
    </row>
    <row r="12" spans="1:5" x14ac:dyDescent="0.45">
      <c r="A12" s="34"/>
      <c r="B12" s="4" t="s">
        <v>256</v>
      </c>
      <c r="C12" s="5" t="s">
        <v>258</v>
      </c>
      <c r="D12" s="4">
        <v>1</v>
      </c>
      <c r="E12" s="4" t="s">
        <v>442</v>
      </c>
    </row>
    <row r="13" spans="1:5" x14ac:dyDescent="0.45">
      <c r="A13" s="34"/>
      <c r="B13" s="4" t="s">
        <v>257</v>
      </c>
      <c r="C13" s="5" t="s">
        <v>259</v>
      </c>
      <c r="D13" s="4">
        <v>1</v>
      </c>
      <c r="E13" s="4" t="s">
        <v>442</v>
      </c>
    </row>
    <row r="14" spans="1:5" x14ac:dyDescent="0.45">
      <c r="A14" s="34"/>
      <c r="B14" s="4" t="s">
        <v>22</v>
      </c>
      <c r="C14" s="5" t="s">
        <v>23</v>
      </c>
      <c r="D14" s="4">
        <v>1</v>
      </c>
      <c r="E14" s="4" t="s">
        <v>442</v>
      </c>
    </row>
    <row r="15" spans="1:5" x14ac:dyDescent="0.45">
      <c r="A15" s="34"/>
      <c r="B15" s="4" t="s">
        <v>24</v>
      </c>
      <c r="C15" s="5" t="s">
        <v>25</v>
      </c>
      <c r="D15" s="4">
        <v>1</v>
      </c>
      <c r="E15" s="4" t="s">
        <v>442</v>
      </c>
    </row>
    <row r="16" spans="1:5" x14ac:dyDescent="0.45">
      <c r="A16" s="34"/>
      <c r="B16" s="4" t="s">
        <v>249</v>
      </c>
      <c r="C16" s="5" t="s">
        <v>26</v>
      </c>
      <c r="D16" s="4">
        <v>1</v>
      </c>
      <c r="E16" s="4" t="s">
        <v>442</v>
      </c>
    </row>
    <row r="17" spans="1:8" x14ac:dyDescent="0.45">
      <c r="A17" s="34"/>
      <c r="B17" s="4" t="s">
        <v>250</v>
      </c>
      <c r="C17" s="5" t="s">
        <v>251</v>
      </c>
      <c r="D17" s="4">
        <v>1</v>
      </c>
      <c r="E17" s="4" t="s">
        <v>442</v>
      </c>
    </row>
    <row r="18" spans="1:8" x14ac:dyDescent="0.45">
      <c r="A18" s="34"/>
      <c r="B18" s="4" t="s">
        <v>252</v>
      </c>
      <c r="C18" s="5" t="s">
        <v>255</v>
      </c>
      <c r="D18" s="4">
        <v>1</v>
      </c>
      <c r="E18" s="4" t="s">
        <v>442</v>
      </c>
    </row>
    <row r="19" spans="1:8" x14ac:dyDescent="0.45">
      <c r="A19" s="34"/>
      <c r="B19" s="4" t="s">
        <v>253</v>
      </c>
      <c r="C19" s="5" t="s">
        <v>254</v>
      </c>
      <c r="D19" s="4">
        <v>1</v>
      </c>
      <c r="E19" s="4" t="s">
        <v>442</v>
      </c>
    </row>
    <row r="20" spans="1:8" x14ac:dyDescent="0.45">
      <c r="A20" s="34" t="s">
        <v>208</v>
      </c>
      <c r="B20" s="4" t="s">
        <v>4</v>
      </c>
      <c r="C20" s="5" t="s">
        <v>5</v>
      </c>
      <c r="D20" s="4">
        <v>1</v>
      </c>
      <c r="E20" s="4" t="s">
        <v>442</v>
      </c>
    </row>
    <row r="21" spans="1:8" x14ac:dyDescent="0.45">
      <c r="A21" s="34"/>
      <c r="B21" s="4" t="s">
        <v>8</v>
      </c>
      <c r="C21" s="5" t="s">
        <v>9</v>
      </c>
      <c r="D21" s="4">
        <v>1</v>
      </c>
      <c r="E21" s="4" t="s">
        <v>442</v>
      </c>
    </row>
    <row r="22" spans="1:8" x14ac:dyDescent="0.45">
      <c r="A22" s="34"/>
      <c r="B22" s="4" t="s">
        <v>27</v>
      </c>
      <c r="C22" s="5" t="s">
        <v>28</v>
      </c>
      <c r="D22" s="4">
        <v>1</v>
      </c>
      <c r="E22" s="4" t="s">
        <v>442</v>
      </c>
    </row>
    <row r="23" spans="1:8" x14ac:dyDescent="0.45">
      <c r="A23" s="34"/>
      <c r="B23" s="4" t="s">
        <v>29</v>
      </c>
      <c r="C23" s="5" t="s">
        <v>30</v>
      </c>
      <c r="D23" s="4">
        <v>1</v>
      </c>
      <c r="E23" s="4" t="s">
        <v>442</v>
      </c>
    </row>
    <row r="24" spans="1:8" x14ac:dyDescent="0.45">
      <c r="A24" s="34"/>
      <c r="B24" s="4" t="s">
        <v>31</v>
      </c>
      <c r="C24" s="5" t="s">
        <v>32</v>
      </c>
      <c r="D24" s="4">
        <v>1</v>
      </c>
      <c r="E24" s="4" t="s">
        <v>442</v>
      </c>
    </row>
    <row r="25" spans="1:8" x14ac:dyDescent="0.45">
      <c r="A25" s="34"/>
      <c r="B25" s="4" t="s">
        <v>33</v>
      </c>
      <c r="C25" s="5" t="s">
        <v>34</v>
      </c>
      <c r="D25" s="4">
        <v>1</v>
      </c>
      <c r="E25" s="4" t="s">
        <v>442</v>
      </c>
    </row>
    <row r="26" spans="1:8" x14ac:dyDescent="0.45">
      <c r="A26" s="34"/>
      <c r="B26" s="4" t="s">
        <v>35</v>
      </c>
      <c r="C26" s="5" t="s">
        <v>36</v>
      </c>
      <c r="D26" s="4">
        <v>1</v>
      </c>
      <c r="E26" s="4" t="s">
        <v>442</v>
      </c>
    </row>
    <row r="27" spans="1:8" x14ac:dyDescent="0.45">
      <c r="A27" s="34" t="s">
        <v>209</v>
      </c>
      <c r="B27" s="4" t="s">
        <v>37</v>
      </c>
      <c r="C27" s="5" t="s">
        <v>38</v>
      </c>
      <c r="D27" s="4">
        <v>0.43</v>
      </c>
      <c r="E27" s="4" t="s">
        <v>397</v>
      </c>
      <c r="F27" s="16"/>
      <c r="G27" s="16"/>
      <c r="H27" s="16"/>
    </row>
    <row r="28" spans="1:8" x14ac:dyDescent="0.45">
      <c r="A28" s="34"/>
      <c r="B28" s="4" t="s">
        <v>39</v>
      </c>
      <c r="C28" s="5" t="s">
        <v>40</v>
      </c>
      <c r="D28" s="4">
        <v>0.4</v>
      </c>
      <c r="E28" s="4" t="s">
        <v>400</v>
      </c>
      <c r="F28" s="16"/>
      <c r="G28" s="16"/>
      <c r="H28" s="16"/>
    </row>
    <row r="29" spans="1:8" x14ac:dyDescent="0.45">
      <c r="A29" s="34"/>
      <c r="B29" s="4" t="s">
        <v>41</v>
      </c>
      <c r="C29" s="5" t="s">
        <v>42</v>
      </c>
      <c r="D29" s="4">
        <v>0.56999999999999995</v>
      </c>
      <c r="E29" s="4" t="s">
        <v>397</v>
      </c>
      <c r="F29" s="16"/>
      <c r="G29" s="16"/>
      <c r="H29" s="16"/>
    </row>
    <row r="30" spans="1:8" x14ac:dyDescent="0.45">
      <c r="A30" s="34"/>
      <c r="B30" s="4" t="s">
        <v>43</v>
      </c>
      <c r="C30" s="5" t="s">
        <v>44</v>
      </c>
      <c r="D30" s="4">
        <v>0.43</v>
      </c>
      <c r="E30" s="4" t="s">
        <v>248</v>
      </c>
      <c r="F30" s="16"/>
      <c r="G30" s="16"/>
      <c r="H30" s="16"/>
    </row>
    <row r="31" spans="1:8" x14ac:dyDescent="0.45">
      <c r="A31" s="34"/>
      <c r="B31" s="4" t="s">
        <v>45</v>
      </c>
      <c r="C31" s="5" t="s">
        <v>46</v>
      </c>
      <c r="D31" s="4">
        <v>0.35</v>
      </c>
      <c r="E31" s="4" t="s">
        <v>397</v>
      </c>
      <c r="F31" s="16"/>
      <c r="G31" s="16"/>
      <c r="H31" s="16"/>
    </row>
    <row r="32" spans="1:8" ht="35" x14ac:dyDescent="0.45">
      <c r="A32" s="34"/>
      <c r="B32" s="4" t="s">
        <v>47</v>
      </c>
      <c r="C32" s="5" t="s">
        <v>48</v>
      </c>
      <c r="D32" s="4">
        <v>0.3</v>
      </c>
      <c r="E32" s="4" t="s">
        <v>443</v>
      </c>
      <c r="F32" s="16"/>
      <c r="G32" s="16"/>
      <c r="H32" s="16"/>
    </row>
    <row r="33" spans="1:11" x14ac:dyDescent="0.45">
      <c r="A33" s="34"/>
      <c r="B33" s="4" t="s">
        <v>49</v>
      </c>
      <c r="C33" s="5" t="s">
        <v>50</v>
      </c>
      <c r="D33" s="4">
        <v>0.35</v>
      </c>
      <c r="E33" s="4" t="s">
        <v>397</v>
      </c>
      <c r="F33" s="16"/>
      <c r="G33" s="16"/>
      <c r="H33" s="16"/>
    </row>
    <row r="34" spans="1:11" ht="35" x14ac:dyDescent="0.45">
      <c r="A34" s="34"/>
      <c r="B34" s="4" t="s">
        <v>51</v>
      </c>
      <c r="C34" s="5" t="s">
        <v>52</v>
      </c>
      <c r="D34" s="4">
        <v>0.3</v>
      </c>
      <c r="E34" s="4" t="s">
        <v>443</v>
      </c>
      <c r="F34" s="16"/>
      <c r="G34" s="16"/>
      <c r="H34" s="16"/>
    </row>
    <row r="35" spans="1:11" x14ac:dyDescent="0.45">
      <c r="A35" s="34"/>
      <c r="B35" s="4" t="s">
        <v>53</v>
      </c>
      <c r="C35" s="5" t="s">
        <v>54</v>
      </c>
      <c r="D35" s="4">
        <v>0.4</v>
      </c>
      <c r="E35" s="4" t="s">
        <v>400</v>
      </c>
      <c r="F35" s="16"/>
      <c r="G35" s="16"/>
      <c r="H35" s="16"/>
    </row>
    <row r="36" spans="1:11" x14ac:dyDescent="0.45">
      <c r="A36" s="34"/>
      <c r="B36" s="4" t="s">
        <v>63</v>
      </c>
      <c r="C36" s="5" t="s">
        <v>64</v>
      </c>
      <c r="D36" s="4">
        <v>1</v>
      </c>
      <c r="E36" s="4" t="s">
        <v>397</v>
      </c>
      <c r="F36" s="16"/>
      <c r="G36" s="16"/>
      <c r="H36" s="16"/>
    </row>
    <row r="37" spans="1:11" x14ac:dyDescent="0.45">
      <c r="A37" s="34"/>
      <c r="B37" s="4" t="s">
        <v>65</v>
      </c>
      <c r="C37" s="5" t="s">
        <v>66</v>
      </c>
      <c r="D37" s="4">
        <v>1</v>
      </c>
      <c r="E37" s="4" t="s">
        <v>397</v>
      </c>
      <c r="F37" s="16"/>
      <c r="G37" s="16"/>
      <c r="H37" s="16"/>
    </row>
    <row r="38" spans="1:11" x14ac:dyDescent="0.45">
      <c r="A38" s="34"/>
      <c r="B38" s="4" t="s">
        <v>241</v>
      </c>
      <c r="C38" s="5" t="s">
        <v>242</v>
      </c>
      <c r="D38" s="4">
        <v>0.11</v>
      </c>
      <c r="E38" s="4" t="s">
        <v>397</v>
      </c>
      <c r="F38" s="16"/>
      <c r="G38" s="16"/>
      <c r="H38" s="16"/>
    </row>
    <row r="39" spans="1:11" x14ac:dyDescent="0.45">
      <c r="A39" s="34"/>
      <c r="B39" s="4" t="s">
        <v>67</v>
      </c>
      <c r="C39" s="5" t="s">
        <v>68</v>
      </c>
      <c r="D39" s="4">
        <v>0.35</v>
      </c>
      <c r="E39" s="4" t="s">
        <v>397</v>
      </c>
      <c r="F39" s="16"/>
      <c r="G39" s="16"/>
      <c r="H39" s="16"/>
    </row>
    <row r="40" spans="1:11" x14ac:dyDescent="0.45">
      <c r="A40" s="34"/>
      <c r="B40" s="4" t="s">
        <v>69</v>
      </c>
      <c r="C40" s="5" t="s">
        <v>70</v>
      </c>
      <c r="D40" s="4">
        <v>1</v>
      </c>
      <c r="E40" s="4" t="s">
        <v>397</v>
      </c>
      <c r="F40" s="16"/>
      <c r="G40" s="16"/>
      <c r="H40" s="16"/>
    </row>
    <row r="41" spans="1:11" x14ac:dyDescent="0.45">
      <c r="A41" s="34"/>
      <c r="B41" s="4" t="s">
        <v>71</v>
      </c>
      <c r="C41" s="5" t="s">
        <v>72</v>
      </c>
      <c r="D41" s="4">
        <v>1</v>
      </c>
      <c r="E41" s="4" t="s">
        <v>397</v>
      </c>
      <c r="F41" s="16"/>
      <c r="G41" s="16"/>
      <c r="H41" s="16"/>
    </row>
    <row r="42" spans="1:11" x14ac:dyDescent="0.45">
      <c r="A42" s="34"/>
      <c r="B42" s="4" t="s">
        <v>73</v>
      </c>
      <c r="C42" s="5" t="s">
        <v>74</v>
      </c>
      <c r="D42" s="4">
        <v>0.35</v>
      </c>
      <c r="E42" s="4" t="s">
        <v>397</v>
      </c>
      <c r="F42" s="16"/>
      <c r="G42" s="16"/>
      <c r="H42" s="16"/>
    </row>
    <row r="43" spans="1:11" x14ac:dyDescent="0.45">
      <c r="A43" s="34"/>
      <c r="B43" s="4" t="s">
        <v>75</v>
      </c>
      <c r="C43" s="5" t="s">
        <v>76</v>
      </c>
      <c r="D43" s="4">
        <v>1</v>
      </c>
      <c r="E43" s="4" t="s">
        <v>397</v>
      </c>
      <c r="F43" s="16"/>
      <c r="G43" s="16"/>
      <c r="H43" s="16"/>
    </row>
    <row r="44" spans="1:11" x14ac:dyDescent="0.45">
      <c r="A44" s="34"/>
      <c r="B44" s="4" t="s">
        <v>77</v>
      </c>
      <c r="C44" s="5" t="s">
        <v>78</v>
      </c>
      <c r="D44" s="4">
        <v>1</v>
      </c>
      <c r="E44" s="4" t="s">
        <v>397</v>
      </c>
      <c r="F44" s="16"/>
      <c r="G44" s="16"/>
      <c r="H44" s="16"/>
    </row>
    <row r="45" spans="1:11" x14ac:dyDescent="0.45">
      <c r="A45" s="34"/>
      <c r="B45" s="4" t="s">
        <v>79</v>
      </c>
      <c r="C45" s="5" t="s">
        <v>80</v>
      </c>
      <c r="D45" s="4">
        <v>1</v>
      </c>
      <c r="E45" s="4" t="s">
        <v>397</v>
      </c>
      <c r="F45" s="16"/>
      <c r="G45" s="16"/>
      <c r="H45" s="16"/>
    </row>
    <row r="46" spans="1:11" x14ac:dyDescent="0.45">
      <c r="A46" s="34"/>
      <c r="B46" s="4" t="s">
        <v>81</v>
      </c>
      <c r="C46" s="5" t="s">
        <v>82</v>
      </c>
      <c r="D46" s="4">
        <v>1</v>
      </c>
      <c r="E46" s="4" t="s">
        <v>397</v>
      </c>
      <c r="F46" s="16"/>
      <c r="G46" s="16"/>
      <c r="H46" s="16"/>
    </row>
    <row r="47" spans="1:11" ht="35" x14ac:dyDescent="0.45">
      <c r="A47" s="34"/>
      <c r="B47" s="4" t="s">
        <v>83</v>
      </c>
      <c r="C47" s="5" t="s">
        <v>84</v>
      </c>
      <c r="D47" s="4">
        <v>1</v>
      </c>
      <c r="E47" s="4" t="s">
        <v>444</v>
      </c>
      <c r="F47" s="16"/>
      <c r="G47" s="16"/>
      <c r="H47" s="16"/>
    </row>
    <row r="48" spans="1:11" ht="17.25" customHeight="1" x14ac:dyDescent="0.45">
      <c r="A48" s="35" t="s">
        <v>210</v>
      </c>
      <c r="B48" s="4" t="s">
        <v>55</v>
      </c>
      <c r="C48" s="5" t="s">
        <v>56</v>
      </c>
      <c r="D48" s="4">
        <v>0.76400000000000001</v>
      </c>
      <c r="E48" s="4" t="s">
        <v>369</v>
      </c>
      <c r="F48" s="16"/>
      <c r="G48" s="41"/>
      <c r="H48" s="41"/>
      <c r="I48" s="40"/>
      <c r="J48" s="40"/>
      <c r="K48" s="40"/>
    </row>
    <row r="49" spans="1:11" x14ac:dyDescent="0.45">
      <c r="A49" s="36"/>
      <c r="B49" s="4" t="s">
        <v>57</v>
      </c>
      <c r="C49" s="5" t="s">
        <v>58</v>
      </c>
      <c r="D49" s="4">
        <v>0.7</v>
      </c>
      <c r="E49" s="4" t="s">
        <v>273</v>
      </c>
      <c r="F49" s="16"/>
      <c r="G49" s="41"/>
      <c r="H49" s="41"/>
      <c r="I49" s="40"/>
      <c r="J49" s="41"/>
      <c r="K49" s="40"/>
    </row>
    <row r="50" spans="1:11" x14ac:dyDescent="0.45">
      <c r="A50" s="36"/>
      <c r="B50" s="4" t="s">
        <v>59</v>
      </c>
      <c r="C50" s="5" t="s">
        <v>60</v>
      </c>
      <c r="D50" s="4">
        <v>0.45</v>
      </c>
      <c r="E50" s="4" t="s">
        <v>248</v>
      </c>
      <c r="F50" s="16"/>
      <c r="G50" s="41"/>
      <c r="H50" s="41"/>
      <c r="I50" s="40"/>
      <c r="J50" s="42"/>
      <c r="K50" s="40"/>
    </row>
    <row r="51" spans="1:11" x14ac:dyDescent="0.45">
      <c r="A51" s="36"/>
      <c r="B51" s="4" t="s">
        <v>61</v>
      </c>
      <c r="C51" s="5" t="s">
        <v>62</v>
      </c>
      <c r="D51" s="4">
        <v>0.88</v>
      </c>
      <c r="E51" s="4" t="s">
        <v>248</v>
      </c>
      <c r="F51" s="16"/>
      <c r="G51" s="41"/>
      <c r="H51" s="41"/>
      <c r="I51" s="40"/>
      <c r="J51" s="42"/>
      <c r="K51" s="40"/>
    </row>
    <row r="52" spans="1:11" x14ac:dyDescent="0.45">
      <c r="A52" s="36"/>
      <c r="B52" s="4" t="s">
        <v>85</v>
      </c>
      <c r="C52" s="5" t="s">
        <v>86</v>
      </c>
      <c r="D52" s="4">
        <v>0.66</v>
      </c>
      <c r="E52" s="4" t="s">
        <v>248</v>
      </c>
      <c r="F52" s="16"/>
      <c r="G52" s="41"/>
      <c r="H52" s="41"/>
      <c r="I52" s="40"/>
      <c r="J52" s="42"/>
      <c r="K52" s="40"/>
    </row>
    <row r="53" spans="1:11" x14ac:dyDescent="0.45">
      <c r="A53" s="36"/>
      <c r="B53" s="4" t="s">
        <v>87</v>
      </c>
      <c r="C53" s="5" t="s">
        <v>88</v>
      </c>
      <c r="D53" s="4">
        <v>0.66</v>
      </c>
      <c r="E53" s="4" t="s">
        <v>248</v>
      </c>
      <c r="F53" s="16"/>
      <c r="G53" s="41"/>
      <c r="H53" s="41"/>
      <c r="I53" s="40"/>
      <c r="J53" s="42"/>
      <c r="K53" s="40"/>
    </row>
    <row r="54" spans="1:11" x14ac:dyDescent="0.45">
      <c r="A54" s="36"/>
      <c r="B54" s="4" t="s">
        <v>89</v>
      </c>
      <c r="C54" s="5" t="s">
        <v>90</v>
      </c>
      <c r="D54" s="4">
        <v>0.8</v>
      </c>
      <c r="E54" s="4" t="s">
        <v>248</v>
      </c>
      <c r="F54" s="16"/>
      <c r="G54" s="41"/>
      <c r="H54" s="41"/>
      <c r="I54" s="40"/>
      <c r="J54" s="42"/>
      <c r="K54" s="40"/>
    </row>
    <row r="55" spans="1:11" x14ac:dyDescent="0.45">
      <c r="A55" s="37"/>
      <c r="B55" s="4" t="s">
        <v>430</v>
      </c>
      <c r="C55" s="5" t="s">
        <v>431</v>
      </c>
      <c r="D55" s="4">
        <v>1</v>
      </c>
      <c r="E55" s="4" t="s">
        <v>366</v>
      </c>
      <c r="F55" s="16"/>
      <c r="G55" s="41"/>
      <c r="H55" s="41"/>
      <c r="I55" s="40"/>
      <c r="J55" s="40"/>
      <c r="K55" s="40"/>
    </row>
    <row r="56" spans="1:11" x14ac:dyDescent="0.45">
      <c r="A56" s="34" t="s">
        <v>211</v>
      </c>
      <c r="B56" s="4" t="s">
        <v>91</v>
      </c>
      <c r="C56" s="5" t="s">
        <v>92</v>
      </c>
      <c r="D56" s="4">
        <v>1</v>
      </c>
      <c r="E56" s="4" t="s">
        <v>397</v>
      </c>
      <c r="F56" s="16"/>
      <c r="G56" s="41"/>
      <c r="H56" s="41"/>
      <c r="I56" s="40"/>
      <c r="J56" s="40"/>
      <c r="K56" s="40"/>
    </row>
    <row r="57" spans="1:11" x14ac:dyDescent="0.45">
      <c r="A57" s="34"/>
      <c r="B57" s="4" t="s">
        <v>93</v>
      </c>
      <c r="C57" s="5" t="s">
        <v>94</v>
      </c>
      <c r="D57" s="4">
        <v>1</v>
      </c>
      <c r="E57" s="4" t="s">
        <v>409</v>
      </c>
      <c r="F57" s="16"/>
      <c r="G57" s="16"/>
      <c r="H57" s="16"/>
    </row>
    <row r="58" spans="1:11" x14ac:dyDescent="0.45">
      <c r="A58" s="34"/>
      <c r="B58" s="4" t="s">
        <v>95</v>
      </c>
      <c r="C58" s="5" t="s">
        <v>96</v>
      </c>
      <c r="D58" s="4">
        <v>0.4</v>
      </c>
      <c r="E58" s="4" t="s">
        <v>397</v>
      </c>
      <c r="F58" s="16"/>
      <c r="G58" s="16"/>
      <c r="H58" s="16"/>
    </row>
    <row r="59" spans="1:11" x14ac:dyDescent="0.45">
      <c r="A59" s="34" t="s">
        <v>212</v>
      </c>
      <c r="B59" s="4" t="s">
        <v>97</v>
      </c>
      <c r="C59" s="5" t="s">
        <v>98</v>
      </c>
      <c r="D59" s="4">
        <v>0.95</v>
      </c>
      <c r="E59" s="4" t="s">
        <v>397</v>
      </c>
      <c r="F59" s="16"/>
      <c r="G59" s="16"/>
      <c r="H59" s="16"/>
    </row>
    <row r="60" spans="1:11" x14ac:dyDescent="0.45">
      <c r="A60" s="34"/>
      <c r="B60" s="4" t="s">
        <v>99</v>
      </c>
      <c r="C60" s="5" t="s">
        <v>100</v>
      </c>
      <c r="D60" s="4">
        <v>0.93</v>
      </c>
      <c r="E60" s="4" t="s">
        <v>397</v>
      </c>
      <c r="F60" s="16"/>
      <c r="G60" s="16"/>
      <c r="H60" s="16"/>
    </row>
    <row r="61" spans="1:11" x14ac:dyDescent="0.45">
      <c r="A61" s="34" t="s">
        <v>382</v>
      </c>
      <c r="B61" s="4" t="s">
        <v>213</v>
      </c>
      <c r="C61" s="5" t="s">
        <v>101</v>
      </c>
      <c r="D61" s="19">
        <v>0.65690000000000004</v>
      </c>
      <c r="E61" s="4" t="s">
        <v>383</v>
      </c>
      <c r="F61" s="16"/>
      <c r="G61" s="16"/>
      <c r="H61" s="16"/>
    </row>
    <row r="62" spans="1:11" x14ac:dyDescent="0.45">
      <c r="A62" s="34"/>
      <c r="B62" s="4" t="s">
        <v>214</v>
      </c>
      <c r="C62" s="5" t="s">
        <v>102</v>
      </c>
      <c r="D62" s="19">
        <v>0.77129999999999999</v>
      </c>
      <c r="E62" s="4" t="s">
        <v>383</v>
      </c>
      <c r="F62" s="16"/>
      <c r="G62" s="16"/>
      <c r="H62" s="16"/>
    </row>
    <row r="63" spans="1:11" x14ac:dyDescent="0.45">
      <c r="A63" s="34"/>
      <c r="B63" s="4" t="s">
        <v>215</v>
      </c>
      <c r="C63" s="5" t="s">
        <v>103</v>
      </c>
      <c r="D63" s="19">
        <v>0.79770000000000008</v>
      </c>
      <c r="E63" s="4" t="s">
        <v>383</v>
      </c>
      <c r="F63" s="16"/>
      <c r="G63" s="16"/>
      <c r="H63" s="16"/>
    </row>
    <row r="64" spans="1:11" x14ac:dyDescent="0.45">
      <c r="A64" s="34"/>
      <c r="B64" s="4" t="s">
        <v>216</v>
      </c>
      <c r="C64" s="5" t="s">
        <v>206</v>
      </c>
      <c r="D64" s="19">
        <v>0.99</v>
      </c>
      <c r="E64" s="4" t="s">
        <v>409</v>
      </c>
      <c r="F64" s="16"/>
      <c r="G64" s="16"/>
      <c r="H64" s="16"/>
    </row>
    <row r="65" spans="1:8" x14ac:dyDescent="0.45">
      <c r="A65" s="34"/>
      <c r="B65" s="4" t="s">
        <v>217</v>
      </c>
      <c r="C65" s="5" t="s">
        <v>104</v>
      </c>
      <c r="D65" s="19">
        <v>0.92</v>
      </c>
      <c r="E65" s="4" t="s">
        <v>415</v>
      </c>
      <c r="F65" s="16"/>
      <c r="G65" s="16"/>
      <c r="H65" s="16"/>
    </row>
    <row r="66" spans="1:8" x14ac:dyDescent="0.45">
      <c r="A66" s="34" t="s">
        <v>219</v>
      </c>
      <c r="B66" s="4" t="s">
        <v>105</v>
      </c>
      <c r="C66" s="5" t="s">
        <v>106</v>
      </c>
      <c r="D66" s="19">
        <v>0.57720000000000005</v>
      </c>
      <c r="E66" s="4" t="s">
        <v>383</v>
      </c>
      <c r="F66" s="16"/>
      <c r="G66" s="16"/>
      <c r="H66" s="16"/>
    </row>
    <row r="67" spans="1:8" x14ac:dyDescent="0.45">
      <c r="A67" s="34"/>
      <c r="B67" s="4" t="s">
        <v>107</v>
      </c>
      <c r="C67" s="5" t="s">
        <v>108</v>
      </c>
      <c r="D67" s="19">
        <v>0.58240000000000003</v>
      </c>
      <c r="E67" s="4" t="s">
        <v>383</v>
      </c>
      <c r="F67" s="16"/>
      <c r="G67" s="16"/>
      <c r="H67" s="16"/>
    </row>
    <row r="68" spans="1:8" x14ac:dyDescent="0.45">
      <c r="A68" s="34"/>
      <c r="B68" s="4" t="s">
        <v>109</v>
      </c>
      <c r="C68" s="5" t="s">
        <v>110</v>
      </c>
      <c r="D68" s="19">
        <v>0.92</v>
      </c>
      <c r="E68" s="4" t="s">
        <v>415</v>
      </c>
      <c r="F68" s="16"/>
      <c r="G68" s="16"/>
      <c r="H68" s="16"/>
    </row>
    <row r="69" spans="1:8" x14ac:dyDescent="0.45">
      <c r="A69" s="34" t="s">
        <v>220</v>
      </c>
      <c r="B69" s="4" t="s">
        <v>111</v>
      </c>
      <c r="C69" s="5" t="s">
        <v>112</v>
      </c>
      <c r="D69" s="19">
        <v>0.55310000000000004</v>
      </c>
      <c r="E69" s="4" t="s">
        <v>383</v>
      </c>
      <c r="F69" s="16"/>
      <c r="G69" s="16"/>
      <c r="H69" s="16"/>
    </row>
    <row r="70" spans="1:8" x14ac:dyDescent="0.45">
      <c r="A70" s="34"/>
      <c r="B70" s="4" t="s">
        <v>113</v>
      </c>
      <c r="C70" s="5" t="s">
        <v>114</v>
      </c>
      <c r="D70" s="19">
        <v>0.92</v>
      </c>
      <c r="E70" s="4" t="s">
        <v>415</v>
      </c>
      <c r="F70" s="16"/>
      <c r="G70" s="16"/>
      <c r="H70" s="16"/>
    </row>
    <row r="71" spans="1:8" x14ac:dyDescent="0.45">
      <c r="A71" s="34" t="s">
        <v>221</v>
      </c>
      <c r="B71" s="4" t="s">
        <v>115</v>
      </c>
      <c r="C71" s="5" t="s">
        <v>116</v>
      </c>
      <c r="D71" s="19">
        <v>0.6956</v>
      </c>
      <c r="E71" s="4" t="s">
        <v>383</v>
      </c>
      <c r="F71" s="16"/>
      <c r="G71" s="16"/>
      <c r="H71" s="16"/>
    </row>
    <row r="72" spans="1:8" x14ac:dyDescent="0.45">
      <c r="A72" s="34"/>
      <c r="B72" s="4" t="s">
        <v>117</v>
      </c>
      <c r="C72" s="5" t="s">
        <v>118</v>
      </c>
      <c r="D72" s="19">
        <v>0.80480000000000007</v>
      </c>
      <c r="E72" s="4" t="s">
        <v>383</v>
      </c>
      <c r="F72" s="16"/>
      <c r="G72" s="16"/>
      <c r="H72" s="16"/>
    </row>
    <row r="73" spans="1:8" x14ac:dyDescent="0.45">
      <c r="A73" s="34"/>
      <c r="B73" s="4" t="s">
        <v>119</v>
      </c>
      <c r="C73" s="5" t="s">
        <v>120</v>
      </c>
      <c r="D73" s="19">
        <v>0.99</v>
      </c>
      <c r="E73" s="4" t="s">
        <v>409</v>
      </c>
      <c r="F73" s="16"/>
      <c r="G73" s="16"/>
      <c r="H73" s="16"/>
    </row>
    <row r="74" spans="1:8" x14ac:dyDescent="0.45">
      <c r="A74" s="34"/>
      <c r="B74" s="4" t="s">
        <v>121</v>
      </c>
      <c r="C74" s="5" t="s">
        <v>122</v>
      </c>
      <c r="D74" s="19">
        <v>0.92</v>
      </c>
      <c r="E74" s="4" t="s">
        <v>415</v>
      </c>
      <c r="F74" s="16"/>
      <c r="G74" s="16"/>
      <c r="H74" s="16"/>
    </row>
    <row r="75" spans="1:8" x14ac:dyDescent="0.45">
      <c r="A75" s="34" t="s">
        <v>222</v>
      </c>
      <c r="B75" s="4" t="s">
        <v>123</v>
      </c>
      <c r="C75" s="5" t="s">
        <v>124</v>
      </c>
      <c r="D75" s="19">
        <v>0.61960000000000004</v>
      </c>
      <c r="E75" s="4" t="s">
        <v>383</v>
      </c>
      <c r="F75" s="16"/>
      <c r="G75" s="16"/>
      <c r="H75" s="16"/>
    </row>
    <row r="76" spans="1:8" x14ac:dyDescent="0.45">
      <c r="A76" s="34"/>
      <c r="B76" s="4" t="s">
        <v>125</v>
      </c>
      <c r="C76" s="5" t="s">
        <v>126</v>
      </c>
      <c r="D76" s="19">
        <v>0.92</v>
      </c>
      <c r="E76" s="4" t="s">
        <v>415</v>
      </c>
      <c r="F76" s="16"/>
      <c r="G76" s="16"/>
      <c r="H76" s="16"/>
    </row>
    <row r="77" spans="1:8" x14ac:dyDescent="0.45">
      <c r="A77" s="34" t="s">
        <v>223</v>
      </c>
      <c r="B77" s="4" t="s">
        <v>127</v>
      </c>
      <c r="C77" s="5" t="s">
        <v>128</v>
      </c>
      <c r="D77" s="19">
        <v>0.71310000000000007</v>
      </c>
      <c r="E77" s="4" t="s">
        <v>383</v>
      </c>
      <c r="F77" s="16"/>
      <c r="G77" s="16"/>
      <c r="H77" s="16"/>
    </row>
    <row r="78" spans="1:8" x14ac:dyDescent="0.45">
      <c r="A78" s="34"/>
      <c r="B78" s="4" t="s">
        <v>129</v>
      </c>
      <c r="C78" s="5" t="s">
        <v>130</v>
      </c>
      <c r="D78" s="19">
        <v>0.71819999999999995</v>
      </c>
      <c r="E78" s="4" t="s">
        <v>383</v>
      </c>
      <c r="F78" s="16"/>
      <c r="G78" s="16"/>
      <c r="H78" s="16"/>
    </row>
    <row r="79" spans="1:8" x14ac:dyDescent="0.45">
      <c r="A79" s="34"/>
      <c r="B79" s="4" t="s">
        <v>131</v>
      </c>
      <c r="C79" s="5" t="s">
        <v>132</v>
      </c>
      <c r="D79" s="19">
        <v>0.69779999999999998</v>
      </c>
      <c r="E79" s="4" t="s">
        <v>383</v>
      </c>
      <c r="F79" s="16"/>
      <c r="G79" s="16"/>
      <c r="H79" s="16"/>
    </row>
    <row r="80" spans="1:8" x14ac:dyDescent="0.45">
      <c r="A80" s="34"/>
      <c r="B80" s="4" t="s">
        <v>133</v>
      </c>
      <c r="C80" s="5" t="s">
        <v>134</v>
      </c>
      <c r="D80" s="19">
        <v>0.99</v>
      </c>
      <c r="E80" s="4" t="s">
        <v>409</v>
      </c>
      <c r="F80" s="16"/>
      <c r="G80" s="16"/>
      <c r="H80" s="16"/>
    </row>
    <row r="81" spans="1:8" x14ac:dyDescent="0.45">
      <c r="A81" s="34"/>
      <c r="B81" s="4" t="s">
        <v>135</v>
      </c>
      <c r="C81" s="5" t="s">
        <v>136</v>
      </c>
      <c r="D81" s="19">
        <v>0.92</v>
      </c>
      <c r="E81" s="4" t="s">
        <v>415</v>
      </c>
      <c r="F81" s="16"/>
      <c r="G81" s="16"/>
      <c r="H81" s="16"/>
    </row>
    <row r="82" spans="1:8" x14ac:dyDescent="0.45">
      <c r="A82" s="34" t="s">
        <v>224</v>
      </c>
      <c r="B82" s="4" t="s">
        <v>137</v>
      </c>
      <c r="C82" s="5" t="s">
        <v>138</v>
      </c>
      <c r="D82" s="19">
        <v>0.65300000000000002</v>
      </c>
      <c r="E82" s="4" t="s">
        <v>383</v>
      </c>
      <c r="F82" s="16"/>
      <c r="G82" s="16"/>
      <c r="H82" s="16"/>
    </row>
    <row r="83" spans="1:8" x14ac:dyDescent="0.45">
      <c r="A83" s="34"/>
      <c r="B83" s="4" t="s">
        <v>139</v>
      </c>
      <c r="C83" s="5" t="s">
        <v>140</v>
      </c>
      <c r="D83" s="19">
        <v>0.65700000000000003</v>
      </c>
      <c r="E83" s="4" t="s">
        <v>383</v>
      </c>
      <c r="F83" s="16"/>
      <c r="G83" s="16"/>
      <c r="H83" s="16"/>
    </row>
    <row r="84" spans="1:8" x14ac:dyDescent="0.45">
      <c r="A84" s="34"/>
      <c r="B84" s="4" t="s">
        <v>141</v>
      </c>
      <c r="C84" s="5" t="s">
        <v>142</v>
      </c>
      <c r="D84" s="19">
        <v>0.99</v>
      </c>
      <c r="E84" s="4" t="s">
        <v>409</v>
      </c>
      <c r="F84" s="16"/>
      <c r="G84" s="16"/>
      <c r="H84" s="16"/>
    </row>
    <row r="85" spans="1:8" x14ac:dyDescent="0.45">
      <c r="A85" s="34"/>
      <c r="B85" s="4" t="s">
        <v>143</v>
      </c>
      <c r="C85" s="5" t="s">
        <v>144</v>
      </c>
      <c r="D85" s="19">
        <v>0.92</v>
      </c>
      <c r="E85" s="4" t="s">
        <v>415</v>
      </c>
      <c r="F85" s="16"/>
      <c r="G85" s="16"/>
      <c r="H85" s="16"/>
    </row>
    <row r="86" spans="1:8" x14ac:dyDescent="0.45">
      <c r="A86" s="34" t="s">
        <v>225</v>
      </c>
      <c r="B86" s="4" t="s">
        <v>145</v>
      </c>
      <c r="C86" s="5" t="s">
        <v>146</v>
      </c>
      <c r="D86" s="19">
        <v>0.09</v>
      </c>
      <c r="E86" s="4" t="s">
        <v>424</v>
      </c>
      <c r="F86" s="16"/>
      <c r="G86" s="16"/>
      <c r="H86" s="16"/>
    </row>
    <row r="87" spans="1:8" x14ac:dyDescent="0.45">
      <c r="A87" s="34"/>
      <c r="B87" s="4" t="s">
        <v>147</v>
      </c>
      <c r="C87" s="5" t="s">
        <v>148</v>
      </c>
      <c r="D87" s="19">
        <v>0.46</v>
      </c>
      <c r="E87" s="4" t="s">
        <v>424</v>
      </c>
      <c r="F87" s="16"/>
      <c r="G87" s="16"/>
      <c r="H87" s="16"/>
    </row>
    <row r="88" spans="1:8" x14ac:dyDescent="0.45">
      <c r="A88" s="34"/>
      <c r="B88" s="4" t="s">
        <v>149</v>
      </c>
      <c r="C88" s="5" t="s">
        <v>150</v>
      </c>
      <c r="D88" s="19">
        <v>0.7</v>
      </c>
      <c r="E88" s="4" t="s">
        <v>424</v>
      </c>
      <c r="F88" s="16"/>
      <c r="G88" s="16"/>
      <c r="H88" s="16"/>
    </row>
    <row r="89" spans="1:8" x14ac:dyDescent="0.45">
      <c r="A89" s="34"/>
      <c r="B89" s="4" t="s">
        <v>151</v>
      </c>
      <c r="C89" s="5" t="s">
        <v>152</v>
      </c>
      <c r="D89" s="19">
        <v>0.48</v>
      </c>
      <c r="E89" s="4" t="s">
        <v>424</v>
      </c>
      <c r="F89" s="16"/>
      <c r="G89" s="16"/>
      <c r="H89" s="16"/>
    </row>
    <row r="90" spans="1:8" x14ac:dyDescent="0.45">
      <c r="A90" s="34" t="s">
        <v>226</v>
      </c>
      <c r="B90" s="4" t="s">
        <v>153</v>
      </c>
      <c r="C90" s="5" t="s">
        <v>154</v>
      </c>
      <c r="D90" s="19">
        <v>0.14000000000000001</v>
      </c>
      <c r="E90" s="4" t="s">
        <v>424</v>
      </c>
      <c r="F90" s="16"/>
      <c r="G90" s="16"/>
      <c r="H90" s="16"/>
    </row>
    <row r="91" spans="1:8" x14ac:dyDescent="0.45">
      <c r="A91" s="34"/>
      <c r="B91" s="4" t="s">
        <v>155</v>
      </c>
      <c r="C91" s="5" t="s">
        <v>156</v>
      </c>
      <c r="D91" s="19">
        <v>0.3</v>
      </c>
      <c r="E91" s="4" t="s">
        <v>424</v>
      </c>
      <c r="F91" s="16"/>
      <c r="G91" s="16"/>
      <c r="H91" s="16"/>
    </row>
    <row r="92" spans="1:8" x14ac:dyDescent="0.45">
      <c r="A92" s="34" t="s">
        <v>227</v>
      </c>
      <c r="B92" s="4" t="s">
        <v>157</v>
      </c>
      <c r="C92" s="5" t="s">
        <v>158</v>
      </c>
      <c r="D92" s="19">
        <v>0.06</v>
      </c>
      <c r="E92" s="4" t="s">
        <v>424</v>
      </c>
      <c r="F92" s="16"/>
      <c r="G92" s="16"/>
      <c r="H92" s="16"/>
    </row>
    <row r="93" spans="1:8" x14ac:dyDescent="0.45">
      <c r="A93" s="34"/>
      <c r="B93" s="4" t="s">
        <v>159</v>
      </c>
      <c r="C93" s="5" t="s">
        <v>160</v>
      </c>
      <c r="D93" s="19">
        <v>0.14599999999999999</v>
      </c>
      <c r="E93" s="4" t="s">
        <v>424</v>
      </c>
      <c r="F93" s="16"/>
      <c r="G93" s="16"/>
      <c r="H93" s="16"/>
    </row>
    <row r="94" spans="1:8" x14ac:dyDescent="0.45">
      <c r="A94" s="34" t="s">
        <v>228</v>
      </c>
      <c r="B94" s="4" t="s">
        <v>161</v>
      </c>
      <c r="C94" s="5" t="s">
        <v>162</v>
      </c>
      <c r="D94" s="19">
        <v>0.3</v>
      </c>
      <c r="E94" s="4" t="s">
        <v>424</v>
      </c>
      <c r="F94" s="16"/>
      <c r="G94" s="16"/>
      <c r="H94" s="16"/>
    </row>
    <row r="95" spans="1:8" x14ac:dyDescent="0.45">
      <c r="A95" s="34"/>
      <c r="B95" s="4" t="s">
        <v>163</v>
      </c>
      <c r="C95" s="5" t="s">
        <v>164</v>
      </c>
      <c r="D95" s="19">
        <v>0.41</v>
      </c>
      <c r="E95" s="4" t="s">
        <v>424</v>
      </c>
      <c r="F95" s="16"/>
      <c r="G95" s="16"/>
      <c r="H95" s="16"/>
    </row>
    <row r="96" spans="1:8" x14ac:dyDescent="0.45">
      <c r="A96" s="34" t="s">
        <v>229</v>
      </c>
      <c r="B96" s="4" t="s">
        <v>165</v>
      </c>
      <c r="C96" s="5" t="s">
        <v>166</v>
      </c>
      <c r="D96" s="19">
        <v>0.83</v>
      </c>
      <c r="E96" s="4" t="s">
        <v>424</v>
      </c>
      <c r="F96" s="16"/>
      <c r="G96" s="16"/>
      <c r="H96" s="16"/>
    </row>
    <row r="97" spans="1:19" x14ac:dyDescent="0.45">
      <c r="A97" s="34"/>
      <c r="B97" s="4" t="s">
        <v>167</v>
      </c>
      <c r="C97" s="5" t="s">
        <v>168</v>
      </c>
      <c r="D97" s="19">
        <v>0.9</v>
      </c>
      <c r="E97" s="4" t="s">
        <v>424</v>
      </c>
      <c r="F97" s="16"/>
      <c r="G97" s="16"/>
      <c r="H97" s="16"/>
    </row>
    <row r="98" spans="1:19" x14ac:dyDescent="0.45">
      <c r="A98" s="34" t="s">
        <v>230</v>
      </c>
      <c r="B98" s="4" t="s">
        <v>169</v>
      </c>
      <c r="C98" s="5" t="s">
        <v>170</v>
      </c>
      <c r="D98" s="19">
        <v>0.11</v>
      </c>
      <c r="E98" s="4" t="s">
        <v>424</v>
      </c>
      <c r="F98" s="16"/>
      <c r="G98" s="16"/>
      <c r="H98" s="16"/>
    </row>
    <row r="99" spans="1:19" x14ac:dyDescent="0.45">
      <c r="A99" s="34"/>
      <c r="B99" s="4" t="s">
        <v>171</v>
      </c>
      <c r="C99" s="5" t="s">
        <v>172</v>
      </c>
      <c r="D99" s="19">
        <v>0.35</v>
      </c>
      <c r="E99" s="4" t="s">
        <v>424</v>
      </c>
      <c r="F99" s="16"/>
      <c r="G99" s="16"/>
      <c r="H99" s="16"/>
    </row>
    <row r="100" spans="1:19" x14ac:dyDescent="0.45">
      <c r="A100" s="34" t="s">
        <v>231</v>
      </c>
      <c r="B100" s="4" t="s">
        <v>173</v>
      </c>
      <c r="C100" s="5" t="s">
        <v>174</v>
      </c>
      <c r="D100" s="19">
        <v>0.22</v>
      </c>
      <c r="E100" s="4" t="s">
        <v>424</v>
      </c>
      <c r="F100" s="16"/>
      <c r="G100" s="16"/>
      <c r="H100" s="16"/>
    </row>
    <row r="101" spans="1:19" x14ac:dyDescent="0.45">
      <c r="A101" s="34"/>
      <c r="B101" s="4" t="s">
        <v>175</v>
      </c>
      <c r="C101" s="5" t="s">
        <v>176</v>
      </c>
      <c r="D101" s="19">
        <v>0.33</v>
      </c>
      <c r="E101" s="4" t="s">
        <v>424</v>
      </c>
      <c r="F101" s="16"/>
      <c r="G101" s="16"/>
      <c r="H101" s="16"/>
    </row>
    <row r="102" spans="1:19" x14ac:dyDescent="0.45">
      <c r="A102" s="34" t="s">
        <v>232</v>
      </c>
      <c r="B102" s="4" t="s">
        <v>177</v>
      </c>
      <c r="C102" s="5" t="s">
        <v>547</v>
      </c>
      <c r="D102" s="19">
        <v>0.32</v>
      </c>
      <c r="E102" s="4" t="s">
        <v>424</v>
      </c>
      <c r="F102" s="16"/>
      <c r="G102" s="16"/>
      <c r="H102" s="16"/>
    </row>
    <row r="103" spans="1:19" x14ac:dyDescent="0.45">
      <c r="A103" s="34"/>
      <c r="B103" s="4" t="s">
        <v>179</v>
      </c>
      <c r="C103" s="5" t="s">
        <v>548</v>
      </c>
      <c r="D103" s="19">
        <v>0.42</v>
      </c>
      <c r="E103" s="4" t="s">
        <v>424</v>
      </c>
      <c r="F103" s="16"/>
      <c r="G103" s="16"/>
      <c r="H103" s="16"/>
    </row>
    <row r="104" spans="1:19" ht="52.5" x14ac:dyDescent="0.45">
      <c r="A104" s="4" t="s">
        <v>233</v>
      </c>
      <c r="B104" s="4" t="s">
        <v>381</v>
      </c>
      <c r="C104" s="5" t="s">
        <v>181</v>
      </c>
      <c r="D104" s="19">
        <v>0.33</v>
      </c>
      <c r="E104" s="4" t="s">
        <v>424</v>
      </c>
      <c r="F104" s="16"/>
      <c r="G104" s="16"/>
      <c r="H104" s="16"/>
      <c r="J104" s="43"/>
      <c r="K104" s="43"/>
      <c r="L104" s="43"/>
      <c r="M104" s="43"/>
      <c r="N104" s="43"/>
      <c r="O104" s="43"/>
      <c r="P104" s="43"/>
      <c r="Q104" s="43"/>
      <c r="R104" s="43"/>
      <c r="S104" s="43"/>
    </row>
    <row r="105" spans="1:19" x14ac:dyDescent="0.45">
      <c r="A105" s="34" t="s">
        <v>297</v>
      </c>
      <c r="B105" s="4" t="s">
        <v>280</v>
      </c>
      <c r="C105" s="5" t="s">
        <v>325</v>
      </c>
      <c r="D105" s="4">
        <v>2048</v>
      </c>
      <c r="E105" s="4" t="s">
        <v>368</v>
      </c>
      <c r="F105" s="4" t="s">
        <v>427</v>
      </c>
      <c r="G105" s="19">
        <f>D105/1000</f>
        <v>2.048</v>
      </c>
      <c r="H105" s="4" t="s">
        <v>560</v>
      </c>
      <c r="J105" s="43"/>
      <c r="K105" s="43"/>
      <c r="L105" s="43"/>
      <c r="M105" s="44"/>
      <c r="N105" s="43"/>
      <c r="O105" s="43"/>
      <c r="P105" s="43"/>
      <c r="Q105" s="43"/>
      <c r="R105" s="43"/>
      <c r="S105" s="43"/>
    </row>
    <row r="106" spans="1:19" x14ac:dyDescent="0.45">
      <c r="A106" s="34"/>
      <c r="B106" s="4" t="s">
        <v>281</v>
      </c>
      <c r="C106" s="5" t="s">
        <v>326</v>
      </c>
      <c r="D106" s="4">
        <v>1884</v>
      </c>
      <c r="E106" s="4" t="s">
        <v>368</v>
      </c>
      <c r="F106" s="4" t="s">
        <v>427</v>
      </c>
      <c r="G106" s="19">
        <f t="shared" ref="G106:G150" si="0">D106/1000</f>
        <v>1.8839999999999999</v>
      </c>
      <c r="H106" s="4" t="s">
        <v>560</v>
      </c>
      <c r="J106" s="43"/>
      <c r="K106" s="43"/>
      <c r="L106" s="43"/>
      <c r="M106" s="45"/>
      <c r="N106" s="43"/>
      <c r="O106" s="43"/>
      <c r="P106" s="43"/>
      <c r="Q106" s="43"/>
      <c r="R106" s="43"/>
      <c r="S106" s="43"/>
    </row>
    <row r="107" spans="1:19" x14ac:dyDescent="0.45">
      <c r="A107" s="34"/>
      <c r="B107" s="4" t="s">
        <v>282</v>
      </c>
      <c r="C107" s="5" t="s">
        <v>327</v>
      </c>
      <c r="D107" s="4">
        <v>1929</v>
      </c>
      <c r="E107" s="4" t="s">
        <v>368</v>
      </c>
      <c r="F107" s="4" t="s">
        <v>427</v>
      </c>
      <c r="G107" s="19">
        <f t="shared" si="0"/>
        <v>1.929</v>
      </c>
      <c r="H107" s="4" t="s">
        <v>560</v>
      </c>
      <c r="J107" s="43"/>
      <c r="K107" s="43"/>
      <c r="L107" s="43"/>
      <c r="M107" s="45"/>
      <c r="N107" s="43"/>
      <c r="O107" s="43"/>
      <c r="P107" s="43"/>
      <c r="Q107" s="43"/>
      <c r="R107" s="43"/>
      <c r="S107" s="43"/>
    </row>
    <row r="108" spans="1:19" x14ac:dyDescent="0.45">
      <c r="A108" s="34"/>
      <c r="B108" s="4" t="s">
        <v>283</v>
      </c>
      <c r="C108" s="5" t="s">
        <v>328</v>
      </c>
      <c r="D108" s="4">
        <v>360</v>
      </c>
      <c r="E108" s="4" t="s">
        <v>445</v>
      </c>
      <c r="F108" s="4" t="s">
        <v>427</v>
      </c>
      <c r="G108" s="19">
        <f t="shared" si="0"/>
        <v>0.36</v>
      </c>
      <c r="H108" s="4" t="s">
        <v>560</v>
      </c>
      <c r="J108" s="43"/>
      <c r="K108" s="43"/>
      <c r="L108" s="43"/>
      <c r="M108" s="45"/>
      <c r="N108" s="43"/>
      <c r="O108" s="43"/>
      <c r="P108" s="43"/>
      <c r="Q108" s="43"/>
      <c r="R108" s="43"/>
      <c r="S108" s="43"/>
    </row>
    <row r="109" spans="1:19" ht="70" x14ac:dyDescent="0.45">
      <c r="A109" s="34"/>
      <c r="B109" s="4" t="s">
        <v>284</v>
      </c>
      <c r="C109" s="5" t="s">
        <v>329</v>
      </c>
      <c r="D109" s="4">
        <v>193</v>
      </c>
      <c r="E109" s="4" t="s">
        <v>445</v>
      </c>
      <c r="F109" s="4" t="s">
        <v>427</v>
      </c>
      <c r="G109" s="19">
        <f t="shared" si="0"/>
        <v>0.193</v>
      </c>
      <c r="H109" s="4" t="s">
        <v>560</v>
      </c>
      <c r="I109" s="7" t="s">
        <v>561</v>
      </c>
      <c r="J109" s="43"/>
      <c r="K109" s="43"/>
      <c r="L109" s="43"/>
      <c r="M109" s="45"/>
      <c r="N109" s="43"/>
      <c r="O109" s="43"/>
      <c r="P109" s="43"/>
      <c r="Q109" s="43"/>
      <c r="R109" s="43"/>
      <c r="S109" s="43"/>
    </row>
    <row r="110" spans="1:19" x14ac:dyDescent="0.45">
      <c r="A110" s="34"/>
      <c r="B110" s="4" t="s">
        <v>291</v>
      </c>
      <c r="C110" s="5" t="s">
        <v>330</v>
      </c>
      <c r="D110" s="4">
        <v>827</v>
      </c>
      <c r="E110" s="4" t="s">
        <v>248</v>
      </c>
      <c r="F110" s="4" t="s">
        <v>427</v>
      </c>
      <c r="G110" s="19">
        <f t="shared" si="0"/>
        <v>0.82699999999999996</v>
      </c>
      <c r="H110" s="4" t="s">
        <v>560</v>
      </c>
      <c r="J110" s="43"/>
      <c r="K110" s="43"/>
      <c r="L110" s="43"/>
      <c r="M110" s="44"/>
      <c r="N110" s="43"/>
      <c r="O110" s="43"/>
      <c r="P110" s="43"/>
      <c r="Q110" s="43"/>
      <c r="R110" s="43"/>
      <c r="S110" s="43"/>
    </row>
    <row r="111" spans="1:19" x14ac:dyDescent="0.45">
      <c r="A111" s="34"/>
      <c r="B111" s="4" t="s">
        <v>285</v>
      </c>
      <c r="C111" s="5" t="s">
        <v>331</v>
      </c>
      <c r="D111" s="4">
        <v>3790</v>
      </c>
      <c r="E111" s="4" t="s">
        <v>368</v>
      </c>
      <c r="F111" s="4" t="s">
        <v>427</v>
      </c>
      <c r="G111" s="19">
        <f t="shared" si="0"/>
        <v>3.79</v>
      </c>
      <c r="H111" s="4" t="s">
        <v>560</v>
      </c>
      <c r="J111" s="43"/>
      <c r="K111" s="43"/>
      <c r="L111" s="43"/>
      <c r="M111" s="44"/>
      <c r="N111" s="43"/>
      <c r="O111" s="43"/>
      <c r="P111" s="43"/>
      <c r="Q111" s="43"/>
      <c r="R111" s="43"/>
      <c r="S111" s="43"/>
    </row>
    <row r="112" spans="1:19" x14ac:dyDescent="0.45">
      <c r="A112" s="34"/>
      <c r="B112" s="4" t="s">
        <v>286</v>
      </c>
      <c r="C112" s="5" t="s">
        <v>332</v>
      </c>
      <c r="D112" s="4">
        <v>3486</v>
      </c>
      <c r="E112" s="4" t="s">
        <v>368</v>
      </c>
      <c r="F112" s="4" t="s">
        <v>427</v>
      </c>
      <c r="G112" s="19">
        <f t="shared" si="0"/>
        <v>3.4860000000000002</v>
      </c>
      <c r="H112" s="4" t="s">
        <v>560</v>
      </c>
      <c r="J112" s="43"/>
      <c r="K112" s="43"/>
      <c r="L112" s="43"/>
      <c r="M112" s="44"/>
      <c r="N112" s="43"/>
      <c r="O112" s="43"/>
      <c r="P112" s="43"/>
      <c r="Q112" s="43"/>
      <c r="R112" s="43"/>
      <c r="S112" s="43"/>
    </row>
    <row r="113" spans="1:19" x14ac:dyDescent="0.45">
      <c r="A113" s="34"/>
      <c r="B113" s="4" t="s">
        <v>287</v>
      </c>
      <c r="C113" s="5" t="s">
        <v>333</v>
      </c>
      <c r="D113" s="4">
        <v>2159</v>
      </c>
      <c r="E113" s="4" t="s">
        <v>368</v>
      </c>
      <c r="F113" s="4" t="s">
        <v>427</v>
      </c>
      <c r="G113" s="19">
        <f t="shared" si="0"/>
        <v>2.1589999999999998</v>
      </c>
      <c r="H113" s="4" t="s">
        <v>560</v>
      </c>
      <c r="J113" s="43"/>
      <c r="K113" s="43"/>
      <c r="L113" s="43"/>
      <c r="M113" s="44"/>
      <c r="N113" s="43"/>
      <c r="O113" s="43"/>
      <c r="P113" s="43"/>
      <c r="Q113" s="43"/>
      <c r="R113" s="43"/>
      <c r="S113" s="43"/>
    </row>
    <row r="114" spans="1:19" x14ac:dyDescent="0.45">
      <c r="A114" s="34"/>
      <c r="B114" s="4" t="s">
        <v>288</v>
      </c>
      <c r="C114" s="5" t="s">
        <v>334</v>
      </c>
      <c r="D114" s="4">
        <v>500</v>
      </c>
      <c r="E114" s="4" t="s">
        <v>445</v>
      </c>
      <c r="F114" s="4" t="s">
        <v>427</v>
      </c>
      <c r="G114" s="19">
        <f t="shared" si="0"/>
        <v>0.5</v>
      </c>
      <c r="H114" s="4" t="s">
        <v>560</v>
      </c>
      <c r="J114" s="43"/>
      <c r="K114" s="43"/>
      <c r="L114" s="43"/>
      <c r="M114" s="45"/>
      <c r="N114" s="43"/>
      <c r="O114" s="43"/>
      <c r="P114" s="43"/>
      <c r="Q114" s="43"/>
      <c r="R114" s="43"/>
      <c r="S114" s="43"/>
    </row>
    <row r="115" spans="1:19" ht="52.5" x14ac:dyDescent="0.45">
      <c r="A115" s="34"/>
      <c r="B115" s="4" t="s">
        <v>289</v>
      </c>
      <c r="C115" s="5" t="s">
        <v>335</v>
      </c>
      <c r="D115" s="4">
        <v>320</v>
      </c>
      <c r="E115" s="4" t="s">
        <v>445</v>
      </c>
      <c r="F115" s="4" t="s">
        <v>427</v>
      </c>
      <c r="G115" s="19">
        <f t="shared" si="0"/>
        <v>0.32</v>
      </c>
      <c r="H115" s="4" t="s">
        <v>560</v>
      </c>
      <c r="I115" s="7" t="s">
        <v>562</v>
      </c>
      <c r="J115" s="43"/>
      <c r="K115" s="43"/>
      <c r="L115" s="43"/>
      <c r="M115" s="45"/>
      <c r="N115" s="43"/>
      <c r="O115" s="43"/>
      <c r="P115" s="43"/>
      <c r="Q115" s="43"/>
      <c r="R115" s="43"/>
      <c r="S115" s="43"/>
    </row>
    <row r="116" spans="1:19" x14ac:dyDescent="0.45">
      <c r="A116" s="34"/>
      <c r="B116" s="4" t="s">
        <v>290</v>
      </c>
      <c r="C116" s="5" t="s">
        <v>336</v>
      </c>
      <c r="D116" s="4">
        <v>886</v>
      </c>
      <c r="E116" s="4" t="s">
        <v>248</v>
      </c>
      <c r="F116" s="4" t="s">
        <v>427</v>
      </c>
      <c r="G116" s="19">
        <f t="shared" si="0"/>
        <v>0.88600000000000001</v>
      </c>
      <c r="H116" s="4" t="s">
        <v>560</v>
      </c>
      <c r="J116" s="43"/>
      <c r="K116" s="43"/>
      <c r="L116" s="43"/>
      <c r="M116" s="44"/>
      <c r="N116" s="43"/>
      <c r="O116" s="43"/>
      <c r="P116" s="43"/>
      <c r="Q116" s="43"/>
      <c r="R116" s="43"/>
      <c r="S116" s="43"/>
    </row>
    <row r="117" spans="1:19" x14ac:dyDescent="0.45">
      <c r="A117" s="34"/>
      <c r="B117" s="4" t="s">
        <v>292</v>
      </c>
      <c r="C117" s="5" t="s">
        <v>337</v>
      </c>
      <c r="D117" s="4">
        <v>1018</v>
      </c>
      <c r="E117" s="4" t="s">
        <v>368</v>
      </c>
      <c r="F117" s="4" t="s">
        <v>427</v>
      </c>
      <c r="G117" s="19">
        <f t="shared" si="0"/>
        <v>1.018</v>
      </c>
      <c r="H117" s="4" t="s">
        <v>560</v>
      </c>
      <c r="J117" s="43"/>
      <c r="K117" s="43"/>
      <c r="L117" s="43"/>
      <c r="M117" s="44"/>
      <c r="N117" s="43"/>
      <c r="O117" s="43"/>
      <c r="P117" s="43"/>
      <c r="Q117" s="43"/>
      <c r="R117" s="43"/>
      <c r="S117" s="43"/>
    </row>
    <row r="118" spans="1:19" x14ac:dyDescent="0.45">
      <c r="A118" s="34"/>
      <c r="B118" s="4" t="s">
        <v>293</v>
      </c>
      <c r="C118" s="5" t="s">
        <v>338</v>
      </c>
      <c r="D118" s="4">
        <v>937</v>
      </c>
      <c r="E118" s="4" t="s">
        <v>368</v>
      </c>
      <c r="F118" s="4" t="s">
        <v>427</v>
      </c>
      <c r="G118" s="19">
        <f t="shared" si="0"/>
        <v>0.93700000000000006</v>
      </c>
      <c r="H118" s="4" t="s">
        <v>560</v>
      </c>
      <c r="J118" s="43"/>
      <c r="K118" s="43"/>
      <c r="L118" s="43"/>
      <c r="M118" s="44"/>
      <c r="N118" s="43"/>
      <c r="O118" s="43"/>
      <c r="P118" s="43"/>
      <c r="Q118" s="43"/>
      <c r="R118" s="43"/>
      <c r="S118" s="43"/>
    </row>
    <row r="119" spans="1:19" x14ac:dyDescent="0.45">
      <c r="A119" s="34"/>
      <c r="B119" s="4" t="s">
        <v>294</v>
      </c>
      <c r="C119" s="5" t="s">
        <v>339</v>
      </c>
      <c r="D119" s="4">
        <v>3071</v>
      </c>
      <c r="E119" s="4" t="s">
        <v>368</v>
      </c>
      <c r="F119" s="4" t="s">
        <v>427</v>
      </c>
      <c r="G119" s="19">
        <f t="shared" si="0"/>
        <v>3.0710000000000002</v>
      </c>
      <c r="H119" s="4" t="s">
        <v>560</v>
      </c>
      <c r="J119" s="43"/>
      <c r="K119" s="43"/>
      <c r="L119" s="43"/>
      <c r="M119" s="44"/>
      <c r="N119" s="43"/>
      <c r="O119" s="43"/>
      <c r="P119" s="43"/>
      <c r="Q119" s="43"/>
      <c r="R119" s="43"/>
      <c r="S119" s="43"/>
    </row>
    <row r="120" spans="1:19" x14ac:dyDescent="0.45">
      <c r="A120" s="34"/>
      <c r="B120" s="4" t="s">
        <v>295</v>
      </c>
      <c r="C120" s="5" t="s">
        <v>340</v>
      </c>
      <c r="D120" s="4">
        <v>142</v>
      </c>
      <c r="E120" s="4" t="s">
        <v>445</v>
      </c>
      <c r="F120" s="4" t="s">
        <v>427</v>
      </c>
      <c r="G120" s="19">
        <f t="shared" si="0"/>
        <v>0.14199999999999999</v>
      </c>
      <c r="H120" s="4" t="s">
        <v>560</v>
      </c>
      <c r="J120" s="43"/>
      <c r="K120" s="43"/>
      <c r="L120" s="43"/>
      <c r="M120" s="44"/>
      <c r="N120" s="43"/>
      <c r="O120" s="43"/>
      <c r="P120" s="43"/>
      <c r="Q120" s="43"/>
      <c r="R120" s="43"/>
      <c r="S120" s="43"/>
    </row>
    <row r="121" spans="1:19" x14ac:dyDescent="0.45">
      <c r="A121" s="34"/>
      <c r="B121" s="4" t="s">
        <v>296</v>
      </c>
      <c r="C121" s="5" t="s">
        <v>341</v>
      </c>
      <c r="D121" s="4">
        <v>1033</v>
      </c>
      <c r="E121" s="4" t="s">
        <v>248</v>
      </c>
      <c r="F121" s="4" t="s">
        <v>427</v>
      </c>
      <c r="G121" s="19">
        <f t="shared" si="0"/>
        <v>1.0329999999999999</v>
      </c>
      <c r="H121" s="4" t="s">
        <v>560</v>
      </c>
      <c r="J121" s="43"/>
      <c r="K121" s="43"/>
      <c r="L121" s="43"/>
      <c r="M121" s="44"/>
      <c r="N121" s="43"/>
      <c r="O121" s="43"/>
      <c r="P121" s="43"/>
      <c r="Q121" s="43"/>
      <c r="R121" s="43"/>
      <c r="S121" s="43"/>
    </row>
    <row r="122" spans="1:19" x14ac:dyDescent="0.45">
      <c r="A122" s="34" t="s">
        <v>313</v>
      </c>
      <c r="B122" s="4" t="s">
        <v>298</v>
      </c>
      <c r="C122" s="5" t="s">
        <v>342</v>
      </c>
      <c r="D122" s="4">
        <v>2311</v>
      </c>
      <c r="E122" s="4" t="s">
        <v>368</v>
      </c>
      <c r="F122" s="4" t="s">
        <v>427</v>
      </c>
      <c r="G122" s="19">
        <f t="shared" si="0"/>
        <v>2.3109999999999999</v>
      </c>
      <c r="H122" s="4" t="s">
        <v>560</v>
      </c>
      <c r="J122" s="43"/>
      <c r="K122" s="43"/>
      <c r="L122" s="43"/>
      <c r="M122" s="43"/>
      <c r="N122" s="43"/>
      <c r="O122" s="43"/>
      <c r="P122" s="43"/>
      <c r="Q122" s="43"/>
      <c r="R122" s="43"/>
      <c r="S122" s="43"/>
    </row>
    <row r="123" spans="1:19" x14ac:dyDescent="0.45">
      <c r="A123" s="34"/>
      <c r="B123" s="4" t="s">
        <v>299</v>
      </c>
      <c r="C123" s="5" t="s">
        <v>343</v>
      </c>
      <c r="D123" s="4">
        <v>2126</v>
      </c>
      <c r="E123" s="4" t="s">
        <v>368</v>
      </c>
      <c r="F123" s="4" t="s">
        <v>427</v>
      </c>
      <c r="G123" s="19">
        <f t="shared" si="0"/>
        <v>2.1259999999999999</v>
      </c>
      <c r="H123" s="4" t="s">
        <v>560</v>
      </c>
      <c r="J123" s="43"/>
      <c r="K123" s="43"/>
      <c r="L123" s="43"/>
      <c r="M123" s="43"/>
      <c r="N123" s="43"/>
      <c r="O123" s="43"/>
      <c r="P123" s="43"/>
      <c r="Q123" s="43"/>
      <c r="R123" s="43"/>
      <c r="S123" s="43"/>
    </row>
    <row r="124" spans="1:19" x14ac:dyDescent="0.45">
      <c r="A124" s="34"/>
      <c r="B124" s="4" t="s">
        <v>300</v>
      </c>
      <c r="C124" s="5" t="s">
        <v>344</v>
      </c>
      <c r="D124" s="4">
        <v>2715</v>
      </c>
      <c r="E124" s="4" t="s">
        <v>368</v>
      </c>
      <c r="F124" s="4" t="s">
        <v>427</v>
      </c>
      <c r="G124" s="19">
        <f t="shared" si="0"/>
        <v>2.7149999999999999</v>
      </c>
      <c r="H124" s="4" t="s">
        <v>560</v>
      </c>
      <c r="J124" s="43"/>
      <c r="K124" s="43"/>
      <c r="L124" s="43"/>
      <c r="M124" s="43"/>
      <c r="N124" s="43"/>
      <c r="O124" s="43"/>
      <c r="P124" s="43"/>
      <c r="Q124" s="43"/>
      <c r="R124" s="43"/>
      <c r="S124" s="43"/>
    </row>
    <row r="125" spans="1:19" x14ac:dyDescent="0.45">
      <c r="A125" s="34"/>
      <c r="B125" s="4" t="s">
        <v>301</v>
      </c>
      <c r="C125" s="5" t="s">
        <v>345</v>
      </c>
      <c r="D125" s="4">
        <v>564</v>
      </c>
      <c r="E125" s="4" t="s">
        <v>445</v>
      </c>
      <c r="F125" s="4" t="s">
        <v>427</v>
      </c>
      <c r="G125" s="19">
        <f t="shared" si="0"/>
        <v>0.56399999999999995</v>
      </c>
      <c r="H125" s="4" t="s">
        <v>560</v>
      </c>
      <c r="J125" s="43"/>
      <c r="K125" s="43"/>
      <c r="L125" s="43"/>
      <c r="M125" s="43"/>
      <c r="N125" s="43"/>
      <c r="O125" s="43"/>
      <c r="P125" s="43"/>
      <c r="Q125" s="43"/>
      <c r="R125" s="43"/>
      <c r="S125" s="43"/>
    </row>
    <row r="126" spans="1:19" ht="35" x14ac:dyDescent="0.45">
      <c r="A126" s="34"/>
      <c r="B126" s="4" t="s">
        <v>302</v>
      </c>
      <c r="C126" s="5" t="s">
        <v>346</v>
      </c>
      <c r="D126" s="4">
        <v>500</v>
      </c>
      <c r="E126" s="4" t="s">
        <v>445</v>
      </c>
      <c r="F126" s="4" t="s">
        <v>427</v>
      </c>
      <c r="G126" s="19">
        <f t="shared" si="0"/>
        <v>0.5</v>
      </c>
      <c r="H126" s="4" t="s">
        <v>560</v>
      </c>
      <c r="I126" s="7" t="s">
        <v>563</v>
      </c>
      <c r="J126" s="43"/>
      <c r="K126" s="43"/>
      <c r="L126" s="43"/>
      <c r="M126" s="43"/>
      <c r="N126" s="43"/>
      <c r="O126" s="43"/>
      <c r="P126" s="43"/>
      <c r="Q126" s="43"/>
      <c r="R126" s="43"/>
      <c r="S126" s="43"/>
    </row>
    <row r="127" spans="1:19" x14ac:dyDescent="0.45">
      <c r="A127" s="34"/>
      <c r="B127" s="4" t="s">
        <v>303</v>
      </c>
      <c r="C127" s="5" t="s">
        <v>347</v>
      </c>
      <c r="D127" s="4">
        <v>1127</v>
      </c>
      <c r="E127" s="4" t="s">
        <v>248</v>
      </c>
      <c r="F127" s="4" t="s">
        <v>427</v>
      </c>
      <c r="G127" s="19">
        <f t="shared" si="0"/>
        <v>1.127</v>
      </c>
      <c r="H127" s="4" t="s">
        <v>560</v>
      </c>
      <c r="J127" s="43"/>
      <c r="K127" s="43"/>
      <c r="L127" s="43"/>
      <c r="M127" s="43"/>
      <c r="N127" s="43"/>
      <c r="O127" s="43"/>
      <c r="P127" s="43"/>
      <c r="Q127" s="43"/>
      <c r="R127" s="43"/>
      <c r="S127" s="43"/>
    </row>
    <row r="128" spans="1:19" x14ac:dyDescent="0.45">
      <c r="A128" s="34"/>
      <c r="B128" s="4" t="s">
        <v>304</v>
      </c>
      <c r="C128" s="5" t="s">
        <v>348</v>
      </c>
      <c r="D128" s="4">
        <v>394</v>
      </c>
      <c r="E128" s="4" t="s">
        <v>368</v>
      </c>
      <c r="F128" s="4" t="s">
        <v>427</v>
      </c>
      <c r="G128" s="19">
        <f t="shared" si="0"/>
        <v>0.39400000000000002</v>
      </c>
      <c r="H128" s="4" t="s">
        <v>560</v>
      </c>
      <c r="J128" s="43"/>
      <c r="K128" s="43"/>
      <c r="L128" s="43"/>
      <c r="M128" s="43"/>
      <c r="N128" s="43"/>
      <c r="O128" s="43"/>
      <c r="P128" s="43"/>
      <c r="Q128" s="43"/>
      <c r="R128" s="43"/>
      <c r="S128" s="43"/>
    </row>
    <row r="129" spans="1:19" x14ac:dyDescent="0.45">
      <c r="A129" s="34"/>
      <c r="B129" s="4" t="s">
        <v>305</v>
      </c>
      <c r="C129" s="5" t="s">
        <v>349</v>
      </c>
      <c r="D129" s="4">
        <v>363</v>
      </c>
      <c r="E129" s="4" t="s">
        <v>368</v>
      </c>
      <c r="F129" s="4" t="s">
        <v>427</v>
      </c>
      <c r="G129" s="19">
        <f t="shared" si="0"/>
        <v>0.36299999999999999</v>
      </c>
      <c r="H129" s="4" t="s">
        <v>560</v>
      </c>
      <c r="J129" s="43"/>
      <c r="K129" s="43"/>
      <c r="L129" s="43"/>
      <c r="M129" s="43"/>
      <c r="N129" s="43"/>
      <c r="O129" s="43"/>
      <c r="P129" s="43"/>
      <c r="Q129" s="43"/>
      <c r="R129" s="46"/>
      <c r="S129" s="43"/>
    </row>
    <row r="130" spans="1:19" x14ac:dyDescent="0.45">
      <c r="A130" s="34"/>
      <c r="B130" s="4" t="s">
        <v>306</v>
      </c>
      <c r="C130" s="5" t="s">
        <v>350</v>
      </c>
      <c r="D130" s="4">
        <v>367</v>
      </c>
      <c r="E130" s="4" t="s">
        <v>368</v>
      </c>
      <c r="F130" s="4" t="s">
        <v>427</v>
      </c>
      <c r="G130" s="19">
        <f t="shared" si="0"/>
        <v>0.36699999999999999</v>
      </c>
      <c r="H130" s="4" t="s">
        <v>560</v>
      </c>
      <c r="J130" s="43"/>
      <c r="K130" s="43"/>
      <c r="L130" s="43"/>
      <c r="M130" s="43"/>
      <c r="N130" s="43"/>
      <c r="O130" s="43"/>
      <c r="P130" s="43"/>
      <c r="Q130" s="43"/>
      <c r="R130" s="46"/>
      <c r="S130" s="43"/>
    </row>
    <row r="131" spans="1:19" x14ac:dyDescent="0.45">
      <c r="A131" s="34"/>
      <c r="B131" s="4" t="s">
        <v>311</v>
      </c>
      <c r="C131" s="5" t="s">
        <v>351</v>
      </c>
      <c r="D131" s="4">
        <v>260</v>
      </c>
      <c r="E131" s="4" t="s">
        <v>445</v>
      </c>
      <c r="F131" s="4" t="s">
        <v>427</v>
      </c>
      <c r="G131" s="19">
        <f t="shared" si="0"/>
        <v>0.26</v>
      </c>
      <c r="H131" s="4" t="s">
        <v>560</v>
      </c>
      <c r="J131" s="43"/>
      <c r="K131" s="43"/>
      <c r="L131" s="43"/>
      <c r="M131" s="43"/>
      <c r="N131" s="43"/>
      <c r="O131" s="43"/>
      <c r="P131" s="43"/>
      <c r="Q131" s="43"/>
      <c r="R131" s="46"/>
      <c r="S131" s="43"/>
    </row>
    <row r="132" spans="1:19" x14ac:dyDescent="0.45">
      <c r="A132" s="34"/>
      <c r="B132" s="4" t="s">
        <v>307</v>
      </c>
      <c r="C132" s="5" t="s">
        <v>352</v>
      </c>
      <c r="D132" s="4">
        <v>296</v>
      </c>
      <c r="E132" s="4" t="s">
        <v>445</v>
      </c>
      <c r="F132" s="4" t="s">
        <v>427</v>
      </c>
      <c r="G132" s="19">
        <f t="shared" si="0"/>
        <v>0.29599999999999999</v>
      </c>
      <c r="H132" s="4" t="s">
        <v>560</v>
      </c>
      <c r="J132" s="43"/>
      <c r="K132" s="43"/>
      <c r="L132" s="43"/>
      <c r="M132" s="43"/>
      <c r="N132" s="43"/>
      <c r="O132" s="43"/>
      <c r="P132" s="43"/>
      <c r="Q132" s="43"/>
      <c r="R132" s="46"/>
      <c r="S132" s="43"/>
    </row>
    <row r="133" spans="1:19" x14ac:dyDescent="0.45">
      <c r="A133" s="34"/>
      <c r="B133" s="4" t="s">
        <v>367</v>
      </c>
      <c r="C133" s="5" t="s">
        <v>184</v>
      </c>
      <c r="D133" s="4">
        <v>238</v>
      </c>
      <c r="E133" s="4" t="s">
        <v>368</v>
      </c>
      <c r="F133" s="4" t="s">
        <v>427</v>
      </c>
      <c r="G133" s="19">
        <f t="shared" si="0"/>
        <v>0.23799999999999999</v>
      </c>
      <c r="H133" s="4" t="s">
        <v>560</v>
      </c>
      <c r="J133" s="43"/>
      <c r="K133" s="43"/>
      <c r="L133" s="43"/>
      <c r="M133" s="43"/>
      <c r="N133" s="43"/>
      <c r="O133" s="43"/>
      <c r="P133" s="43"/>
      <c r="Q133" s="43"/>
      <c r="R133" s="46"/>
      <c r="S133" s="43"/>
    </row>
    <row r="134" spans="1:19" x14ac:dyDescent="0.45">
      <c r="A134" s="34"/>
      <c r="B134" s="4" t="s">
        <v>308</v>
      </c>
      <c r="C134" s="5" t="s">
        <v>182</v>
      </c>
      <c r="D134" s="4">
        <v>191</v>
      </c>
      <c r="E134" s="4" t="s">
        <v>368</v>
      </c>
      <c r="F134" s="4" t="s">
        <v>427</v>
      </c>
      <c r="G134" s="19">
        <f t="shared" si="0"/>
        <v>0.191</v>
      </c>
      <c r="H134" s="4" t="s">
        <v>560</v>
      </c>
      <c r="J134" s="43"/>
      <c r="K134" s="43"/>
      <c r="L134" s="43"/>
      <c r="M134" s="43"/>
      <c r="N134" s="43"/>
      <c r="O134" s="43"/>
      <c r="P134" s="43"/>
      <c r="Q134" s="43"/>
      <c r="R134" s="46"/>
      <c r="S134" s="43"/>
    </row>
    <row r="135" spans="1:19" x14ac:dyDescent="0.45">
      <c r="A135" s="34"/>
      <c r="B135" s="4" t="s">
        <v>309</v>
      </c>
      <c r="C135" s="5" t="s">
        <v>353</v>
      </c>
      <c r="D135" s="4">
        <v>130</v>
      </c>
      <c r="E135" s="4" t="s">
        <v>368</v>
      </c>
      <c r="F135" s="4" t="s">
        <v>427</v>
      </c>
      <c r="G135" s="19">
        <f t="shared" si="0"/>
        <v>0.13</v>
      </c>
      <c r="H135" s="4" t="s">
        <v>560</v>
      </c>
      <c r="J135" s="43"/>
      <c r="K135" s="43"/>
      <c r="L135" s="43"/>
      <c r="M135" s="43"/>
      <c r="N135" s="43"/>
      <c r="O135" s="43"/>
      <c r="P135" s="43"/>
      <c r="Q135" s="43"/>
      <c r="R135" s="43"/>
      <c r="S135" s="43"/>
    </row>
    <row r="136" spans="1:19" x14ac:dyDescent="0.45">
      <c r="A136" s="34"/>
      <c r="B136" s="4" t="s">
        <v>312</v>
      </c>
      <c r="C136" s="5" t="s">
        <v>183</v>
      </c>
      <c r="D136" s="4">
        <v>69</v>
      </c>
      <c r="E136" s="4" t="s">
        <v>445</v>
      </c>
      <c r="F136" s="4" t="s">
        <v>427</v>
      </c>
      <c r="G136" s="19">
        <f t="shared" si="0"/>
        <v>6.9000000000000006E-2</v>
      </c>
      <c r="H136" s="4" t="s">
        <v>560</v>
      </c>
      <c r="J136" s="43"/>
      <c r="K136" s="43"/>
      <c r="L136" s="43"/>
      <c r="M136" s="43"/>
      <c r="N136" s="43"/>
      <c r="O136" s="43"/>
      <c r="P136" s="43"/>
      <c r="Q136" s="43"/>
      <c r="R136" s="43"/>
      <c r="S136" s="43"/>
    </row>
    <row r="137" spans="1:19" x14ac:dyDescent="0.45">
      <c r="A137" s="34"/>
      <c r="B137" s="4" t="s">
        <v>310</v>
      </c>
      <c r="C137" s="5" t="s">
        <v>185</v>
      </c>
      <c r="D137" s="4">
        <v>76</v>
      </c>
      <c r="E137" s="4" t="s">
        <v>445</v>
      </c>
      <c r="F137" s="4" t="s">
        <v>427</v>
      </c>
      <c r="G137" s="19">
        <f t="shared" si="0"/>
        <v>7.5999999999999998E-2</v>
      </c>
      <c r="H137" s="4" t="s">
        <v>560</v>
      </c>
      <c r="J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1:19" x14ac:dyDescent="0.45">
      <c r="A138" s="34" t="s">
        <v>324</v>
      </c>
      <c r="B138" s="4" t="s">
        <v>316</v>
      </c>
      <c r="C138" s="5" t="s">
        <v>354</v>
      </c>
      <c r="D138" s="4">
        <v>2293</v>
      </c>
      <c r="E138" s="4" t="s">
        <v>368</v>
      </c>
      <c r="F138" s="4" t="s">
        <v>427</v>
      </c>
      <c r="G138" s="19">
        <f t="shared" si="0"/>
        <v>2.2930000000000001</v>
      </c>
      <c r="H138" s="4" t="s">
        <v>560</v>
      </c>
      <c r="J138" s="43"/>
      <c r="K138" s="43"/>
      <c r="L138" s="43"/>
      <c r="M138" s="43"/>
      <c r="N138" s="43"/>
      <c r="O138" s="43"/>
      <c r="P138" s="43"/>
      <c r="Q138" s="43"/>
      <c r="R138" s="43"/>
      <c r="S138" s="43"/>
    </row>
    <row r="139" spans="1:19" x14ac:dyDescent="0.45">
      <c r="A139" s="34"/>
      <c r="B139" s="4" t="s">
        <v>314</v>
      </c>
      <c r="C139" s="5" t="s">
        <v>355</v>
      </c>
      <c r="D139" s="4">
        <v>2179</v>
      </c>
      <c r="E139" s="4" t="s">
        <v>368</v>
      </c>
      <c r="F139" s="4" t="s">
        <v>427</v>
      </c>
      <c r="G139" s="19">
        <f t="shared" si="0"/>
        <v>2.1789999999999998</v>
      </c>
      <c r="H139" s="4" t="s">
        <v>560</v>
      </c>
      <c r="J139" s="43"/>
      <c r="K139" s="43"/>
      <c r="L139" s="43"/>
      <c r="M139" s="43"/>
      <c r="N139" s="43"/>
      <c r="O139" s="43"/>
      <c r="P139" s="43"/>
      <c r="Q139" s="43"/>
      <c r="R139" s="43"/>
      <c r="S139" s="43"/>
    </row>
    <row r="140" spans="1:19" x14ac:dyDescent="0.45">
      <c r="A140" s="34"/>
      <c r="B140" s="4" t="s">
        <v>315</v>
      </c>
      <c r="C140" s="5" t="s">
        <v>356</v>
      </c>
      <c r="D140" s="4">
        <v>1240</v>
      </c>
      <c r="E140" s="4" t="s">
        <v>368</v>
      </c>
      <c r="F140" s="4" t="s">
        <v>427</v>
      </c>
      <c r="G140" s="19">
        <f t="shared" si="0"/>
        <v>1.24</v>
      </c>
      <c r="H140" s="4" t="s">
        <v>560</v>
      </c>
      <c r="J140" s="43"/>
      <c r="K140" s="43"/>
      <c r="L140" s="43"/>
      <c r="M140" s="43"/>
      <c r="N140" s="43"/>
      <c r="O140" s="43"/>
      <c r="P140" s="43"/>
      <c r="Q140" s="43"/>
      <c r="R140" s="43"/>
      <c r="S140" s="43"/>
    </row>
    <row r="141" spans="1:19" x14ac:dyDescent="0.45">
      <c r="A141" s="34"/>
      <c r="B141" s="4" t="s">
        <v>317</v>
      </c>
      <c r="C141" s="5" t="s">
        <v>357</v>
      </c>
      <c r="D141" s="4">
        <v>375</v>
      </c>
      <c r="E141" s="4" t="s">
        <v>445</v>
      </c>
      <c r="F141" s="4" t="s">
        <v>427</v>
      </c>
      <c r="G141" s="19">
        <f t="shared" si="0"/>
        <v>0.375</v>
      </c>
      <c r="H141" s="4" t="s">
        <v>560</v>
      </c>
      <c r="J141" s="43"/>
      <c r="K141" s="43"/>
      <c r="L141" s="43"/>
      <c r="M141" s="43"/>
      <c r="N141" s="43"/>
      <c r="O141" s="43"/>
      <c r="P141" s="43"/>
      <c r="Q141" s="43"/>
      <c r="R141" s="43"/>
      <c r="S141" s="43"/>
    </row>
    <row r="142" spans="1:19" x14ac:dyDescent="0.45">
      <c r="A142" s="34"/>
      <c r="B142" s="4" t="s">
        <v>318</v>
      </c>
      <c r="C142" s="5" t="s">
        <v>358</v>
      </c>
      <c r="D142" s="4">
        <v>395</v>
      </c>
      <c r="E142" s="4" t="s">
        <v>445</v>
      </c>
      <c r="F142" s="4" t="s">
        <v>427</v>
      </c>
      <c r="G142" s="19">
        <f t="shared" si="0"/>
        <v>0.39500000000000002</v>
      </c>
      <c r="H142" s="4" t="s">
        <v>560</v>
      </c>
      <c r="J142" s="43"/>
      <c r="K142" s="43"/>
      <c r="L142" s="43"/>
      <c r="M142" s="43"/>
      <c r="N142" s="43"/>
      <c r="O142" s="43"/>
      <c r="P142" s="43"/>
      <c r="Q142" s="43"/>
      <c r="R142" s="43"/>
      <c r="S142" s="43"/>
    </row>
    <row r="143" spans="1:19" x14ac:dyDescent="0.45">
      <c r="A143" s="34"/>
      <c r="B143" s="4" t="s">
        <v>321</v>
      </c>
      <c r="C143" s="5" t="s">
        <v>359</v>
      </c>
      <c r="D143" s="4">
        <v>1022</v>
      </c>
      <c r="E143" s="4" t="s">
        <v>368</v>
      </c>
      <c r="F143" s="4" t="s">
        <v>427</v>
      </c>
      <c r="G143" s="19">
        <f t="shared" si="0"/>
        <v>1.022</v>
      </c>
      <c r="H143" s="4" t="s">
        <v>560</v>
      </c>
      <c r="J143" s="43"/>
      <c r="K143" s="43"/>
      <c r="L143" s="43"/>
      <c r="M143" s="43"/>
      <c r="N143" s="43"/>
      <c r="O143" s="43"/>
      <c r="P143" s="43"/>
      <c r="Q143" s="43"/>
      <c r="R143" s="43"/>
      <c r="S143" s="43"/>
    </row>
    <row r="144" spans="1:19" x14ac:dyDescent="0.45">
      <c r="A144" s="34"/>
      <c r="B144" s="4" t="s">
        <v>319</v>
      </c>
      <c r="C144" s="5" t="s">
        <v>360</v>
      </c>
      <c r="D144" s="4">
        <v>871</v>
      </c>
      <c r="E144" s="4" t="s">
        <v>368</v>
      </c>
      <c r="F144" s="4" t="s">
        <v>427</v>
      </c>
      <c r="G144" s="19">
        <f t="shared" si="0"/>
        <v>0.871</v>
      </c>
      <c r="H144" s="4" t="s">
        <v>560</v>
      </c>
      <c r="J144" s="43"/>
      <c r="K144" s="43"/>
      <c r="L144" s="43"/>
      <c r="M144" s="43"/>
      <c r="N144" s="43"/>
      <c r="O144" s="43"/>
      <c r="P144" s="43"/>
      <c r="Q144" s="43"/>
      <c r="R144" s="43"/>
      <c r="S144" s="43"/>
    </row>
    <row r="145" spans="1:19" x14ac:dyDescent="0.45">
      <c r="A145" s="34"/>
      <c r="B145" s="4" t="s">
        <v>320</v>
      </c>
      <c r="C145" s="5" t="s">
        <v>361</v>
      </c>
      <c r="D145" s="4">
        <v>1236</v>
      </c>
      <c r="E145" s="4" t="s">
        <v>368</v>
      </c>
      <c r="F145" s="4" t="s">
        <v>427</v>
      </c>
      <c r="G145" s="19">
        <f t="shared" si="0"/>
        <v>1.236</v>
      </c>
      <c r="H145" s="4" t="s">
        <v>560</v>
      </c>
      <c r="J145" s="43"/>
      <c r="K145" s="43"/>
      <c r="L145" s="43"/>
      <c r="M145" s="43"/>
      <c r="N145" s="43"/>
      <c r="O145" s="43"/>
      <c r="P145" s="43"/>
      <c r="Q145" s="43"/>
      <c r="R145" s="43"/>
      <c r="S145" s="43"/>
    </row>
    <row r="146" spans="1:19" x14ac:dyDescent="0.45">
      <c r="A146" s="34"/>
      <c r="B146" s="4" t="s">
        <v>322</v>
      </c>
      <c r="C146" s="5" t="s">
        <v>362</v>
      </c>
      <c r="D146" s="4">
        <v>103</v>
      </c>
      <c r="E146" s="4" t="s">
        <v>445</v>
      </c>
      <c r="F146" s="4" t="s">
        <v>427</v>
      </c>
      <c r="G146" s="19">
        <f t="shared" si="0"/>
        <v>0.10299999999999999</v>
      </c>
      <c r="H146" s="4" t="s">
        <v>560</v>
      </c>
      <c r="J146" s="43"/>
      <c r="K146" s="43"/>
      <c r="L146" s="43"/>
      <c r="M146" s="43"/>
      <c r="N146" s="43"/>
      <c r="O146" s="43"/>
      <c r="P146" s="43"/>
      <c r="Q146" s="43"/>
      <c r="R146" s="43"/>
      <c r="S146" s="43"/>
    </row>
    <row r="147" spans="1:19" x14ac:dyDescent="0.45">
      <c r="A147" s="34"/>
      <c r="B147" s="4" t="s">
        <v>323</v>
      </c>
      <c r="C147" s="5" t="s">
        <v>363</v>
      </c>
      <c r="D147" s="4">
        <v>108</v>
      </c>
      <c r="E147" s="4" t="s">
        <v>445</v>
      </c>
      <c r="F147" s="4" t="s">
        <v>427</v>
      </c>
      <c r="G147" s="19">
        <f t="shared" si="0"/>
        <v>0.108</v>
      </c>
      <c r="H147" s="4" t="s">
        <v>560</v>
      </c>
      <c r="J147" s="43"/>
      <c r="K147" s="43"/>
      <c r="L147" s="43"/>
      <c r="M147" s="43"/>
      <c r="N147" s="43"/>
      <c r="O147" s="43"/>
      <c r="P147" s="43"/>
      <c r="Q147" s="43"/>
      <c r="R147" s="43"/>
      <c r="S147" s="43"/>
    </row>
    <row r="148" spans="1:19" ht="52.5" x14ac:dyDescent="0.45">
      <c r="A148" s="4" t="s">
        <v>236</v>
      </c>
      <c r="B148" s="4" t="s">
        <v>186</v>
      </c>
      <c r="C148" s="5" t="s">
        <v>187</v>
      </c>
      <c r="D148" s="4">
        <v>1211</v>
      </c>
      <c r="E148" s="4" t="s">
        <v>423</v>
      </c>
      <c r="F148" s="4" t="s">
        <v>427</v>
      </c>
      <c r="G148" s="19">
        <f t="shared" si="0"/>
        <v>1.2110000000000001</v>
      </c>
      <c r="H148" s="4" t="s">
        <v>560</v>
      </c>
      <c r="J148" s="43"/>
      <c r="K148" s="43"/>
      <c r="L148" s="43"/>
      <c r="M148" s="43"/>
      <c r="N148" s="43"/>
      <c r="O148" s="43"/>
      <c r="P148" s="43"/>
      <c r="Q148" s="43"/>
      <c r="R148" s="43"/>
      <c r="S148" s="43"/>
    </row>
    <row r="149" spans="1:19" ht="52.5" x14ac:dyDescent="0.45">
      <c r="A149" s="4" t="s">
        <v>237</v>
      </c>
      <c r="B149" s="4" t="s">
        <v>188</v>
      </c>
      <c r="C149" s="5" t="s">
        <v>189</v>
      </c>
      <c r="D149" s="4">
        <v>310</v>
      </c>
      <c r="E149" s="4" t="s">
        <v>423</v>
      </c>
      <c r="F149" s="4" t="s">
        <v>427</v>
      </c>
      <c r="G149" s="19">
        <f t="shared" si="0"/>
        <v>0.31</v>
      </c>
      <c r="H149" s="4" t="s">
        <v>560</v>
      </c>
      <c r="J149" s="43"/>
      <c r="K149" s="43"/>
      <c r="L149" s="43"/>
      <c r="M149" s="43"/>
      <c r="N149" s="43"/>
      <c r="O149" s="43"/>
      <c r="P149" s="43"/>
      <c r="Q149" s="43"/>
      <c r="R149" s="43"/>
      <c r="S149" s="43"/>
    </row>
    <row r="150" spans="1:19" ht="52.5" x14ac:dyDescent="0.45">
      <c r="A150" s="4" t="s">
        <v>238</v>
      </c>
      <c r="B150" s="4" t="s">
        <v>190</v>
      </c>
      <c r="C150" s="5" t="s">
        <v>191</v>
      </c>
      <c r="D150" s="4">
        <v>8</v>
      </c>
      <c r="E150" s="4" t="s">
        <v>368</v>
      </c>
      <c r="F150" s="4" t="s">
        <v>427</v>
      </c>
      <c r="G150" s="19">
        <f t="shared" si="0"/>
        <v>8.0000000000000002E-3</v>
      </c>
      <c r="H150" s="4" t="s">
        <v>560</v>
      </c>
      <c r="J150" s="43"/>
      <c r="K150" s="43"/>
      <c r="L150" s="43"/>
      <c r="M150" s="43"/>
      <c r="N150" s="43"/>
      <c r="O150" s="43"/>
      <c r="P150" s="43"/>
      <c r="Q150" s="43"/>
      <c r="R150" s="43"/>
      <c r="S150" s="43"/>
    </row>
    <row r="151" spans="1:19" x14ac:dyDescent="0.45">
      <c r="A151" s="34" t="s">
        <v>224</v>
      </c>
      <c r="B151" s="4" t="s">
        <v>192</v>
      </c>
      <c r="C151" s="5" t="s">
        <v>193</v>
      </c>
      <c r="D151" s="4">
        <v>0.89</v>
      </c>
      <c r="E151" s="4" t="s">
        <v>409</v>
      </c>
      <c r="G151" s="31"/>
      <c r="J151" s="43"/>
      <c r="K151" s="43"/>
      <c r="L151" s="43"/>
      <c r="M151" s="43"/>
      <c r="N151" s="43"/>
      <c r="O151" s="43"/>
      <c r="P151" s="43"/>
      <c r="Q151" s="43"/>
      <c r="R151" s="43"/>
      <c r="S151" s="43"/>
    </row>
    <row r="152" spans="1:19" x14ac:dyDescent="0.45">
      <c r="A152" s="34"/>
      <c r="B152" s="4" t="s">
        <v>194</v>
      </c>
      <c r="C152" s="5" t="s">
        <v>195</v>
      </c>
      <c r="D152" s="4">
        <v>0.82</v>
      </c>
      <c r="E152" s="4" t="s">
        <v>409</v>
      </c>
      <c r="G152" s="31"/>
      <c r="J152" s="43"/>
      <c r="K152" s="43"/>
      <c r="L152" s="43"/>
      <c r="M152" s="43"/>
      <c r="N152" s="43"/>
      <c r="O152" s="43"/>
      <c r="P152" s="43"/>
      <c r="Q152" s="43"/>
      <c r="R152" s="43"/>
      <c r="S152" s="43"/>
    </row>
    <row r="153" spans="1:19" x14ac:dyDescent="0.45">
      <c r="A153" s="34"/>
      <c r="B153" s="4" t="s">
        <v>196</v>
      </c>
      <c r="C153" s="5" t="s">
        <v>197</v>
      </c>
      <c r="D153" s="4">
        <v>0.86</v>
      </c>
      <c r="E153" s="4" t="s">
        <v>409</v>
      </c>
      <c r="G153" s="31"/>
      <c r="J153" s="43"/>
      <c r="K153" s="43"/>
      <c r="L153" s="43"/>
      <c r="M153" s="43"/>
      <c r="N153" s="43"/>
      <c r="O153" s="43"/>
      <c r="P153" s="43"/>
      <c r="Q153" s="43"/>
      <c r="R153" s="43"/>
      <c r="S153" s="43"/>
    </row>
    <row r="154" spans="1:19" x14ac:dyDescent="0.45">
      <c r="A154" s="34"/>
      <c r="B154" s="4" t="s">
        <v>198</v>
      </c>
      <c r="C154" s="5" t="s">
        <v>199</v>
      </c>
      <c r="D154" s="4">
        <v>0.99</v>
      </c>
      <c r="E154" s="4" t="s">
        <v>409</v>
      </c>
      <c r="G154" s="31"/>
      <c r="J154" s="43"/>
      <c r="K154" s="43"/>
      <c r="L154" s="43"/>
      <c r="M154" s="43"/>
      <c r="N154" s="43"/>
      <c r="O154" s="43"/>
      <c r="P154" s="43"/>
      <c r="Q154" s="43"/>
      <c r="R154" s="43"/>
      <c r="S154" s="43"/>
    </row>
    <row r="155" spans="1:19" x14ac:dyDescent="0.45">
      <c r="A155" s="34"/>
      <c r="B155" s="4" t="s">
        <v>200</v>
      </c>
      <c r="C155" s="5" t="s">
        <v>201</v>
      </c>
      <c r="D155" s="4">
        <v>0.86</v>
      </c>
      <c r="E155" s="4" t="s">
        <v>409</v>
      </c>
      <c r="G155" s="31"/>
      <c r="J155" s="43"/>
      <c r="K155" s="43"/>
      <c r="L155" s="43"/>
      <c r="M155" s="43"/>
      <c r="N155" s="43"/>
      <c r="O155" s="43"/>
      <c r="P155" s="43"/>
      <c r="Q155" s="43"/>
      <c r="R155" s="43"/>
      <c r="S155" s="43"/>
    </row>
    <row r="156" spans="1:19" x14ac:dyDescent="0.45">
      <c r="A156" s="34"/>
      <c r="B156" s="4" t="s">
        <v>202</v>
      </c>
      <c r="C156" s="5" t="s">
        <v>203</v>
      </c>
      <c r="D156" s="4">
        <v>0.86</v>
      </c>
      <c r="E156" s="4" t="s">
        <v>409</v>
      </c>
      <c r="G156" s="31"/>
      <c r="J156" s="43"/>
      <c r="K156" s="43"/>
      <c r="L156" s="43"/>
      <c r="M156" s="43"/>
      <c r="N156" s="43"/>
      <c r="O156" s="43"/>
      <c r="P156" s="43"/>
      <c r="Q156" s="43"/>
      <c r="R156" s="43"/>
      <c r="S156" s="43"/>
    </row>
    <row r="157" spans="1:19" x14ac:dyDescent="0.45">
      <c r="J157" s="43"/>
      <c r="K157" s="43"/>
      <c r="L157" s="43"/>
      <c r="M157" s="43"/>
      <c r="N157" s="43"/>
      <c r="O157" s="43"/>
      <c r="P157" s="43"/>
      <c r="Q157" s="43"/>
      <c r="R157" s="43"/>
      <c r="S157" s="43"/>
    </row>
    <row r="158" spans="1:19" x14ac:dyDescent="0.45">
      <c r="J158" s="43"/>
      <c r="K158" s="43"/>
      <c r="L158" s="43"/>
      <c r="M158" s="43"/>
      <c r="N158" s="43"/>
      <c r="O158" s="43"/>
      <c r="P158" s="43"/>
      <c r="Q158" s="43"/>
      <c r="R158" s="43"/>
      <c r="S158" s="43"/>
    </row>
    <row r="159" spans="1:19" x14ac:dyDescent="0.45">
      <c r="J159" s="43"/>
      <c r="K159" s="43"/>
      <c r="L159" s="43"/>
      <c r="M159" s="43"/>
      <c r="N159" s="43"/>
      <c r="O159" s="43"/>
      <c r="P159" s="43"/>
      <c r="Q159" s="43"/>
      <c r="R159" s="43"/>
      <c r="S159" s="43"/>
    </row>
  </sheetData>
  <mergeCells count="26">
    <mergeCell ref="A151:A156"/>
    <mergeCell ref="A138:A147"/>
    <mergeCell ref="A77:A81"/>
    <mergeCell ref="A94:A95"/>
    <mergeCell ref="A96:A97"/>
    <mergeCell ref="A122:A137"/>
    <mergeCell ref="A98:A99"/>
    <mergeCell ref="A100:A101"/>
    <mergeCell ref="A102:A103"/>
    <mergeCell ref="A105:A121"/>
    <mergeCell ref="A3:A19"/>
    <mergeCell ref="A20:A26"/>
    <mergeCell ref="A27:A47"/>
    <mergeCell ref="A56:A58"/>
    <mergeCell ref="A48:A55"/>
    <mergeCell ref="A92:A93"/>
    <mergeCell ref="A59:A60"/>
    <mergeCell ref="A61:A65"/>
    <mergeCell ref="A66:A68"/>
    <mergeCell ref="A69:A70"/>
    <mergeCell ref="A71:A74"/>
    <mergeCell ref="J50:J54"/>
    <mergeCell ref="A75:A76"/>
    <mergeCell ref="A82:A85"/>
    <mergeCell ref="A86:A89"/>
    <mergeCell ref="A90:A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Costos Capital</vt:lpstr>
      <vt:lpstr>Costos Fijos</vt:lpstr>
      <vt:lpstr>Costos Variables</vt:lpstr>
      <vt:lpstr>Factor de Emisión</vt:lpstr>
      <vt:lpstr>CCS</vt:lpstr>
      <vt:lpstr>Factor de capacidad</vt:lpstr>
      <vt:lpstr>Vida Operacional</vt:lpstr>
      <vt:lpstr>Capacidad residual</vt:lpstr>
      <vt:lpstr>Eficiencia</vt:lpstr>
      <vt:lpstr>Potencial producción anual</vt:lpstr>
      <vt:lpstr>Reservas Potencial</vt:lpstr>
      <vt:lpstr>Precios importación</vt:lpstr>
      <vt:lpstr>Demandas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Fernando Antonio Plazas Niño</cp:lastModifiedBy>
  <dcterms:created xsi:type="dcterms:W3CDTF">2022-04-27T15:41:45Z</dcterms:created>
  <dcterms:modified xsi:type="dcterms:W3CDTF">2022-09-15T19:46:38Z</dcterms:modified>
</cp:coreProperties>
</file>