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ec03\Documents\GitHub\Python_vstudio\"/>
    </mc:Choice>
  </mc:AlternateContent>
  <xr:revisionPtr revIDLastSave="0" documentId="8_{F154F164-9E2E-4046-ACF2-C5361044BD35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Heat Calc" sheetId="11" r:id="rId1"/>
    <sheet name="Calculation" sheetId="7" r:id="rId2"/>
    <sheet name="Equipment Qualification" sheetId="10" r:id="rId3"/>
    <sheet name="Input Data" sheetId="8" r:id="rId4"/>
    <sheet name="History" sheetId="9" r:id="rId5"/>
    <sheet name="Tolerance calculation" sheetId="12" r:id="rId6"/>
  </sheets>
  <externalReferences>
    <externalReference r:id="rId7"/>
    <externalReference r:id="rId8"/>
  </externalReferences>
  <definedNames>
    <definedName name="Application">[1]!Tabulka6[[Application ]]</definedName>
    <definedName name="_xlnm.Print_Area" localSheetId="2">'Equipment Qualification'!$A$1:$I$59</definedName>
    <definedName name="Customers">[1]!Tabulka2[#Data]</definedName>
    <definedName name="Customers_KnO">[1]!Tabulka2[Inteplast CZ, s.r.o.]</definedName>
    <definedName name="Customers_Name">[1]!Tabulka2[Name]</definedName>
    <definedName name="Customers_VdB">[1]!Tabulka2[Inteplast, S.A.]</definedName>
    <definedName name="Employees">[1]!Tabulka3[#Data]</definedName>
    <definedName name="Employees_Department">[1]!Tabulka3[Department]</definedName>
    <definedName name="Employees_Email">[1]!Tabulka3[E-mail]</definedName>
    <definedName name="Employees_Name">[1]!Tabulka3[Name]</definedName>
    <definedName name="Employees_Plant">[1]!Tabulka3[Plant]</definedName>
    <definedName name="Employees_Position">[1]!Tabulka3[Position]</definedName>
    <definedName name="Employees_Telephone">[1]!Tabulka3[Telephone]</definedName>
    <definedName name="Family">[1]!Product_Family[Product Family]</definedName>
    <definedName name="ITP">[2]!Tabulka4[Plant]</definedName>
    <definedName name="List_Commercial">OFFSET([1]!Tabulka3[List_Commercial],,,ROWS([1]!Tabulka3[List_Commercial])-COUNTBLANK([1]!Tabulka3[List_Commercial]))</definedName>
    <definedName name="List_Metrology">OFFSET([1]!Tabulka3[List_Metrology],,,ROWS([1]!Tabulka3[List_Metrology])-COUNTBLANK([1]!Tabulka3[List_Metrology]))</definedName>
    <definedName name="List_Operations">OFFSET([1]!Tabulka3[List_Operations],,,ROWS([1]!Tabulka3[List_Operations])-COUNTBLANK([1]!Tabulka3[List_Operations]))</definedName>
    <definedName name="List_Process">OFFSET([1]!Tabulka3[List_Process],,,ROWS([1]!Tabulka3[List_Process])-COUNTBLANK([1]!Tabulka3[List_Process]))</definedName>
    <definedName name="List_Production">OFFSET([1]!Tabulka3[List_Production],,,ROWS([1]!Tabulka3[List_Production])-COUNTBLANK([1]!Tabulka3[List_Production]))</definedName>
    <definedName name="List_ProjectA">OFFSET([1]!Tabulka3[List_ProjectA],,,ROWS([1]!Tabulka3[List_ProjectA])-COUNTBLANK([1]!Tabulka3[List_ProjectA]))</definedName>
    <definedName name="List_ProjectB">OFFSET([1]!Tabulka3[List_ProjectB],,,ROWS([1]!Tabulka3[List_ProjectB])-COUNTBLANK([1]!Tabulka3[List_ProjectB]))</definedName>
    <definedName name="List_Purchasing">OFFSET([1]!Tabulka3[List_Purchasing],,,ROWS([1]!Tabulka3[List_Purchasing])-COUNTBLANK([1]!Tabulka3[List_Purchasing]))</definedName>
    <definedName name="List_Quality">OFFSET([1]!Tabulka3[List_Quality],,,ROWS([1]!Tabulka3[List_Quality])-COUNTBLANK([1]!Tabulka3[List_Quality]))</definedName>
    <definedName name="List_Tooling">OFFSET([1]!Tabulka3[List_Tooling],,,ROWS([1]!Tabulka3[List_Tooling])-COUNTBLANK([1]!Tabulka3[List_Tooling]))</definedName>
    <definedName name="Plants">[1]!Tabulka4[#Data]</definedName>
    <definedName name="Plants_Address">[1]!Tabulka4[Address]</definedName>
    <definedName name="Plants_City">[1]!Tabulka4[City]</definedName>
    <definedName name="Plants_Country">[1]!Tabulka4[Country]</definedName>
    <definedName name="Plants_FQD">[1]!Tabulka4[Fax Quality Department]</definedName>
    <definedName name="Plants_FTCD">[1]!Tabulka4[Fax Technical &amp; Commercial Dept.]</definedName>
    <definedName name="Plants_PCD">[1]!Tabulka4[Phone Commercial Department]</definedName>
    <definedName name="Plants_Plant">[1]!Tabulka4[Plant]</definedName>
    <definedName name="Plants_PQD">[1]!Tabulka4[Phone Quality Department]</definedName>
    <definedName name="Plants_PTD">[1]!Tabulka4[Phone Technical Department]</definedName>
    <definedName name="Plants_ZIP">[1]!Tabulka4[ZIP]</definedName>
    <definedName name="Process_Type">[1]!Tabulka5[Process Type]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2" l="1"/>
  <c r="D14" i="12" l="1"/>
  <c r="O9" i="7" l="1"/>
  <c r="O2" i="8" s="1"/>
  <c r="W13" i="7"/>
  <c r="W2" i="8"/>
  <c r="O13" i="7"/>
  <c r="O3" i="8"/>
  <c r="O4" i="8"/>
  <c r="O5" i="8"/>
  <c r="O6" i="8"/>
  <c r="O7" i="8"/>
  <c r="O8" i="8"/>
  <c r="O9" i="8"/>
  <c r="O10" i="8"/>
  <c r="O11" i="8"/>
  <c r="O12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S17" i="7"/>
  <c r="F27" i="10"/>
  <c r="S13" i="7"/>
  <c r="S15" i="7" s="1"/>
  <c r="Z3" i="8"/>
  <c r="Z2" i="8"/>
  <c r="D13" i="11" s="1"/>
  <c r="S16" i="7" l="1"/>
  <c r="O10" i="7"/>
  <c r="S14" i="7"/>
  <c r="G15" i="7" l="1"/>
  <c r="G17" i="7" l="1"/>
  <c r="G16" i="7"/>
  <c r="F12" i="10"/>
  <c r="F18" i="10"/>
  <c r="S4" i="7"/>
  <c r="W7" i="7" s="1"/>
  <c r="W14" i="7" s="1"/>
  <c r="D15" i="11"/>
  <c r="D12" i="11"/>
  <c r="D14" i="11" s="1"/>
  <c r="D11" i="11"/>
  <c r="D16" i="11" s="1"/>
  <c r="C3" i="10"/>
  <c r="H3" i="10"/>
  <c r="C4" i="10"/>
  <c r="H4" i="10"/>
  <c r="F11" i="10"/>
  <c r="F19" i="10"/>
  <c r="F13" i="10"/>
  <c r="F23" i="10"/>
  <c r="F25" i="10" s="1"/>
  <c r="B27" i="10"/>
  <c r="B28" i="10"/>
  <c r="F34" i="10"/>
  <c r="F35" i="10"/>
  <c r="F36" i="10"/>
  <c r="F37" i="10"/>
  <c r="B41" i="10"/>
  <c r="B42" i="10"/>
  <c r="B44" i="10"/>
  <c r="B45" i="10"/>
  <c r="D17" i="11" l="1"/>
  <c r="B46" i="10"/>
  <c r="F14" i="10"/>
  <c r="F29" i="10"/>
  <c r="F15" i="10"/>
  <c r="F21" i="10"/>
  <c r="F24" i="10"/>
  <c r="S5" i="7"/>
  <c r="O8" i="7"/>
  <c r="O7" i="7"/>
  <c r="B47" i="10"/>
  <c r="A48" i="10" s="1"/>
  <c r="F26" i="10"/>
  <c r="F16" i="10"/>
  <c r="W11" i="7" l="1"/>
  <c r="W10" i="7"/>
  <c r="F31" i="10"/>
  <c r="F30" i="10"/>
  <c r="AD78" i="7"/>
  <c r="AD93" i="7"/>
  <c r="O14" i="7" l="1"/>
  <c r="O16" i="7" l="1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B79" i="7"/>
  <c r="AB80" i="7"/>
  <c r="AB81" i="7"/>
  <c r="AD80" i="7"/>
  <c r="AD81" i="7"/>
  <c r="W5" i="7" l="1"/>
  <c r="W6" i="7"/>
  <c r="AC67" i="7" s="1"/>
  <c r="AB56" i="7"/>
  <c r="AB55" i="7"/>
  <c r="AB54" i="7"/>
  <c r="AD54" i="7"/>
  <c r="AD55" i="7"/>
  <c r="AD56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9" i="7"/>
  <c r="AD82" i="7"/>
  <c r="AD83" i="7"/>
  <c r="AD84" i="7"/>
  <c r="AD85" i="7"/>
  <c r="AD86" i="7"/>
  <c r="AD87" i="7"/>
  <c r="AD88" i="7"/>
  <c r="AD89" i="7"/>
  <c r="AD90" i="7"/>
  <c r="AD91" i="7"/>
  <c r="AD92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24" i="7"/>
  <c r="W15" i="7"/>
  <c r="AC29" i="7" l="1"/>
  <c r="AC81" i="7"/>
  <c r="AC82" i="7"/>
  <c r="AC80" i="7"/>
  <c r="AC119" i="7"/>
  <c r="AC70" i="7"/>
  <c r="AC63" i="7"/>
  <c r="AC35" i="7"/>
  <c r="AC111" i="7"/>
  <c r="AC93" i="7"/>
  <c r="AC85" i="7"/>
  <c r="AC91" i="7"/>
  <c r="AC86" i="7"/>
  <c r="AC65" i="7"/>
  <c r="AC64" i="7"/>
  <c r="AC58" i="7"/>
  <c r="AC25" i="7"/>
  <c r="AC124" i="7"/>
  <c r="AC110" i="7"/>
  <c r="AC99" i="7"/>
  <c r="AC27" i="7"/>
  <c r="AC89" i="7"/>
  <c r="AC96" i="7"/>
  <c r="AC101" i="7"/>
  <c r="AC95" i="7"/>
  <c r="AC107" i="7"/>
  <c r="AC79" i="7"/>
  <c r="AC92" i="7"/>
  <c r="AG93" i="7"/>
  <c r="AC53" i="7"/>
  <c r="AC117" i="7"/>
  <c r="AC60" i="7"/>
  <c r="AC120" i="7"/>
  <c r="AC50" i="7"/>
  <c r="AC36" i="7"/>
  <c r="AC104" i="7"/>
  <c r="AC24" i="7"/>
  <c r="AC98" i="7"/>
  <c r="AC61" i="7"/>
  <c r="AC34" i="7"/>
  <c r="AC68" i="7"/>
  <c r="AC57" i="7"/>
  <c r="AC45" i="7"/>
  <c r="AC30" i="7"/>
  <c r="AC28" i="7"/>
  <c r="AC112" i="7"/>
  <c r="AC42" i="7"/>
  <c r="AC97" i="7"/>
  <c r="AC100" i="7"/>
  <c r="AF46" i="7"/>
  <c r="AF77" i="7"/>
  <c r="AC38" i="7"/>
  <c r="AC74" i="7"/>
  <c r="AC109" i="7"/>
  <c r="AC44" i="7"/>
  <c r="AC114" i="7"/>
  <c r="AC72" i="7"/>
  <c r="AC33" i="7"/>
  <c r="AC69" i="7"/>
  <c r="AC103" i="7"/>
  <c r="AC48" i="7"/>
  <c r="AC118" i="7"/>
  <c r="AC76" i="7"/>
  <c r="AC54" i="7"/>
  <c r="AC47" i="7"/>
  <c r="AC84" i="7"/>
  <c r="AC55" i="7"/>
  <c r="AC43" i="7"/>
  <c r="AC78" i="7"/>
  <c r="AC113" i="7"/>
  <c r="AC52" i="7"/>
  <c r="AC122" i="7"/>
  <c r="AC37" i="7"/>
  <c r="AC73" i="7"/>
  <c r="AC108" i="7"/>
  <c r="AC59" i="7"/>
  <c r="AC126" i="7"/>
  <c r="AC90" i="7"/>
  <c r="AC56" i="7"/>
  <c r="AC51" i="7"/>
  <c r="AC88" i="7"/>
  <c r="AC121" i="7"/>
  <c r="AC71" i="7"/>
  <c r="AC32" i="7"/>
  <c r="AC94" i="7"/>
  <c r="AC46" i="7"/>
  <c r="AC83" i="7"/>
  <c r="AC116" i="7"/>
  <c r="AC75" i="7"/>
  <c r="AC26" i="7"/>
  <c r="AC102" i="7"/>
  <c r="AC49" i="7"/>
  <c r="AC40" i="7"/>
  <c r="AC87" i="7"/>
  <c r="AC123" i="7"/>
  <c r="AC106" i="7"/>
  <c r="AC39" i="7"/>
  <c r="AC66" i="7"/>
  <c r="AG115" i="7"/>
  <c r="AF45" i="7"/>
  <c r="AC41" i="7"/>
  <c r="AC31" i="7"/>
  <c r="AC77" i="7"/>
  <c r="AC115" i="7"/>
  <c r="AC105" i="7"/>
  <c r="AC125" i="7"/>
  <c r="AC62" i="7"/>
  <c r="AH97" i="7" l="1"/>
  <c r="AF68" i="7"/>
  <c r="AG124" i="7"/>
  <c r="AF83" i="7"/>
  <c r="AG76" i="7"/>
  <c r="AF72" i="7"/>
  <c r="AG109" i="7"/>
  <c r="AF87" i="7"/>
  <c r="AF62" i="7"/>
  <c r="AG96" i="7"/>
  <c r="AG113" i="7"/>
  <c r="AG111" i="7"/>
  <c r="AF82" i="7"/>
  <c r="AF56" i="7"/>
  <c r="AH77" i="7"/>
  <c r="AH81" i="7"/>
  <c r="AF81" i="7"/>
  <c r="AH78" i="7"/>
  <c r="AG80" i="7"/>
  <c r="AH80" i="7"/>
  <c r="AF80" i="7"/>
  <c r="AH79" i="7"/>
  <c r="AG81" i="7"/>
  <c r="AF47" i="7"/>
  <c r="AH82" i="7"/>
  <c r="AG94" i="7"/>
  <c r="AF117" i="7"/>
  <c r="AF111" i="7"/>
  <c r="AF97" i="7"/>
  <c r="AG78" i="7"/>
  <c r="AH25" i="7"/>
  <c r="AF53" i="7"/>
  <c r="AH93" i="7"/>
  <c r="AG43" i="7"/>
  <c r="AH95" i="7"/>
  <c r="AF119" i="7"/>
  <c r="AH111" i="7"/>
  <c r="AG48" i="7"/>
  <c r="AG77" i="7"/>
  <c r="AI77" i="7" s="1"/>
  <c r="AF25" i="7"/>
  <c r="AF115" i="7"/>
  <c r="AH54" i="7"/>
  <c r="AH110" i="7"/>
  <c r="AG41" i="7"/>
  <c r="AG55" i="7"/>
  <c r="AG50" i="7"/>
  <c r="AH119" i="7"/>
  <c r="AH29" i="7"/>
  <c r="AH114" i="7"/>
  <c r="AF60" i="7"/>
  <c r="AF70" i="7"/>
  <c r="AG24" i="7"/>
  <c r="AF101" i="7"/>
  <c r="AH87" i="7"/>
  <c r="AH90" i="7"/>
  <c r="AG62" i="7"/>
  <c r="AF78" i="7"/>
  <c r="AF34" i="7"/>
  <c r="AH30" i="7"/>
  <c r="AF122" i="7"/>
  <c r="AH52" i="7"/>
  <c r="AH122" i="7"/>
  <c r="AF66" i="7"/>
  <c r="AH49" i="7"/>
  <c r="AF88" i="7"/>
  <c r="AG28" i="7"/>
  <c r="AF28" i="7"/>
  <c r="AH84" i="7"/>
  <c r="AH64" i="7"/>
  <c r="AF85" i="7"/>
  <c r="AG89" i="7"/>
  <c r="AH38" i="7"/>
  <c r="AF31" i="7"/>
  <c r="AG64" i="7"/>
  <c r="AG46" i="7"/>
  <c r="AI46" i="7" s="1"/>
  <c r="AG79" i="7"/>
  <c r="AG73" i="7"/>
  <c r="AF32" i="7"/>
  <c r="AH65" i="7"/>
  <c r="AG68" i="7"/>
  <c r="AH37" i="7"/>
  <c r="AG126" i="7"/>
  <c r="AH89" i="7"/>
  <c r="AH76" i="7"/>
  <c r="AF74" i="7"/>
  <c r="AF73" i="7"/>
  <c r="AF90" i="7"/>
  <c r="AF89" i="7"/>
  <c r="AF33" i="7"/>
  <c r="AG54" i="7"/>
  <c r="AH31" i="7"/>
  <c r="AH48" i="7"/>
  <c r="AF65" i="7"/>
  <c r="AG56" i="7"/>
  <c r="AH43" i="7"/>
  <c r="AG118" i="7"/>
  <c r="AF92" i="7"/>
  <c r="AG37" i="7"/>
  <c r="AH92" i="7"/>
  <c r="AH53" i="7"/>
  <c r="AG63" i="7"/>
  <c r="AG71" i="7"/>
  <c r="AH96" i="7"/>
  <c r="AH109" i="7"/>
  <c r="AG45" i="7"/>
  <c r="AI45" i="7" s="1"/>
  <c r="AF27" i="7"/>
  <c r="AG67" i="7"/>
  <c r="AG74" i="7"/>
  <c r="AH91" i="7"/>
  <c r="AF118" i="7"/>
  <c r="AG35" i="7"/>
  <c r="AH71" i="7"/>
  <c r="AH60" i="7"/>
  <c r="AF112" i="7"/>
  <c r="AH102" i="7"/>
  <c r="AF98" i="7"/>
  <c r="AF30" i="7"/>
  <c r="AG116" i="7"/>
  <c r="AF38" i="7"/>
  <c r="AH33" i="7"/>
  <c r="AG123" i="7"/>
  <c r="AH59" i="7"/>
  <c r="AG53" i="7"/>
  <c r="AH50" i="7"/>
  <c r="AG104" i="7"/>
  <c r="AF50" i="7"/>
  <c r="AF106" i="7"/>
  <c r="AF79" i="7"/>
  <c r="AH46" i="7"/>
  <c r="AG120" i="7"/>
  <c r="AF126" i="7"/>
  <c r="AG51" i="7"/>
  <c r="AG107" i="7"/>
  <c r="AH106" i="7"/>
  <c r="AF93" i="7"/>
  <c r="AI93" i="7" s="1"/>
  <c r="AF26" i="7"/>
  <c r="AF59" i="7"/>
  <c r="AH75" i="7"/>
  <c r="AH68" i="7"/>
  <c r="AF64" i="7"/>
  <c r="AG101" i="7"/>
  <c r="AH116" i="7"/>
  <c r="AG108" i="7"/>
  <c r="AG98" i="7"/>
  <c r="AH123" i="7"/>
  <c r="AF107" i="7"/>
  <c r="AF116" i="7"/>
  <c r="AG121" i="7"/>
  <c r="AG70" i="7"/>
  <c r="AG110" i="7"/>
  <c r="AH67" i="7"/>
  <c r="AG49" i="7"/>
  <c r="AG52" i="7"/>
  <c r="AH104" i="7"/>
  <c r="AG44" i="7"/>
  <c r="AF52" i="7"/>
  <c r="AH55" i="7"/>
  <c r="AF114" i="7"/>
  <c r="AF123" i="7"/>
  <c r="AH44" i="7"/>
  <c r="AF110" i="7"/>
  <c r="AH63" i="7"/>
  <c r="AH120" i="7"/>
  <c r="AH69" i="7"/>
  <c r="AH86" i="7"/>
  <c r="AH73" i="7"/>
  <c r="AH98" i="7"/>
  <c r="AG99" i="7"/>
  <c r="AH47" i="7"/>
  <c r="AG39" i="7"/>
  <c r="AF105" i="7"/>
  <c r="AH57" i="7"/>
  <c r="AG119" i="7"/>
  <c r="AG105" i="7"/>
  <c r="AG60" i="7"/>
  <c r="AG112" i="7"/>
  <c r="AF121" i="7"/>
  <c r="AH113" i="7"/>
  <c r="AG90" i="7"/>
  <c r="AH105" i="7"/>
  <c r="AF71" i="7"/>
  <c r="AH41" i="7"/>
  <c r="AG66" i="7"/>
  <c r="AH115" i="7"/>
  <c r="AF67" i="7"/>
  <c r="AG26" i="7"/>
  <c r="AF75" i="7"/>
  <c r="AG65" i="7"/>
  <c r="AH32" i="7"/>
  <c r="AF54" i="7"/>
  <c r="AH108" i="7"/>
  <c r="AG72" i="7"/>
  <c r="AF120" i="7"/>
  <c r="AF113" i="7"/>
  <c r="AG87" i="7"/>
  <c r="AH121" i="7"/>
  <c r="AH70" i="7"/>
  <c r="AF99" i="7"/>
  <c r="AG42" i="7"/>
  <c r="AF63" i="7"/>
  <c r="AH100" i="7"/>
  <c r="AH107" i="7"/>
  <c r="AH58" i="7"/>
  <c r="AG117" i="7"/>
  <c r="AG29" i="7"/>
  <c r="AG100" i="7"/>
  <c r="AH42" i="7"/>
  <c r="AH51" i="7"/>
  <c r="AF84" i="7"/>
  <c r="AH117" i="7"/>
  <c r="AF76" i="7"/>
  <c r="AH66" i="7"/>
  <c r="AF35" i="7"/>
  <c r="AF24" i="7"/>
  <c r="AG106" i="7"/>
  <c r="AG30" i="7"/>
  <c r="AG32" i="7"/>
  <c r="AG84" i="7"/>
  <c r="AG125" i="7"/>
  <c r="AH74" i="7"/>
  <c r="AF40" i="7"/>
  <c r="AG91" i="7"/>
  <c r="AG59" i="7"/>
  <c r="AG82" i="7"/>
  <c r="AI82" i="7" s="1"/>
  <c r="AF86" i="7"/>
  <c r="AF104" i="7"/>
  <c r="AF124" i="7"/>
  <c r="AH35" i="7"/>
  <c r="AH40" i="7"/>
  <c r="AG103" i="7"/>
  <c r="AG86" i="7"/>
  <c r="AG58" i="7"/>
  <c r="AG61" i="7"/>
  <c r="AH112" i="7"/>
  <c r="AH61" i="7"/>
  <c r="AF48" i="7"/>
  <c r="AF57" i="7"/>
  <c r="AH103" i="7"/>
  <c r="AF61" i="7"/>
  <c r="AG69" i="7"/>
  <c r="AH62" i="7"/>
  <c r="AG75" i="7"/>
  <c r="AF58" i="7"/>
  <c r="AH124" i="7"/>
  <c r="AF96" i="7"/>
  <c r="AI96" i="7" s="1"/>
  <c r="AG102" i="7"/>
  <c r="AH72" i="7"/>
  <c r="AH99" i="7"/>
  <c r="AH101" i="7"/>
  <c r="AG47" i="7"/>
  <c r="AH24" i="7"/>
  <c r="AH39" i="7"/>
  <c r="AH126" i="7"/>
  <c r="AG57" i="7"/>
  <c r="AH125" i="7"/>
  <c r="AH45" i="7"/>
  <c r="AF49" i="7"/>
  <c r="AF51" i="7"/>
  <c r="AF103" i="7"/>
  <c r="AI115" i="7"/>
  <c r="AH88" i="7"/>
  <c r="AF95" i="7"/>
  <c r="AG97" i="7"/>
  <c r="AG38" i="7"/>
  <c r="AF108" i="7"/>
  <c r="AF44" i="7"/>
  <c r="AF39" i="7"/>
  <c r="AG83" i="7"/>
  <c r="AH118" i="7"/>
  <c r="AG31" i="7"/>
  <c r="AG95" i="7"/>
  <c r="AH94" i="7"/>
  <c r="AH34" i="7"/>
  <c r="AG25" i="7"/>
  <c r="AF29" i="7"/>
  <c r="AG36" i="7"/>
  <c r="AF94" i="7"/>
  <c r="AF109" i="7"/>
  <c r="AG27" i="7"/>
  <c r="AH28" i="7"/>
  <c r="AG122" i="7"/>
  <c r="AG33" i="7"/>
  <c r="AF37" i="7"/>
  <c r="AH27" i="7"/>
  <c r="AF42" i="7"/>
  <c r="AG40" i="7"/>
  <c r="AH83" i="7"/>
  <c r="AF102" i="7"/>
  <c r="AF125" i="7"/>
  <c r="AF55" i="7"/>
  <c r="AF91" i="7"/>
  <c r="AG85" i="7"/>
  <c r="AG34" i="7"/>
  <c r="AF100" i="7"/>
  <c r="AG114" i="7"/>
  <c r="AH36" i="7"/>
  <c r="AF43" i="7"/>
  <c r="AF36" i="7"/>
  <c r="AG88" i="7"/>
  <c r="AH26" i="7"/>
  <c r="AG92" i="7"/>
  <c r="AH85" i="7"/>
  <c r="AF41" i="7"/>
  <c r="AF69" i="7"/>
  <c r="AH56" i="7"/>
  <c r="AI87" i="7" l="1"/>
  <c r="AI53" i="7"/>
  <c r="AI55" i="7"/>
  <c r="AI97" i="7"/>
  <c r="AI62" i="7"/>
  <c r="AI101" i="7"/>
  <c r="AI72" i="7"/>
  <c r="AI68" i="7"/>
  <c r="AI66" i="7"/>
  <c r="AI117" i="7"/>
  <c r="AI111" i="7"/>
  <c r="AI25" i="7"/>
  <c r="AI47" i="7"/>
  <c r="AI122" i="7"/>
  <c r="AI32" i="7"/>
  <c r="AI119" i="7"/>
  <c r="AI123" i="7"/>
  <c r="AI83" i="7"/>
  <c r="AI118" i="7"/>
  <c r="AI76" i="7"/>
  <c r="AI51" i="7"/>
  <c r="AI24" i="7"/>
  <c r="AI41" i="7"/>
  <c r="AI49" i="7"/>
  <c r="AI67" i="7"/>
  <c r="AI36" i="7"/>
  <c r="AI109" i="7"/>
  <c r="AI60" i="7"/>
  <c r="AI56" i="7"/>
  <c r="AI89" i="7"/>
  <c r="AI80" i="7"/>
  <c r="AI81" i="7"/>
  <c r="AI75" i="7"/>
  <c r="AI113" i="7"/>
  <c r="AI43" i="7"/>
  <c r="AI94" i="7"/>
  <c r="AI124" i="7"/>
  <c r="AI104" i="7"/>
  <c r="AI112" i="7"/>
  <c r="AI28" i="7"/>
  <c r="AI48" i="7"/>
  <c r="AI63" i="7"/>
  <c r="AI78" i="7"/>
  <c r="AI120" i="7"/>
  <c r="AI50" i="7"/>
  <c r="AI71" i="7"/>
  <c r="AI73" i="7"/>
  <c r="AI65" i="7"/>
  <c r="AI74" i="7"/>
  <c r="AI26" i="7"/>
  <c r="AI85" i="7"/>
  <c r="AI88" i="7"/>
  <c r="AI31" i="7"/>
  <c r="AI70" i="7"/>
  <c r="AI35" i="7"/>
  <c r="AI34" i="7"/>
  <c r="AI52" i="7"/>
  <c r="AI121" i="7"/>
  <c r="AI64" i="7"/>
  <c r="AI98" i="7"/>
  <c r="AI79" i="7"/>
  <c r="AI37" i="7"/>
  <c r="AI33" i="7"/>
  <c r="AI59" i="7"/>
  <c r="AI84" i="7"/>
  <c r="AI90" i="7"/>
  <c r="AI116" i="7"/>
  <c r="AI126" i="7"/>
  <c r="AI39" i="7"/>
  <c r="AI27" i="7"/>
  <c r="AI54" i="7"/>
  <c r="AI105" i="7"/>
  <c r="AI110" i="7"/>
  <c r="AI92" i="7"/>
  <c r="AI107" i="7"/>
  <c r="AI106" i="7"/>
  <c r="AI114" i="7"/>
  <c r="AI44" i="7"/>
  <c r="AI99" i="7"/>
  <c r="AI30" i="7"/>
  <c r="AI108" i="7"/>
  <c r="AI38" i="7"/>
  <c r="AI86" i="7"/>
  <c r="AI69" i="7"/>
  <c r="AI57" i="7"/>
  <c r="AI102" i="7"/>
  <c r="AI100" i="7"/>
  <c r="AI91" i="7"/>
  <c r="AI29" i="7"/>
  <c r="AI103" i="7"/>
  <c r="AI58" i="7"/>
  <c r="AI61" i="7"/>
  <c r="AI40" i="7"/>
  <c r="AI125" i="7"/>
  <c r="AI42" i="7"/>
  <c r="AI95" i="7"/>
</calcChain>
</file>

<file path=xl/sharedStrings.xml><?xml version="1.0" encoding="utf-8"?>
<sst xmlns="http://schemas.openxmlformats.org/spreadsheetml/2006/main" count="1070" uniqueCount="447">
  <si>
    <t>DE-35-1</t>
  </si>
  <si>
    <t>DE-50-2</t>
  </si>
  <si>
    <t>DE-50-3</t>
  </si>
  <si>
    <t>DE-50-4</t>
  </si>
  <si>
    <t>DE-50-6</t>
  </si>
  <si>
    <t>AR-60-1</t>
  </si>
  <si>
    <t>AR-60-2</t>
  </si>
  <si>
    <t>AR-60-3</t>
  </si>
  <si>
    <t>AR-60-4</t>
  </si>
  <si>
    <t>AR-60-5</t>
  </si>
  <si>
    <t>AR-80-4</t>
  </si>
  <si>
    <t>AR-80-5</t>
  </si>
  <si>
    <t>AR-80-6</t>
  </si>
  <si>
    <t>DE-100-5</t>
  </si>
  <si>
    <t>DE-100-7</t>
  </si>
  <si>
    <t>DE-150-1</t>
  </si>
  <si>
    <t>DE-150-2</t>
  </si>
  <si>
    <t>DE-150-3</t>
  </si>
  <si>
    <t>DE-150-4</t>
  </si>
  <si>
    <t>AR-200-1</t>
  </si>
  <si>
    <t>DE-250-1</t>
  </si>
  <si>
    <t>DE-250-3</t>
  </si>
  <si>
    <t>DE-250-4</t>
  </si>
  <si>
    <t>DE-250-5</t>
  </si>
  <si>
    <t>DE-250-6</t>
  </si>
  <si>
    <t>AR-100-1</t>
  </si>
  <si>
    <t>AR-100-2</t>
  </si>
  <si>
    <t>AR-100-3</t>
  </si>
  <si>
    <t>DE-50-8</t>
  </si>
  <si>
    <t>DE-50-9</t>
  </si>
  <si>
    <t>DE-50-10</t>
  </si>
  <si>
    <t>DE-250-7</t>
  </si>
  <si>
    <t>DE-250-8</t>
  </si>
  <si>
    <t>DE-250-9</t>
  </si>
  <si>
    <t>DE-200-1</t>
  </si>
  <si>
    <t>DE-200-2</t>
  </si>
  <si>
    <t>DE-200-3</t>
  </si>
  <si>
    <t>DE-200-4</t>
  </si>
  <si>
    <t>DE-200-5</t>
  </si>
  <si>
    <t>DE-200-6</t>
  </si>
  <si>
    <t>R2502501</t>
  </si>
  <si>
    <t>R2002001</t>
  </si>
  <si>
    <t>R1001001</t>
  </si>
  <si>
    <t>R1001002</t>
  </si>
  <si>
    <t>R0600401</t>
  </si>
  <si>
    <t>R0600602</t>
  </si>
  <si>
    <t>R0600603</t>
  </si>
  <si>
    <t>R0600604</t>
  </si>
  <si>
    <t>G</t>
  </si>
  <si>
    <t>H</t>
  </si>
  <si>
    <t>125*</t>
  </si>
  <si>
    <t>ARBURG 370 C 600-100</t>
  </si>
  <si>
    <t>ARBURG 370 C 600-250</t>
  </si>
  <si>
    <t>ARBURG 420 C 1000-350</t>
  </si>
  <si>
    <t>ARBURG 570 C 2000-675</t>
  </si>
  <si>
    <t>ARBURG 630 S 2500-1300</t>
  </si>
  <si>
    <t>ARBURG 320 S 500-150</t>
  </si>
  <si>
    <t>ARBURG 320 S 500-60</t>
  </si>
  <si>
    <t>AR-100-4</t>
  </si>
  <si>
    <t>AR-100-5</t>
  </si>
  <si>
    <t>AR-50-1</t>
  </si>
  <si>
    <t>AR-50-3</t>
  </si>
  <si>
    <t>AR-50-5</t>
  </si>
  <si>
    <t>ARBURG 520 C 2000-675</t>
  </si>
  <si>
    <t>ARBURG 370 C 600-200</t>
  </si>
  <si>
    <t>ARBURG 420 C 800-225</t>
  </si>
  <si>
    <t>DEMAG 350-35 COMPACT</t>
  </si>
  <si>
    <t>DEMAG 500-200 COMPACT</t>
  </si>
  <si>
    <t>DEMAG 500/350-310 SYSTEM</t>
  </si>
  <si>
    <t>DEMAG 1000-430 SYSTEM</t>
  </si>
  <si>
    <t>DEMAG 1000-430 COMPACT</t>
  </si>
  <si>
    <t>DEMAG 1500-610 SYSTEM</t>
  </si>
  <si>
    <t>DEMAG 2000/500-610 SYSTEM</t>
  </si>
  <si>
    <t>DEMAG 2500-1450 SYSTEM</t>
  </si>
  <si>
    <t>DEMAG 2500/630-1450 SYSTEM</t>
  </si>
  <si>
    <t>R0500401</t>
  </si>
  <si>
    <t>E1001001</t>
  </si>
  <si>
    <t>E1001002</t>
  </si>
  <si>
    <t>R2502502</t>
  </si>
  <si>
    <t>ARBURG 470 C 1600-350</t>
  </si>
  <si>
    <t>ARBURG 520 C 2000-800</t>
  </si>
  <si>
    <t>R1601001</t>
  </si>
  <si>
    <t>R2002002</t>
  </si>
  <si>
    <t>POM</t>
  </si>
  <si>
    <t>niti</t>
  </si>
  <si>
    <t>E1001003</t>
  </si>
  <si>
    <t>E1001004</t>
  </si>
  <si>
    <t>E0500501</t>
  </si>
  <si>
    <t>E0500502</t>
  </si>
  <si>
    <t>AR-160-1</t>
  </si>
  <si>
    <t>AR-100-7</t>
  </si>
  <si>
    <t>AR-100-8</t>
  </si>
  <si>
    <t>AR-60-6</t>
  </si>
  <si>
    <t>ARBURG 370 H 600-170</t>
  </si>
  <si>
    <t>ARBURG 470 H 1000-400</t>
  </si>
  <si>
    <t xml:space="preserve">
HC</t>
  </si>
  <si>
    <t>AR-60-7</t>
  </si>
  <si>
    <t>AR-100-9</t>
  </si>
  <si>
    <t>AR100-10</t>
  </si>
  <si>
    <t>AR-160-2</t>
  </si>
  <si>
    <t>AR-160-3</t>
  </si>
  <si>
    <t>ARBURG 370 S 600-170 advance</t>
  </si>
  <si>
    <t>ARBURG 520 S 1600-400/70</t>
  </si>
  <si>
    <t>ARBURG 520 S 1600-800/70</t>
  </si>
  <si>
    <t>ARBURG 370 S 600-170</t>
  </si>
  <si>
    <t>R0600402</t>
  </si>
  <si>
    <t>ARBURG 520 H 1500-400</t>
  </si>
  <si>
    <t>R1501001</t>
  </si>
  <si>
    <t>R1501002</t>
  </si>
  <si>
    <t>ARBURG 370 S 600-100</t>
  </si>
  <si>
    <t>R0600405</t>
  </si>
  <si>
    <t>ARBURG 470 S 1000-170</t>
  </si>
  <si>
    <t>R0100404</t>
  </si>
  <si>
    <t>ARBURG 520 S 1600-800 advance</t>
  </si>
  <si>
    <t>E2502501</t>
  </si>
  <si>
    <t>ARBURG 470 S 1100-400 advance</t>
  </si>
  <si>
    <t>AR100-11</t>
  </si>
  <si>
    <t>AR-60-8</t>
  </si>
  <si>
    <t>AR-60-9</t>
  </si>
  <si>
    <t>ARBURG 370 S 700-170 advance</t>
  </si>
  <si>
    <t>ARBURG 370S 600-100</t>
  </si>
  <si>
    <t>R0600407</t>
  </si>
  <si>
    <t>R0600406</t>
  </si>
  <si>
    <t>R1001005</t>
  </si>
  <si>
    <t>ARBURG 470 S 1000-170(400)</t>
  </si>
  <si>
    <t>ARBURG 370S 600-100 (170)</t>
  </si>
  <si>
    <t>R1001003</t>
  </si>
  <si>
    <t>R0500402</t>
  </si>
  <si>
    <t>R0500403</t>
  </si>
  <si>
    <t>AR-160-4</t>
  </si>
  <si>
    <t>ARBURG 570 S 2200-400/100</t>
  </si>
  <si>
    <t>AR-220-1</t>
  </si>
  <si>
    <t>ARBURG 370 E 600-170</t>
  </si>
  <si>
    <t>AR/60/10</t>
  </si>
  <si>
    <t>AR/60/11</t>
  </si>
  <si>
    <t>AR/60/12</t>
  </si>
  <si>
    <t>ARBURG 520 S 1300-400</t>
  </si>
  <si>
    <t>AR/130/1</t>
  </si>
  <si>
    <t>mm</t>
  </si>
  <si>
    <t>Cavities</t>
  </si>
  <si>
    <t>un</t>
  </si>
  <si>
    <t>Density</t>
  </si>
  <si>
    <t>VdB</t>
  </si>
  <si>
    <t>KnO</t>
  </si>
  <si>
    <t>Shot Volume</t>
  </si>
  <si>
    <t>s</t>
  </si>
  <si>
    <t>Clamping Force</t>
  </si>
  <si>
    <t>Noyos</t>
  </si>
  <si>
    <t>M</t>
  </si>
  <si>
    <t>Material</t>
  </si>
  <si>
    <t>PA66</t>
  </si>
  <si>
    <t>Real Size</t>
  </si>
  <si>
    <t>R</t>
  </si>
  <si>
    <t>Screw Type</t>
  </si>
  <si>
    <t>ABB</t>
  </si>
  <si>
    <t>PA6</t>
  </si>
  <si>
    <t>Y</t>
  </si>
  <si>
    <t>Width</t>
  </si>
  <si>
    <t>Height</t>
  </si>
  <si>
    <t>What kind?</t>
  </si>
  <si>
    <t>Water</t>
  </si>
  <si>
    <t>Cooling</t>
  </si>
  <si>
    <t>Cooling device</t>
  </si>
  <si>
    <t>Mould Size</t>
  </si>
  <si>
    <t>REVISION CHANGES ON THE DOCUMENT TEMPLATE</t>
  </si>
  <si>
    <t>Date</t>
  </si>
  <si>
    <t>CALCULATION STEP-BY-STEP</t>
  </si>
  <si>
    <t>l/h</t>
  </si>
  <si>
    <t>N</t>
  </si>
  <si>
    <t>Kistler</t>
  </si>
  <si>
    <t>Yes</t>
  </si>
  <si>
    <t>No</t>
  </si>
  <si>
    <t>Plant</t>
  </si>
  <si>
    <t>Machine Description</t>
  </si>
  <si>
    <t>Code</t>
  </si>
  <si>
    <t>ID</t>
  </si>
  <si>
    <t>Weigth</t>
  </si>
  <si>
    <t>Robot Hand</t>
  </si>
  <si>
    <t>Robot</t>
  </si>
  <si>
    <t>Machine List</t>
  </si>
  <si>
    <t>V [cm3]</t>
  </si>
  <si>
    <t>Max
Width</t>
  </si>
  <si>
    <t>Max
Height</t>
  </si>
  <si>
    <t>Column
Diameter</t>
  </si>
  <si>
    <t>Nozzle
Input</t>
  </si>
  <si>
    <t>Piston</t>
  </si>
  <si>
    <t>PENA (POM+NITI)</t>
  </si>
  <si>
    <t>L/D
Screw</t>
  </si>
  <si>
    <t>R Screw</t>
  </si>
  <si>
    <t>Length</t>
  </si>
  <si>
    <t>Oil</t>
  </si>
  <si>
    <t>N/A</t>
  </si>
  <si>
    <t>Injection Process</t>
  </si>
  <si>
    <t>Sprues</t>
  </si>
  <si>
    <t>Weight</t>
  </si>
  <si>
    <t>Part</t>
  </si>
  <si>
    <t>Sprue</t>
  </si>
  <si>
    <t>Shot</t>
  </si>
  <si>
    <t>Necesity Weight</t>
  </si>
  <si>
    <t>Automatization</t>
  </si>
  <si>
    <t>Robot or Manupulator?</t>
  </si>
  <si>
    <t>Manipulator</t>
  </si>
  <si>
    <t>Bulk</t>
  </si>
  <si>
    <t>Minimal Size</t>
  </si>
  <si>
    <t>Hydraulic</t>
  </si>
  <si>
    <t>Circuits</t>
  </si>
  <si>
    <t>Is sensor needed?</t>
  </si>
  <si>
    <t>Kistler Sensor</t>
  </si>
  <si>
    <t>Kisler</t>
  </si>
  <si>
    <t>Projected Area</t>
  </si>
  <si>
    <t>Total</t>
  </si>
  <si>
    <t>Process</t>
  </si>
  <si>
    <t>Offered Tonnage</t>
  </si>
  <si>
    <t>Calculated Tonnage</t>
  </si>
  <si>
    <t>Material Specification</t>
  </si>
  <si>
    <t>Material Type</t>
  </si>
  <si>
    <t>POM Homoplier</t>
  </si>
  <si>
    <t>PA66 + 30% Glass</t>
  </si>
  <si>
    <t>PA6 + 30% Glass</t>
  </si>
  <si>
    <t>PBT + 30% Glass</t>
  </si>
  <si>
    <t>PA66 + Mineral</t>
  </si>
  <si>
    <t>PP + (Glass or Mineral)</t>
  </si>
  <si>
    <t>PPA + 50% (Glass or Mineral)</t>
  </si>
  <si>
    <t>HD-PE</t>
  </si>
  <si>
    <t>Drying</t>
  </si>
  <si>
    <t>Temperature</t>
  </si>
  <si>
    <t>Minimal Time</t>
  </si>
  <si>
    <t>Maximal Time</t>
  </si>
  <si>
    <t>Opening Required</t>
  </si>
  <si>
    <t>g</t>
  </si>
  <si>
    <r>
      <t>mm</t>
    </r>
    <r>
      <rPr>
        <vertAlign val="superscript"/>
        <sz val="10"/>
        <rFont val="Arial"/>
        <family val="2"/>
        <charset val="238"/>
      </rPr>
      <t>2</t>
    </r>
  </si>
  <si>
    <t>°C</t>
  </si>
  <si>
    <t>T</t>
  </si>
  <si>
    <r>
      <t>cm</t>
    </r>
    <r>
      <rPr>
        <vertAlign val="superscript"/>
        <sz val="10"/>
        <rFont val="Arial"/>
        <family val="2"/>
        <charset val="238"/>
      </rPr>
      <t>3</t>
    </r>
  </si>
  <si>
    <t>Material Dryer Size</t>
  </si>
  <si>
    <t>Maximal Size</t>
  </si>
  <si>
    <t>Needed Supply</t>
  </si>
  <si>
    <t>Teoretical Supply</t>
  </si>
  <si>
    <t>kg</t>
  </si>
  <si>
    <t>kg/h</t>
  </si>
  <si>
    <t>ITP Tool Number:</t>
  </si>
  <si>
    <t>J. Zaloudek</t>
  </si>
  <si>
    <t>Initial version based on J. Millastre's calculation</t>
  </si>
  <si>
    <t>Modified by</t>
  </si>
  <si>
    <t>Reason of change</t>
  </si>
  <si>
    <t>Revision</t>
  </si>
  <si>
    <t>Cycle Time</t>
  </si>
  <si>
    <t>Max Residence Time</t>
  </si>
  <si>
    <t>Tool Opening</t>
  </si>
  <si>
    <t>Tool Fits</t>
  </si>
  <si>
    <t>Screw Calculation</t>
  </si>
  <si>
    <t>Shots to Clean Screw</t>
  </si>
  <si>
    <t xml:space="preserve">Machine Suitability </t>
  </si>
  <si>
    <t>Max Length</t>
  </si>
  <si>
    <t>Min Length</t>
  </si>
  <si>
    <t>Max Opening</t>
  </si>
  <si>
    <t>Injection Pressure</t>
  </si>
  <si>
    <t>Noyos2</t>
  </si>
  <si>
    <t>Robot2</t>
  </si>
  <si>
    <t>Clamping Force2</t>
  </si>
  <si>
    <t>Tool Opening2</t>
  </si>
  <si>
    <t xml:space="preserve"> </t>
  </si>
  <si>
    <t>POM Copolymer</t>
  </si>
  <si>
    <t>R1601601</t>
  </si>
  <si>
    <t>E2502502</t>
  </si>
  <si>
    <t>DEMAG 2500-1450 SYSTÉM</t>
  </si>
  <si>
    <t>HC</t>
  </si>
  <si>
    <t>45/22</t>
  </si>
  <si>
    <t>23/20</t>
  </si>
  <si>
    <t>35/22</t>
  </si>
  <si>
    <t>R1601002</t>
  </si>
  <si>
    <t xml:space="preserve">Material </t>
  </si>
  <si>
    <t>[tons/cm²]</t>
  </si>
  <si>
    <t>PS (GPPS)</t>
  </si>
  <si>
    <t>PS (GPPS) (paredes delgadas)</t>
  </si>
  <si>
    <t>HIPS</t>
  </si>
  <si>
    <t>HIPS (paredes delgadas)</t>
  </si>
  <si>
    <t>ABS</t>
  </si>
  <si>
    <t>AS (SAN)</t>
  </si>
  <si>
    <t>AS (SAN) (flujos largos)</t>
  </si>
  <si>
    <t>LDPE</t>
  </si>
  <si>
    <t>HDPE</t>
  </si>
  <si>
    <t>HDPE (flujos largos)</t>
  </si>
  <si>
    <t>PP (Homo/Copolímero)</t>
  </si>
  <si>
    <t>PP (H/Co) (flujos largos)</t>
  </si>
  <si>
    <t>PPVC (blando)</t>
  </si>
  <si>
    <t>UPVC (rígido)</t>
  </si>
  <si>
    <t>PA6, PA66</t>
  </si>
  <si>
    <t>PMMA</t>
  </si>
  <si>
    <t>PC</t>
  </si>
  <si>
    <t>POM (Homo/Copolímero)</t>
  </si>
  <si>
    <t>PET (Amorfo)</t>
  </si>
  <si>
    <t>PET (Cristalino)</t>
  </si>
  <si>
    <t>PBT</t>
  </si>
  <si>
    <t>CA</t>
  </si>
  <si>
    <t>PPO-M (no reforzado)</t>
  </si>
  <si>
    <t>PPO-M (reforzado)</t>
  </si>
  <si>
    <t>PPS</t>
  </si>
  <si>
    <t>Attention the value has to be changed for each material !!!</t>
  </si>
  <si>
    <t>OK</t>
  </si>
  <si>
    <t>AR/60/13</t>
  </si>
  <si>
    <t>AR/60/14</t>
  </si>
  <si>
    <t>RFQ  3016</t>
  </si>
  <si>
    <t>Specific Material Force</t>
  </si>
  <si>
    <t>Re</t>
  </si>
  <si>
    <t>Reynolds Number:</t>
  </si>
  <si>
    <t>m/s</t>
  </si>
  <si>
    <t>v Velocity</t>
  </si>
  <si>
    <t>m</t>
  </si>
  <si>
    <t>L Diameter</t>
  </si>
  <si>
    <t>kg/m*s</t>
  </si>
  <si>
    <t>µ Viscosity(T)</t>
  </si>
  <si>
    <t>(p) Density:</t>
  </si>
  <si>
    <t>K</t>
  </si>
  <si>
    <t>(T )Temp Kelvin:</t>
  </si>
  <si>
    <t>[m³/s]</t>
  </si>
  <si>
    <t>[L/min]</t>
  </si>
  <si>
    <t>Flow Rate</t>
  </si>
  <si>
    <t>Ø SCREW</t>
  </si>
  <si>
    <t xml:space="preserve">TONS </t>
  </si>
  <si>
    <t xml:space="preserve">MACHINE VALIDATED CODE </t>
  </si>
  <si>
    <t>[°C]</t>
  </si>
  <si>
    <t>Water Temp.</t>
  </si>
  <si>
    <t>[mm]</t>
  </si>
  <si>
    <t>Pipe Diameter</t>
  </si>
  <si>
    <t>m/min</t>
  </si>
  <si>
    <t>Screw Speed</t>
  </si>
  <si>
    <t>Unit:</t>
  </si>
  <si>
    <t>Input:</t>
  </si>
  <si>
    <t>Name:</t>
  </si>
  <si>
    <t>[mm³/sec]</t>
  </si>
  <si>
    <t>Fill Rate</t>
  </si>
  <si>
    <t>[cm³]</t>
  </si>
  <si>
    <t>Injected Volume</t>
  </si>
  <si>
    <t xml:space="preserve">HEATERS CALCULATION </t>
  </si>
  <si>
    <t>[mm/sec]</t>
  </si>
  <si>
    <t>Injection Speed</t>
  </si>
  <si>
    <t>Screw Distance Travelled</t>
  </si>
  <si>
    <t>[rpm]</t>
  </si>
  <si>
    <t>Injection Unit Performace</t>
  </si>
  <si>
    <t>[secs]</t>
  </si>
  <si>
    <t>Fill Time</t>
  </si>
  <si>
    <t>[kg]</t>
  </si>
  <si>
    <t>Material required per 24 hours:</t>
  </si>
  <si>
    <t>Cushion</t>
  </si>
  <si>
    <t>Material required per 8 hours:</t>
  </si>
  <si>
    <t>Screw course</t>
  </si>
  <si>
    <t>Material required per hour:</t>
  </si>
  <si>
    <t>Screw Diameter</t>
  </si>
  <si>
    <t>Material Consumption</t>
  </si>
  <si>
    <t>[cm²]</t>
  </si>
  <si>
    <t>Runner Projected Area:</t>
  </si>
  <si>
    <t>[mins]</t>
  </si>
  <si>
    <t>Time to mold 100 parts:</t>
  </si>
  <si>
    <t>Projected Area:</t>
  </si>
  <si>
    <t>[#]</t>
  </si>
  <si>
    <t>Parts per 6000 hours:</t>
  </si>
  <si>
    <t>[mm²]</t>
  </si>
  <si>
    <t>Parts per 24 hours:</t>
  </si>
  <si>
    <t>Parts per 8 hours:</t>
  </si>
  <si>
    <t>Tons/sq. cm for Material:</t>
  </si>
  <si>
    <t>Parts per hour:</t>
  </si>
  <si>
    <t>[hours]</t>
  </si>
  <si>
    <t>Drying Time max</t>
  </si>
  <si>
    <t xml:space="preserve">Production Outputs </t>
  </si>
  <si>
    <t>Drying Time min</t>
  </si>
  <si>
    <t>[tons]</t>
  </si>
  <si>
    <t>Required Tonnage:</t>
  </si>
  <si>
    <t>Machine Tonnage</t>
  </si>
  <si>
    <t>[g³/cm]</t>
  </si>
  <si>
    <t>Material Density:</t>
  </si>
  <si>
    <t>Max Dryer Size</t>
  </si>
  <si>
    <t>[g]PS</t>
  </si>
  <si>
    <t>Max Machine Shot weight</t>
  </si>
  <si>
    <t>Min Dryer Size</t>
  </si>
  <si>
    <t>Number of Runners:</t>
  </si>
  <si>
    <t xml:space="preserve">Hopper Size </t>
  </si>
  <si>
    <t>Number of Cavities</t>
  </si>
  <si>
    <t>[min]</t>
  </si>
  <si>
    <t>Residence time</t>
  </si>
  <si>
    <t>Runner Volume:</t>
  </si>
  <si>
    <t>Part Volume:</t>
  </si>
  <si>
    <t>[%]</t>
  </si>
  <si>
    <t>% Shot Size Used:</t>
  </si>
  <si>
    <t>[g]</t>
  </si>
  <si>
    <t>Runner Weight</t>
  </si>
  <si>
    <t>[grams]</t>
  </si>
  <si>
    <t>Shot Weight:</t>
  </si>
  <si>
    <t>Part Weight</t>
  </si>
  <si>
    <t>Runner Weight:</t>
  </si>
  <si>
    <t>Part Weight:</t>
  </si>
  <si>
    <t xml:space="preserve">Raw material </t>
  </si>
  <si>
    <t>Results:</t>
  </si>
  <si>
    <t>Results</t>
  </si>
  <si>
    <t xml:space="preserve">Input data on yellow cells </t>
  </si>
  <si>
    <t>RHEOLOGY ANALYSIS FILE CODE:</t>
  </si>
  <si>
    <t>DATE:</t>
  </si>
  <si>
    <t>PRELIMINARY DRAWING CODE:</t>
  </si>
  <si>
    <t>RAW MATERIAL 2</t>
  </si>
  <si>
    <t>PART NAME:</t>
  </si>
  <si>
    <t>RAW MATERIAL 1</t>
  </si>
  <si>
    <t>ITP REFERENCE:</t>
  </si>
  <si>
    <t>EQUIPMENT QUALIFICATION</t>
  </si>
  <si>
    <t>Specific Material Density</t>
  </si>
  <si>
    <t>Machine Calc</t>
  </si>
  <si>
    <t>Heater Calc</t>
  </si>
  <si>
    <t>hours</t>
  </si>
  <si>
    <t>Volume</t>
  </si>
  <si>
    <t>Part Volume</t>
  </si>
  <si>
    <t>Runner</t>
  </si>
  <si>
    <t>HDPE (flujos largos)?</t>
  </si>
  <si>
    <t>AS (SAN) (flujos largos)?</t>
  </si>
  <si>
    <t>PP (H/Co) (flujos largos)?</t>
  </si>
  <si>
    <t>Max Machine Shot</t>
  </si>
  <si>
    <t>g PS</t>
  </si>
  <si>
    <r>
      <t>g/cm</t>
    </r>
    <r>
      <rPr>
        <vertAlign val="superscript"/>
        <sz val="10"/>
        <rFont val="Arial"/>
        <family val="2"/>
        <charset val="238"/>
      </rPr>
      <t>3</t>
    </r>
  </si>
  <si>
    <t>Melt Temperature Max.</t>
  </si>
  <si>
    <t>Melt Temperature Min.</t>
  </si>
  <si>
    <t>Tool Temperature Min.</t>
  </si>
  <si>
    <t>Tool Temperature Max</t>
  </si>
  <si>
    <t>Production outputs</t>
  </si>
  <si>
    <t>Parts per hour</t>
  </si>
  <si>
    <t>Parts per 8 hours</t>
  </si>
  <si>
    <t>Parts per 24 hours</t>
  </si>
  <si>
    <t>Parts per 6000 hours</t>
  </si>
  <si>
    <t>Time to mold 100 parts</t>
  </si>
  <si>
    <t>Material consumption</t>
  </si>
  <si>
    <t>Material required per hour</t>
  </si>
  <si>
    <t>Material required per 8 hours</t>
  </si>
  <si>
    <t>Material required per 24 hours</t>
  </si>
  <si>
    <t>mins</t>
  </si>
  <si>
    <t>Max Residence Time (mins)</t>
  </si>
  <si>
    <t>Manually set value</t>
  </si>
  <si>
    <t>Automatically Calc Value</t>
  </si>
  <si>
    <t>Runner Volume</t>
  </si>
  <si>
    <t>Required Tonnage</t>
  </si>
  <si>
    <t>Runners</t>
  </si>
  <si>
    <t>Material tolerance constant</t>
  </si>
  <si>
    <t>Quality</t>
  </si>
  <si>
    <t>%</t>
  </si>
  <si>
    <t>Coarse</t>
  </si>
  <si>
    <t>Medium</t>
  </si>
  <si>
    <t>High</t>
  </si>
  <si>
    <t>Input Dimensions (mm)</t>
  </si>
  <si>
    <t>Tolerance Result</t>
  </si>
  <si>
    <t>Input real tolerance</t>
  </si>
  <si>
    <t>Will this work?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</si>
</sst>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"/>
    <numFmt numFmtId="165" formatCode="0&quot; mm&quot;"/>
    <numFmt numFmtId="166" formatCode="0&quot; un&quot;"/>
    <numFmt numFmtId="167" formatCode="0.0"/>
    <numFmt numFmtId="168" formatCode="_-* #,##0.00\ _K_č_-;\-* #,##0.00\ _K_č_-;_-* &quot;-&quot;??\ _K_č_-;_-@_-"/>
    <numFmt numFmtId="169" formatCode="_-* #,##0\ _€_-;\-* #,##0\ _€_-;_-* &quot;-&quot;??\ _€_-;_-@_-"/>
    <numFmt numFmtId="170" formatCode="_-* #,##0.0\ _€_-;\-* #,##0.0\ _€_-;_-* &quot;-&quot;??\ _€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b/>
      <sz val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4"/>
      <color theme="0"/>
      <name val="Arial"/>
      <family val="2"/>
      <charset val="238"/>
    </font>
    <font>
      <vertAlign val="superscript"/>
      <sz val="10"/>
      <name val="Arial"/>
      <family val="2"/>
      <charset val="238"/>
    </font>
    <font>
      <sz val="11"/>
      <name val="Arial"/>
      <family val="2"/>
      <charset val="238"/>
    </font>
    <font>
      <b/>
      <sz val="14"/>
      <name val="Arial"/>
      <family val="2"/>
      <charset val="238"/>
    </font>
    <font>
      <sz val="14"/>
      <name val="Arial"/>
      <family val="2"/>
      <charset val="238"/>
    </font>
    <font>
      <b/>
      <sz val="18"/>
      <name val="Arial"/>
      <family val="2"/>
      <charset val="238"/>
    </font>
    <font>
      <b/>
      <sz val="24"/>
      <name val="Arial"/>
      <family val="2"/>
      <charset val="238"/>
    </font>
    <font>
      <sz val="24"/>
      <color rgb="FFC00000"/>
      <name val="Arial"/>
      <family val="2"/>
      <charset val="238"/>
    </font>
    <font>
      <sz val="10"/>
      <name val="Arial"/>
      <family val="2"/>
    </font>
    <font>
      <b/>
      <sz val="10"/>
      <color theme="0"/>
      <name val="Arial"/>
      <family val="2"/>
      <charset val="238"/>
    </font>
    <font>
      <sz val="10"/>
      <color rgb="FFFF00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Arial"/>
      <family val="2"/>
    </font>
    <font>
      <b/>
      <sz val="12"/>
      <color indexed="2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38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7" fillId="8" borderId="30" applyNumberFormat="0" applyAlignment="0" applyProtection="0"/>
    <xf numFmtId="0" fontId="14" fillId="0" borderId="0"/>
    <xf numFmtId="168" fontId="5" fillId="0" borderId="0" applyFont="0" applyFill="0" applyBorder="0" applyAlignment="0" applyProtection="0"/>
    <xf numFmtId="0" fontId="14" fillId="0" borderId="0"/>
    <xf numFmtId="0" fontId="19" fillId="8" borderId="31" applyNumberFormat="0" applyAlignment="0" applyProtection="0"/>
    <xf numFmtId="0" fontId="20" fillId="9" borderId="32" applyNumberForma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</cellStyleXfs>
  <cellXfs count="246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166" fontId="0" fillId="6" borderId="18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5" fillId="4" borderId="17" xfId="0" applyFont="1" applyFill="1" applyBorder="1" applyAlignment="1">
      <alignment vertical="center"/>
    </xf>
    <xf numFmtId="166" fontId="0" fillId="6" borderId="20" xfId="0" applyNumberFormat="1" applyFill="1" applyBorder="1" applyAlignment="1">
      <alignment horizontal="center" vertical="center"/>
    </xf>
    <xf numFmtId="0" fontId="5" fillId="2" borderId="23" xfId="0" applyFont="1" applyFill="1" applyBorder="1" applyAlignment="1">
      <alignment vertical="center"/>
    </xf>
    <xf numFmtId="166" fontId="0" fillId="2" borderId="23" xfId="0" applyNumberFormat="1" applyFill="1" applyBorder="1" applyAlignment="1">
      <alignment horizontal="center" vertical="center"/>
    </xf>
    <xf numFmtId="0" fontId="0" fillId="2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5" fillId="2" borderId="23" xfId="0" applyFont="1" applyFill="1" applyBorder="1" applyAlignment="1">
      <alignment horizontal="left" vertical="center"/>
    </xf>
    <xf numFmtId="165" fontId="0" fillId="2" borderId="2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6" borderId="18" xfId="0" applyNumberFormat="1" applyFill="1" applyBorder="1" applyAlignment="1">
      <alignment horizontal="center" vertical="center"/>
    </xf>
    <xf numFmtId="1" fontId="0" fillId="6" borderId="20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2" borderId="18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5" fillId="2" borderId="0" xfId="0" applyFont="1" applyFill="1" applyBorder="1"/>
    <xf numFmtId="0" fontId="10" fillId="2" borderId="0" xfId="0" applyFont="1" applyFill="1" applyAlignment="1">
      <alignment horizontal="left" vertical="center"/>
    </xf>
    <xf numFmtId="0" fontId="11" fillId="2" borderId="0" xfId="0" applyFont="1" applyFill="1"/>
    <xf numFmtId="0" fontId="9" fillId="2" borderId="0" xfId="0" applyFont="1" applyFill="1" applyAlignment="1">
      <alignment horizontal="right" vertical="center"/>
    </xf>
    <xf numFmtId="164" fontId="8" fillId="2" borderId="3" xfId="0" quotePrefix="1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" fontId="5" fillId="6" borderId="18" xfId="0" applyNumberFormat="1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2" fontId="4" fillId="0" borderId="0" xfId="0" applyNumberFormat="1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5" fillId="2" borderId="0" xfId="0" applyNumberFormat="1" applyFont="1" applyFill="1"/>
    <xf numFmtId="0" fontId="5" fillId="2" borderId="0" xfId="0" applyFont="1" applyFill="1"/>
    <xf numFmtId="0" fontId="0" fillId="2" borderId="24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7" fontId="0" fillId="2" borderId="0" xfId="0" applyNumberFormat="1" applyFill="1"/>
    <xf numFmtId="167" fontId="4" fillId="0" borderId="0" xfId="0" applyNumberFormat="1" applyFont="1" applyFill="1" applyAlignment="1">
      <alignment horizontal="left" vertical="center" wrapText="1"/>
    </xf>
    <xf numFmtId="167" fontId="0" fillId="2" borderId="0" xfId="0" applyNumberFormat="1" applyFill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0" borderId="0" xfId="0" applyFont="1" applyAlignment="1">
      <alignment horizontal="center" vertical="center"/>
    </xf>
    <xf numFmtId="0" fontId="17" fillId="8" borderId="3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14" fillId="0" borderId="0" xfId="4" applyAlignment="1">
      <alignment vertical="center"/>
    </xf>
    <xf numFmtId="0" fontId="14" fillId="0" borderId="6" xfId="2" applyBorder="1"/>
    <xf numFmtId="0" fontId="14" fillId="0" borderId="21" xfId="2" applyBorder="1"/>
    <xf numFmtId="0" fontId="21" fillId="0" borderId="21" xfId="2" applyFont="1" applyBorder="1"/>
    <xf numFmtId="0" fontId="21" fillId="0" borderId="6" xfId="2" applyFont="1" applyBorder="1"/>
    <xf numFmtId="0" fontId="19" fillId="8" borderId="6" xfId="5" applyBorder="1"/>
    <xf numFmtId="0" fontId="19" fillId="8" borderId="33" xfId="5" applyBorder="1"/>
    <xf numFmtId="0" fontId="19" fillId="8" borderId="34" xfId="5" applyBorder="1"/>
    <xf numFmtId="0" fontId="14" fillId="0" borderId="20" xfId="4" applyBorder="1" applyAlignment="1">
      <alignment vertical="center"/>
    </xf>
    <xf numFmtId="0" fontId="14" fillId="0" borderId="25" xfId="4" applyBorder="1" applyAlignment="1">
      <alignment vertical="center"/>
    </xf>
    <xf numFmtId="0" fontId="14" fillId="0" borderId="19" xfId="4" applyBorder="1" applyAlignment="1">
      <alignment vertical="center"/>
    </xf>
    <xf numFmtId="0" fontId="14" fillId="0" borderId="18" xfId="4" applyBorder="1" applyAlignment="1">
      <alignment vertical="center"/>
    </xf>
    <xf numFmtId="0" fontId="14" fillId="0" borderId="0" xfId="4" applyBorder="1" applyAlignment="1">
      <alignment vertical="center"/>
    </xf>
    <xf numFmtId="0" fontId="14" fillId="0" borderId="17" xfId="4" applyBorder="1" applyAlignment="1">
      <alignment vertical="center"/>
    </xf>
    <xf numFmtId="0" fontId="14" fillId="0" borderId="18" xfId="4" applyFont="1" applyBorder="1" applyAlignment="1">
      <alignment horizontal="left" vertical="center"/>
    </xf>
    <xf numFmtId="0" fontId="14" fillId="0" borderId="0" xfId="2" applyBorder="1" applyAlignment="1">
      <alignment vertical="center"/>
    </xf>
    <xf numFmtId="0" fontId="14" fillId="0" borderId="17" xfId="2" applyBorder="1" applyAlignment="1">
      <alignment vertical="center"/>
    </xf>
    <xf numFmtId="0" fontId="14" fillId="0" borderId="0" xfId="2" applyBorder="1" applyAlignment="1">
      <alignment horizontal="right" vertical="center"/>
    </xf>
    <xf numFmtId="0" fontId="14" fillId="0" borderId="17" xfId="2" applyFont="1" applyBorder="1" applyAlignment="1">
      <alignment vertical="center"/>
    </xf>
    <xf numFmtId="0" fontId="14" fillId="0" borderId="0" xfId="2"/>
    <xf numFmtId="0" fontId="21" fillId="0" borderId="0" xfId="2" applyFont="1"/>
    <xf numFmtId="0" fontId="19" fillId="8" borderId="31" xfId="5"/>
    <xf numFmtId="0" fontId="14" fillId="0" borderId="0" xfId="4" applyBorder="1" applyAlignment="1">
      <alignment horizontal="right" vertical="center"/>
    </xf>
    <xf numFmtId="0" fontId="21" fillId="0" borderId="0" xfId="2" applyFont="1" applyFill="1" applyBorder="1"/>
    <xf numFmtId="0" fontId="19" fillId="8" borderId="31" xfId="5" applyProtection="1">
      <protection locked="0"/>
    </xf>
    <xf numFmtId="0" fontId="21" fillId="0" borderId="6" xfId="2" applyFont="1" applyBorder="1" applyProtection="1">
      <protection hidden="1"/>
    </xf>
    <xf numFmtId="0" fontId="19" fillId="11" borderId="31" xfId="5" applyFill="1" applyProtection="1">
      <protection locked="0"/>
    </xf>
    <xf numFmtId="0" fontId="23" fillId="4" borderId="35" xfId="6" applyFont="1" applyFill="1" applyBorder="1"/>
    <xf numFmtId="2" fontId="23" fillId="4" borderId="36" xfId="6" applyNumberFormat="1" applyFont="1" applyFill="1" applyBorder="1" applyProtection="1">
      <protection hidden="1"/>
    </xf>
    <xf numFmtId="0" fontId="23" fillId="4" borderId="37" xfId="6" applyFont="1" applyFill="1" applyBorder="1"/>
    <xf numFmtId="0" fontId="21" fillId="0" borderId="0" xfId="2" applyFont="1" applyProtection="1">
      <protection hidden="1"/>
    </xf>
    <xf numFmtId="1" fontId="23" fillId="4" borderId="36" xfId="6" applyNumberFormat="1" applyFont="1" applyFill="1" applyBorder="1" applyProtection="1">
      <protection hidden="1"/>
    </xf>
    <xf numFmtId="0" fontId="19" fillId="11" borderId="31" xfId="5" applyFill="1"/>
    <xf numFmtId="0" fontId="14" fillId="0" borderId="0" xfId="4" applyFill="1" applyBorder="1" applyAlignment="1">
      <alignment horizontal="centerContinuous" vertical="center"/>
    </xf>
    <xf numFmtId="167" fontId="23" fillId="4" borderId="36" xfId="6" applyNumberFormat="1" applyFont="1" applyFill="1" applyBorder="1" applyProtection="1">
      <protection hidden="1"/>
    </xf>
    <xf numFmtId="0" fontId="18" fillId="0" borderId="0" xfId="4" applyFont="1" applyBorder="1" applyAlignment="1">
      <alignment vertical="center"/>
    </xf>
    <xf numFmtId="0" fontId="18" fillId="0" borderId="18" xfId="4" applyFont="1" applyBorder="1" applyAlignment="1">
      <alignment vertical="center"/>
    </xf>
    <xf numFmtId="2" fontId="19" fillId="8" borderId="31" xfId="5" applyNumberFormat="1"/>
    <xf numFmtId="1" fontId="23" fillId="4" borderId="36" xfId="6" applyNumberFormat="1" applyFont="1" applyFill="1" applyBorder="1" applyAlignment="1" applyProtection="1">
      <alignment horizontal="center"/>
      <protection hidden="1"/>
    </xf>
    <xf numFmtId="169" fontId="23" fillId="4" borderId="36" xfId="3" applyNumberFormat="1" applyFont="1" applyFill="1" applyBorder="1" applyAlignment="1" applyProtection="1">
      <alignment horizontal="right"/>
      <protection hidden="1"/>
    </xf>
    <xf numFmtId="170" fontId="23" fillId="4" borderId="36" xfId="3" applyNumberFormat="1" applyFont="1" applyFill="1" applyBorder="1" applyAlignment="1" applyProtection="1">
      <alignment horizontal="right"/>
      <protection hidden="1"/>
    </xf>
    <xf numFmtId="0" fontId="23" fillId="4" borderId="36" xfId="6" applyFont="1" applyFill="1" applyBorder="1"/>
    <xf numFmtId="2" fontId="23" fillId="4" borderId="36" xfId="6" applyNumberFormat="1" applyFont="1" applyFill="1" applyBorder="1"/>
    <xf numFmtId="0" fontId="23" fillId="4" borderId="36" xfId="6" applyFont="1" applyFill="1" applyBorder="1" applyProtection="1">
      <protection hidden="1"/>
    </xf>
    <xf numFmtId="0" fontId="19" fillId="8" borderId="31" xfId="5" applyAlignment="1">
      <alignment horizontal="center"/>
    </xf>
    <xf numFmtId="0" fontId="19" fillId="8" borderId="31" xfId="5" applyAlignment="1">
      <alignment horizontal="left"/>
    </xf>
    <xf numFmtId="0" fontId="23" fillId="4" borderId="35" xfId="6" applyFont="1" applyFill="1" applyBorder="1" applyAlignment="1">
      <alignment horizontal="center"/>
    </xf>
    <xf numFmtId="0" fontId="23" fillId="4" borderId="36" xfId="6" applyFont="1" applyFill="1" applyBorder="1" applyAlignment="1">
      <alignment horizontal="center"/>
    </xf>
    <xf numFmtId="0" fontId="23" fillId="4" borderId="37" xfId="6" applyFont="1" applyFill="1" applyBorder="1" applyAlignment="1">
      <alignment horizontal="center"/>
    </xf>
    <xf numFmtId="0" fontId="14" fillId="12" borderId="22" xfId="2" applyFont="1" applyFill="1" applyBorder="1" applyAlignment="1">
      <alignment vertical="center"/>
    </xf>
    <xf numFmtId="0" fontId="14" fillId="12" borderId="21" xfId="2" applyFont="1" applyFill="1" applyBorder="1" applyAlignment="1">
      <alignment vertical="center"/>
    </xf>
    <xf numFmtId="0" fontId="14" fillId="0" borderId="21" xfId="2" applyBorder="1" applyAlignment="1">
      <alignment vertical="center"/>
    </xf>
    <xf numFmtId="0" fontId="14" fillId="0" borderId="22" xfId="2" applyFont="1" applyBorder="1" applyAlignment="1">
      <alignment vertical="center"/>
    </xf>
    <xf numFmtId="0" fontId="14" fillId="0" borderId="21" xfId="2" applyFont="1" applyBorder="1" applyAlignment="1">
      <alignment vertical="center"/>
    </xf>
    <xf numFmtId="0" fontId="14" fillId="0" borderId="24" xfId="2" applyFont="1" applyBorder="1" applyAlignment="1">
      <alignment vertical="center"/>
    </xf>
    <xf numFmtId="0" fontId="14" fillId="0" borderId="22" xfId="2" applyNumberFormat="1" applyFont="1" applyBorder="1" applyAlignment="1">
      <alignment vertical="center"/>
    </xf>
    <xf numFmtId="0" fontId="14" fillId="0" borderId="21" xfId="2" applyNumberFormat="1" applyFont="1" applyBorder="1" applyAlignment="1">
      <alignment vertical="center"/>
    </xf>
    <xf numFmtId="0" fontId="14" fillId="0" borderId="0" xfId="4" applyBorder="1" applyAlignment="1">
      <alignment horizontal="center" vertical="center"/>
    </xf>
    <xf numFmtId="0" fontId="14" fillId="2" borderId="0" xfId="0" applyFont="1" applyFill="1"/>
    <xf numFmtId="1" fontId="5" fillId="6" borderId="20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0" fillId="2" borderId="0" xfId="0" applyNumberFormat="1" applyFill="1" applyBorder="1" applyAlignment="1">
      <alignment horizontal="center" vertical="center"/>
    </xf>
    <xf numFmtId="0" fontId="5" fillId="4" borderId="25" xfId="0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0" fillId="2" borderId="18" xfId="0" applyFill="1" applyBorder="1" applyAlignment="1">
      <alignment horizontal="center"/>
    </xf>
    <xf numFmtId="12" fontId="0" fillId="2" borderId="0" xfId="0" applyNumberFormat="1" applyFill="1" applyAlignment="1">
      <alignment vertical="center"/>
    </xf>
    <xf numFmtId="0" fontId="27" fillId="13" borderId="44" xfId="0" applyFont="1" applyFill="1" applyBorder="1" applyAlignment="1">
      <alignment horizontal="center" vertical="center"/>
    </xf>
    <xf numFmtId="0" fontId="27" fillId="13" borderId="45" xfId="0" applyFont="1" applyFill="1" applyBorder="1" applyAlignment="1">
      <alignment horizontal="center" vertical="center"/>
    </xf>
    <xf numFmtId="0" fontId="28" fillId="13" borderId="45" xfId="0" applyFont="1" applyFill="1" applyBorder="1" applyAlignment="1">
      <alignment horizontal="center" vertical="center"/>
    </xf>
    <xf numFmtId="0" fontId="27" fillId="14" borderId="44" xfId="0" applyFont="1" applyFill="1" applyBorder="1" applyAlignment="1">
      <alignment horizontal="center" vertical="center"/>
    </xf>
    <xf numFmtId="0" fontId="27" fillId="14" borderId="45" xfId="0" applyFont="1" applyFill="1" applyBorder="1" applyAlignment="1">
      <alignment horizontal="center" vertical="center"/>
    </xf>
    <xf numFmtId="0" fontId="28" fillId="14" borderId="45" xfId="0" applyFont="1" applyFill="1" applyBorder="1" applyAlignment="1">
      <alignment horizontal="center" vertical="center"/>
    </xf>
    <xf numFmtId="0" fontId="26" fillId="14" borderId="44" xfId="0" applyFont="1" applyFill="1" applyBorder="1" applyAlignment="1">
      <alignment horizontal="center" vertical="center"/>
    </xf>
    <xf numFmtId="0" fontId="28" fillId="13" borderId="44" xfId="0" applyFont="1" applyFill="1" applyBorder="1" applyAlignment="1">
      <alignment horizontal="center" vertical="center"/>
    </xf>
    <xf numFmtId="0" fontId="28" fillId="14" borderId="44" xfId="0" applyFont="1" applyFill="1" applyBorder="1" applyAlignment="1">
      <alignment horizontal="center" vertical="center"/>
    </xf>
    <xf numFmtId="0" fontId="28" fillId="13" borderId="46" xfId="0" applyFont="1" applyFill="1" applyBorder="1" applyAlignment="1">
      <alignment horizontal="center" vertical="center"/>
    </xf>
    <xf numFmtId="0" fontId="28" fillId="13" borderId="47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15" fillId="7" borderId="29" xfId="0" applyFont="1" applyFill="1" applyBorder="1" applyAlignment="1">
      <alignment horizontal="center" vertical="center"/>
    </xf>
    <xf numFmtId="0" fontId="15" fillId="7" borderId="43" xfId="0" applyFont="1" applyFill="1" applyBorder="1" applyAlignment="1">
      <alignment horizontal="center" vertical="center"/>
    </xf>
    <xf numFmtId="0" fontId="14" fillId="0" borderId="18" xfId="4" applyBorder="1" applyAlignment="1">
      <alignment horizontal="center" vertical="center"/>
    </xf>
    <xf numFmtId="0" fontId="14" fillId="0" borderId="0" xfId="4"/>
    <xf numFmtId="0" fontId="13" fillId="2" borderId="0" xfId="0" applyFont="1" applyFill="1" applyAlignment="1">
      <alignment vertical="center"/>
    </xf>
    <xf numFmtId="2" fontId="0" fillId="2" borderId="18" xfId="0" applyNumberFormat="1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167" fontId="0" fillId="2" borderId="18" xfId="0" applyNumberFormat="1" applyFill="1" applyBorder="1" applyAlignment="1">
      <alignment horizontal="center"/>
    </xf>
    <xf numFmtId="167" fontId="0" fillId="2" borderId="20" xfId="0" applyNumberForma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5" fillId="0" borderId="0" xfId="0" quotePrefix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7" fillId="8" borderId="0" xfId="1" applyBorder="1" applyAlignment="1">
      <alignment horizontal="center" vertical="center"/>
    </xf>
    <xf numFmtId="1" fontId="5" fillId="6" borderId="6" xfId="0" applyNumberFormat="1" applyFont="1" applyFill="1" applyBorder="1" applyAlignment="1">
      <alignment horizontal="center" vertical="center"/>
    </xf>
    <xf numFmtId="0" fontId="14" fillId="0" borderId="0" xfId="0" applyFont="1"/>
    <xf numFmtId="1" fontId="14" fillId="2" borderId="20" xfId="0" applyNumberFormat="1" applyFont="1" applyFill="1" applyBorder="1" applyAlignment="1">
      <alignment horizontal="center" vertical="center"/>
    </xf>
    <xf numFmtId="0" fontId="14" fillId="0" borderId="0" xfId="4"/>
    <xf numFmtId="0" fontId="30" fillId="0" borderId="0" xfId="0" applyFont="1" applyAlignment="1">
      <alignment horizontal="center" vertical="center"/>
    </xf>
    <xf numFmtId="10" fontId="27" fillId="13" borderId="45" xfId="0" applyNumberFormat="1" applyFont="1" applyFill="1" applyBorder="1" applyAlignment="1">
      <alignment horizontal="center" vertical="center"/>
    </xf>
    <xf numFmtId="10" fontId="27" fillId="14" borderId="45" xfId="0" applyNumberFormat="1" applyFont="1" applyFill="1" applyBorder="1" applyAlignment="1">
      <alignment horizontal="center" vertical="center"/>
    </xf>
    <xf numFmtId="0" fontId="1" fillId="18" borderId="48" xfId="10" applyBorder="1" applyAlignment="1">
      <alignment horizontal="center"/>
    </xf>
    <xf numFmtId="0" fontId="1" fillId="17" borderId="48" xfId="9" applyFont="1" applyBorder="1" applyAlignment="1">
      <alignment horizontal="center"/>
    </xf>
    <xf numFmtId="0" fontId="1" fillId="16" borderId="48" xfId="8" applyBorder="1" applyAlignment="1">
      <alignment horizontal="center"/>
    </xf>
    <xf numFmtId="0" fontId="1" fillId="20" borderId="48" xfId="12" applyBorder="1" applyAlignment="1">
      <alignment horizontal="center"/>
    </xf>
    <xf numFmtId="0" fontId="18" fillId="0" borderId="0" xfId="0" applyFont="1" applyAlignment="1">
      <alignment horizontal="center"/>
    </xf>
    <xf numFmtId="0" fontId="1" fillId="19" borderId="48" xfId="11" applyBorder="1" applyAlignment="1">
      <alignment horizontal="center"/>
    </xf>
    <xf numFmtId="0" fontId="29" fillId="15" borderId="48" xfId="7" applyFont="1" applyBorder="1" applyAlignment="1">
      <alignment horizontal="center"/>
    </xf>
    <xf numFmtId="0" fontId="19" fillId="8" borderId="31" xfId="5" applyAlignment="1">
      <alignment horizontal="center"/>
    </xf>
    <xf numFmtId="0" fontId="5" fillId="4" borderId="17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left" vertical="center"/>
    </xf>
    <xf numFmtId="0" fontId="0" fillId="4" borderId="25" xfId="0" applyFill="1" applyBorder="1" applyAlignment="1">
      <alignment horizontal="left" vertical="center"/>
    </xf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0" fillId="4" borderId="17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14" fillId="0" borderId="0" xfId="4" applyFill="1" applyBorder="1" applyAlignment="1">
      <alignment horizontal="center" vertical="center"/>
    </xf>
    <xf numFmtId="0" fontId="14" fillId="0" borderId="18" xfId="4" applyFill="1" applyBorder="1" applyAlignment="1">
      <alignment horizontal="center" vertical="center"/>
    </xf>
    <xf numFmtId="0" fontId="22" fillId="9" borderId="32" xfId="6" applyFont="1" applyAlignment="1">
      <alignment horizontal="center" vertical="center"/>
    </xf>
    <xf numFmtId="0" fontId="23" fillId="4" borderId="40" xfId="6" applyFont="1" applyFill="1" applyBorder="1" applyAlignment="1">
      <alignment horizontal="center"/>
    </xf>
    <xf numFmtId="0" fontId="23" fillId="4" borderId="39" xfId="6" applyFont="1" applyFill="1" applyBorder="1" applyAlignment="1">
      <alignment horizontal="center"/>
    </xf>
    <xf numFmtId="0" fontId="23" fillId="4" borderId="38" xfId="6" applyFont="1" applyFill="1" applyBorder="1" applyAlignment="1">
      <alignment horizontal="center"/>
    </xf>
    <xf numFmtId="0" fontId="14" fillId="12" borderId="21" xfId="2" applyFont="1" applyFill="1" applyBorder="1" applyAlignment="1">
      <alignment horizontal="left" vertical="center"/>
    </xf>
    <xf numFmtId="0" fontId="14" fillId="12" borderId="24" xfId="2" applyFont="1" applyFill="1" applyBorder="1" applyAlignment="1">
      <alignment horizontal="left" vertical="center"/>
    </xf>
    <xf numFmtId="0" fontId="14" fillId="12" borderId="22" xfId="2" applyFont="1" applyFill="1" applyBorder="1" applyAlignment="1">
      <alignment horizontal="left" vertical="center"/>
    </xf>
    <xf numFmtId="0" fontId="14" fillId="0" borderId="24" xfId="2" applyBorder="1" applyAlignment="1">
      <alignment horizontal="center" vertical="center"/>
    </xf>
    <xf numFmtId="0" fontId="14" fillId="0" borderId="22" xfId="2" applyBorder="1" applyAlignment="1">
      <alignment horizontal="center" vertical="center"/>
    </xf>
    <xf numFmtId="0" fontId="18" fillId="0" borderId="15" xfId="4" applyFont="1" applyBorder="1" applyAlignment="1">
      <alignment horizontal="center" vertical="center"/>
    </xf>
    <xf numFmtId="0" fontId="18" fillId="0" borderId="23" xfId="4" applyFont="1" applyBorder="1" applyAlignment="1">
      <alignment horizontal="center" vertical="center"/>
    </xf>
    <xf numFmtId="0" fontId="18" fillId="0" borderId="16" xfId="4" applyFont="1" applyBorder="1" applyAlignment="1">
      <alignment horizontal="center" vertical="center"/>
    </xf>
    <xf numFmtId="0" fontId="23" fillId="4" borderId="37" xfId="6" applyFont="1" applyFill="1" applyBorder="1" applyAlignment="1">
      <alignment horizontal="center"/>
    </xf>
    <xf numFmtId="0" fontId="23" fillId="4" borderId="36" xfId="6" applyFont="1" applyFill="1" applyBorder="1" applyAlignment="1">
      <alignment horizontal="center"/>
    </xf>
    <xf numFmtId="0" fontId="23" fillId="4" borderId="35" xfId="6" applyFont="1" applyFill="1" applyBorder="1" applyAlignment="1">
      <alignment horizontal="center"/>
    </xf>
    <xf numFmtId="0" fontId="25" fillId="0" borderId="42" xfId="2" applyFont="1" applyBorder="1" applyAlignment="1">
      <alignment horizontal="center" vertical="center"/>
    </xf>
    <xf numFmtId="0" fontId="25" fillId="0" borderId="41" xfId="2" applyFont="1" applyBorder="1" applyAlignment="1">
      <alignment horizontal="center" vertical="center"/>
    </xf>
    <xf numFmtId="0" fontId="24" fillId="10" borderId="42" xfId="2" applyFont="1" applyFill="1" applyBorder="1" applyAlignment="1">
      <alignment horizontal="center" vertical="center"/>
    </xf>
    <xf numFmtId="0" fontId="24" fillId="10" borderId="41" xfId="2" applyFont="1" applyFill="1" applyBorder="1" applyAlignment="1">
      <alignment horizontal="center" vertical="center"/>
    </xf>
    <xf numFmtId="0" fontId="14" fillId="12" borderId="6" xfId="2" applyFont="1" applyFill="1" applyBorder="1" applyAlignment="1">
      <alignment vertical="center"/>
    </xf>
    <xf numFmtId="0" fontId="14" fillId="12" borderId="6" xfId="2" applyFill="1" applyBorder="1" applyAlignment="1">
      <alignment vertical="center"/>
    </xf>
    <xf numFmtId="0" fontId="14" fillId="0" borderId="21" xfId="2" applyBorder="1" applyAlignment="1">
      <alignment horizontal="center" vertical="center"/>
    </xf>
    <xf numFmtId="0" fontId="14" fillId="0" borderId="0" xfId="4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3">
    <cellStyle name="20% - Énfasis1" xfId="7" builtinId="30"/>
    <cellStyle name="20% - Énfasis6" xfId="11" builtinId="50"/>
    <cellStyle name="40% - Énfasis1" xfId="8" builtinId="31"/>
    <cellStyle name="40% - Énfasis2" xfId="9" builtinId="35"/>
    <cellStyle name="40% - Énfasis3" xfId="10" builtinId="39"/>
    <cellStyle name="40% - Énfasis6" xfId="12" builtinId="51"/>
    <cellStyle name="Cálculo" xfId="1" builtinId="22"/>
    <cellStyle name="Celda de comprobación" xfId="6" builtinId="23"/>
    <cellStyle name="Comma 2" xfId="3" xr:uid="{00000000-0005-0000-0000-000008000000}"/>
    <cellStyle name="Normal" xfId="0" builtinId="0"/>
    <cellStyle name="Normal 2" xfId="2" xr:uid="{00000000-0005-0000-0000-00000A000000}"/>
    <cellStyle name="Normal 3" xfId="4" xr:uid="{00000000-0005-0000-0000-00000B000000}"/>
    <cellStyle name="Salida" xfId="5" builtinId="2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fill>
        <patternFill patternType="solid">
          <fgColor theme="0" tint="-0.34998626667073579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7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rgb="FF92D050"/>
        </patternFill>
      </fill>
    </dxf>
    <dxf>
      <font>
        <strike val="0"/>
      </font>
      <fill>
        <patternFill>
          <bgColor rgb="FFFF4B4B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4B4B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4B4B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4B4B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4B4B"/>
        </patternFill>
      </fill>
    </dxf>
    <dxf>
      <fill>
        <patternFill>
          <bgColor rgb="FF92D050"/>
        </patternFill>
      </fill>
    </dxf>
    <dxf>
      <fill>
        <patternFill>
          <bgColor rgb="FFFF4B4B"/>
        </patternFill>
      </fill>
    </dxf>
    <dxf>
      <fill>
        <patternFill>
          <bgColor rgb="FFFF4B4B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4B4B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4B4B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4B4B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114641</xdr:colOff>
      <xdr:row>0</xdr:row>
      <xdr:rowOff>122465</xdr:rowOff>
    </xdr:from>
    <xdr:to>
      <xdr:col>3</xdr:col>
      <xdr:colOff>2122714</xdr:colOff>
      <xdr:row>18</xdr:row>
      <xdr:rowOff>91967</xdr:rowOff>
    </xdr:to>
    <xdr:grpSp>
      <xdr:nvGrpSpPr>
        <xdr:cNvPr id="68" name="Skupina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GrpSpPr/>
      </xdr:nvGrpSpPr>
      <xdr:grpSpPr>
        <a:xfrm>
          <a:off x="114641" y="122465"/>
          <a:ext cx="3258229" cy="3398502"/>
          <a:chOff x="102057" y="1359834"/>
          <a:chExt cx="2304919" cy="1880986"/>
        </a:xfrm>
      </xdr:grpSpPr>
      <xdr:pic>
        <xdr:nvPicPr>
          <xdr:cNvPr id="2" name="Obrázek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248301" y="1359834"/>
            <a:ext cx="1841865" cy="1773331"/>
          </a:xfrm>
          <a:prstGeom prst="rect">
            <a:avLst/>
          </a:prstGeom>
          <a:solidFill>
            <a:srgbClr val="0070C0"/>
          </a:solidFill>
        </xdr:spPr>
      </xdr:pic>
      <xdr:grpSp>
        <xdr:nvGrpSpPr>
          <xdr:cNvPr id="58" name="Skupina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GrpSpPr/>
        </xdr:nvGrpSpPr>
        <xdr:grpSpPr>
          <a:xfrm>
            <a:off x="102057" y="2736693"/>
            <a:ext cx="1173227" cy="504127"/>
            <a:chOff x="102057" y="2792977"/>
            <a:chExt cx="1183924" cy="514060"/>
          </a:xfrm>
        </xdr:grpSpPr>
        <xdr:cxnSp macro="">
          <xdr:nvCxnSpPr>
            <xdr:cNvPr id="6" name="Přímá spojnic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CxnSpPr/>
          </xdr:nvCxnSpPr>
          <xdr:spPr>
            <a:xfrm flipH="1">
              <a:off x="1136683" y="3205304"/>
              <a:ext cx="149298" cy="101733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Přímá spojnic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/>
          </xdr:nvCxnSpPr>
          <xdr:spPr>
            <a:xfrm>
              <a:off x="176788" y="2847954"/>
              <a:ext cx="1029965" cy="40774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Přímá spojnice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 flipH="1">
              <a:off x="102057" y="2792977"/>
              <a:ext cx="149298" cy="101733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9" name="Skupina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GrpSpPr/>
        </xdr:nvGrpSpPr>
        <xdr:grpSpPr>
          <a:xfrm>
            <a:off x="1373859" y="2640068"/>
            <a:ext cx="978974" cy="596572"/>
            <a:chOff x="1384556" y="2693041"/>
            <a:chExt cx="984322" cy="609816"/>
          </a:xfrm>
        </xdr:grpSpPr>
        <xdr:cxnSp macro="">
          <xdr:nvCxnSpPr>
            <xdr:cNvPr id="39" name="Přímá spojnice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CxnSpPr/>
          </xdr:nvCxnSpPr>
          <xdr:spPr>
            <a:xfrm flipH="1">
              <a:off x="1482870" y="2732809"/>
              <a:ext cx="779534" cy="528886"/>
            </a:xfrm>
            <a:prstGeom prst="line">
              <a:avLst/>
            </a:prstGeom>
            <a:ln>
              <a:solidFill>
                <a:srgbClr val="C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Přímá spojnice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CxnSpPr/>
          </xdr:nvCxnSpPr>
          <xdr:spPr>
            <a:xfrm>
              <a:off x="2161709" y="2693041"/>
              <a:ext cx="207169" cy="81611"/>
            </a:xfrm>
            <a:prstGeom prst="line">
              <a:avLst/>
            </a:prstGeom>
            <a:ln>
              <a:solidFill>
                <a:srgbClr val="C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Přímá spojnice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CxnSpPr/>
          </xdr:nvCxnSpPr>
          <xdr:spPr>
            <a:xfrm>
              <a:off x="1384556" y="3218153"/>
              <a:ext cx="207169" cy="84704"/>
            </a:xfrm>
            <a:prstGeom prst="line">
              <a:avLst/>
            </a:prstGeom>
            <a:ln>
              <a:solidFill>
                <a:srgbClr val="C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4" name="Skupina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GrpSpPr/>
        </xdr:nvGrpSpPr>
        <xdr:grpSpPr>
          <a:xfrm>
            <a:off x="2107658" y="1770552"/>
            <a:ext cx="181595" cy="828283"/>
            <a:chOff x="2123042" y="1820259"/>
            <a:chExt cx="181595" cy="852745"/>
          </a:xfrm>
        </xdr:grpSpPr>
        <xdr:cxnSp macro="">
          <xdr:nvCxnSpPr>
            <xdr:cNvPr id="57" name="Přímá spojnice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CxnSpPr/>
          </xdr:nvCxnSpPr>
          <xdr:spPr>
            <a:xfrm flipH="1">
              <a:off x="2123042" y="2672306"/>
              <a:ext cx="181595" cy="69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Přímá spojnice 61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CxnSpPr/>
          </xdr:nvCxnSpPr>
          <xdr:spPr>
            <a:xfrm>
              <a:off x="2213199" y="1820259"/>
              <a:ext cx="0" cy="849914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Přímá spojnice 69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CxnSpPr/>
          </xdr:nvCxnSpPr>
          <xdr:spPr>
            <a:xfrm flipH="1">
              <a:off x="2123042" y="1821691"/>
              <a:ext cx="181595" cy="69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TextovéPole 64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SpPr txBox="1"/>
        </xdr:nvSpPr>
        <xdr:spPr>
          <a:xfrm rot="1320000">
            <a:off x="325244" y="2930753"/>
            <a:ext cx="619057" cy="2347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cs-CZ" sz="1100">
                <a:solidFill>
                  <a:schemeClr val="tx2"/>
                </a:solidFill>
              </a:rPr>
              <a:t>Length</a:t>
            </a:r>
          </a:p>
        </xdr:txBody>
      </xdr:sp>
      <xdr:sp macro="" textlink="">
        <xdr:nvSpPr>
          <xdr:cNvPr id="66" name="TextovéPole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 txBox="1"/>
        </xdr:nvSpPr>
        <xdr:spPr>
          <a:xfrm rot="19500000">
            <a:off x="1651642" y="2851769"/>
            <a:ext cx="619057" cy="240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cs-CZ" sz="1100">
                <a:solidFill>
                  <a:srgbClr val="C00000"/>
                </a:solidFill>
              </a:rPr>
              <a:t>Width</a:t>
            </a:r>
          </a:p>
        </xdr:txBody>
      </xdr:sp>
      <xdr:sp macro="" textlink="">
        <xdr:nvSpPr>
          <xdr:cNvPr id="67" name="TextovéPole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 txBox="1"/>
        </xdr:nvSpPr>
        <xdr:spPr>
          <a:xfrm rot="16200000">
            <a:off x="1984022" y="2085976"/>
            <a:ext cx="599651" cy="2462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cs-CZ" sz="1100"/>
              <a:t>Height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30256</xdr:colOff>
      <xdr:row>0</xdr:row>
      <xdr:rowOff>53975</xdr:rowOff>
    </xdr:from>
    <xdr:ext cx="912495" cy="645795"/>
    <xdr:pic>
      <xdr:nvPicPr>
        <xdr:cNvPr id="2" name="Imagen 1">
          <a:extLst>
            <a:ext uri="{FF2B5EF4-FFF2-40B4-BE49-F238E27FC236}">
              <a16:creationId xmlns:a16="http://schemas.microsoft.com/office/drawing/2014/main" id="{E538D2DC-D390-48C2-9CD3-3B6A293C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6" y="53975"/>
          <a:ext cx="912495" cy="6457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228600</xdr:colOff>
      <xdr:row>53</xdr:row>
      <xdr:rowOff>142875</xdr:rowOff>
    </xdr:from>
    <xdr:ext cx="6285714" cy="733333"/>
    <xdr:pic>
      <xdr:nvPicPr>
        <xdr:cNvPr id="3" name="Imagen 2">
          <a:extLst>
            <a:ext uri="{FF2B5EF4-FFF2-40B4-BE49-F238E27FC236}">
              <a16:creationId xmlns:a16="http://schemas.microsoft.com/office/drawing/2014/main" id="{4B3D914F-D2A7-4A74-9B82-E6F53EE6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8724900"/>
          <a:ext cx="6285714" cy="73333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des\Comu\DOCUMENTACI&#211;%20PPAP\PPAP%20Nou%20format\3037%20-%20Gear%20Overmolded%20-%20Nidec%20Poland\730370001_UNIFICAT%20TOT%20A%20LA%20VERSI&#211;%2000\APQP_3037-01_Inf.00_Engli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urroca/Desktop/XX_APQP_XXXX-00_Inf.00_Engl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HISTORY"/>
      <sheetName val="DATA"/>
      <sheetName val="APQP Index"/>
      <sheetName val="Feasibility Analysis"/>
      <sheetName val="Initial Project Launch Inf"/>
      <sheetName val="Budget List"/>
      <sheetName val="TCO"/>
      <sheetName val="DRAWING CHANGES"/>
      <sheetName val="Project Design Review"/>
      <sheetName val="Automation Design Validation "/>
      <sheetName val="Tool Specifications"/>
      <sheetName val="Tool Design Validation"/>
      <sheetName val="Control Plan Validation"/>
      <sheetName val="Capacity Analysis"/>
      <sheetName val="Equipment Qualification"/>
      <sheetName val="Equipment Qualification_part_2"/>
      <sheetName val="MoldFlow Validation"/>
      <sheetName val="Runner Validation "/>
      <sheetName val="Process Release"/>
      <sheetName val="Project Release"/>
      <sheetName val="SAP Initial Data"/>
      <sheetName val="APQP_3037-01_Inf.00_English"/>
    </sheetNames>
    <sheetDataSet>
      <sheetData sheetId="0">
        <row r="32">
          <cell r="C32">
            <v>730370001</v>
          </cell>
        </row>
        <row r="34">
          <cell r="C34" t="str">
            <v>Assy Drive Shaft</v>
          </cell>
        </row>
        <row r="45">
          <cell r="C45" t="str">
            <v>DELRIN 100 NATURAL</v>
          </cell>
        </row>
        <row r="49">
          <cell r="C49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HISTORY"/>
      <sheetName val="DATA"/>
      <sheetName val="Feasibility Analysis"/>
      <sheetName val="Initial Project Launch Inf"/>
      <sheetName val="Budget List"/>
      <sheetName val="TCO"/>
      <sheetName val="Project List"/>
      <sheetName val="DRAWING CHANGES"/>
      <sheetName val="Project Design Review"/>
      <sheetName val="Automation Design Validation "/>
      <sheetName val="Tool Specifications"/>
      <sheetName val="Tool Design Validation"/>
      <sheetName val="Control Plan Validation"/>
      <sheetName val="Capacity Analysis"/>
      <sheetName val="Equipment Qualification_part_1"/>
      <sheetName val="Equipment Qualification_part_2"/>
      <sheetName val="MoldFlow Validation"/>
      <sheetName val="Runner Validation "/>
      <sheetName val="Process Release"/>
      <sheetName val="Project Release"/>
      <sheetName val="SAP Initial Data"/>
      <sheetName val="PROJECT INDEX"/>
      <sheetName val="XX_APQP_XXXX-00_Inf.00_Engli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ulka2" displayName="Tabulka2" ref="B23:AI126" totalsRowShown="0" headerRowDxfId="58" dataDxfId="57">
  <autoFilter ref="B23:AI126" xr:uid="{00000000-0009-0000-0100-000002000000}"/>
  <tableColumns count="34">
    <tableColumn id="1" xr3:uid="{00000000-0010-0000-0000-000001000000}" name="Plant" dataDxfId="56"/>
    <tableColumn id="2" xr3:uid="{00000000-0010-0000-0000-000002000000}" name="ID" dataDxfId="55"/>
    <tableColumn id="3" xr3:uid="{00000000-0010-0000-0000-000003000000}" name="Machine Description" dataDxfId="54"/>
    <tableColumn id="4" xr3:uid="{00000000-0010-0000-0000-000004000000}" name="Code" dataDxfId="53"/>
    <tableColumn id="5" xr3:uid="{00000000-0010-0000-0000-000005000000}" name="L/D_x000a_Screw" dataDxfId="52"/>
    <tableColumn id="6" xr3:uid="{00000000-0010-0000-0000-000006000000}" name="Screw Type" dataDxfId="51"/>
    <tableColumn id="7" xr3:uid="{00000000-0010-0000-0000-000007000000}" name="R Screw" dataDxfId="50"/>
    <tableColumn id="8" xr3:uid="{00000000-0010-0000-0000-000008000000}" name="Clamping Force" dataDxfId="49"/>
    <tableColumn id="9" xr3:uid="{00000000-0010-0000-0000-000009000000}" name="V [cm3]" dataDxfId="48"/>
    <tableColumn id="10" xr3:uid="{00000000-0010-0000-0000-00000A000000}" name="Weigth" dataDxfId="47"/>
    <tableColumn id="11" xr3:uid="{00000000-0010-0000-0000-00000B000000}" name="Injection Pressure" dataDxfId="46"/>
    <tableColumn id="12" xr3:uid="{00000000-0010-0000-0000-00000C000000}" name="Tool Opening" dataDxfId="45"/>
    <tableColumn id="13" xr3:uid="{00000000-0010-0000-0000-00000D000000}" name="Max Opening" dataDxfId="44"/>
    <tableColumn id="14" xr3:uid="{00000000-0010-0000-0000-00000E000000}" name="Max Length" dataDxfId="43"/>
    <tableColumn id="15" xr3:uid="{00000000-0010-0000-0000-00000F000000}" name="Min Length" dataDxfId="42"/>
    <tableColumn id="16" xr3:uid="{00000000-0010-0000-0000-000010000000}" name="Max_x000a_Width" dataDxfId="41"/>
    <tableColumn id="17" xr3:uid="{00000000-0010-0000-0000-000011000000}" name="Max_x000a_Height" dataDxfId="40"/>
    <tableColumn id="18" xr3:uid="{00000000-0010-0000-0000-000012000000}" name="Column_x000a_Diameter" dataDxfId="39"/>
    <tableColumn id="19" xr3:uid="{00000000-0010-0000-0000-000013000000}" name="Nozzle_x000a_Input" dataDxfId="38"/>
    <tableColumn id="20" xr3:uid="{00000000-0010-0000-0000-000014000000}" name="G" dataDxfId="37"/>
    <tableColumn id="21" xr3:uid="{00000000-0010-0000-0000-000015000000}" name="H" dataDxfId="36"/>
    <tableColumn id="22" xr3:uid="{00000000-0010-0000-0000-000016000000}" name="Noyos" dataDxfId="35"/>
    <tableColumn id="23" xr3:uid="{00000000-0010-0000-0000-000017000000}" name="Robot" dataDxfId="34"/>
    <tableColumn id="24" xr3:uid="{00000000-0010-0000-0000-000018000000}" name="Kistler" dataDxfId="33"/>
    <tableColumn id="26" xr3:uid="{00000000-0010-0000-0000-00001A000000}" name=" " dataDxfId="32"/>
    <tableColumn id="27" xr3:uid="{00000000-0010-0000-0000-00001B000000}" name="Noyos2" dataDxfId="31"/>
    <tableColumn id="28" xr3:uid="{00000000-0010-0000-0000-00001C000000}" name="Robot2" dataDxfId="30">
      <calculatedColumnFormula>IF(AND($K$3="Robot Hand",Tabulka2[[#This Row],[Robot]]&lt;&gt;"R"),"NOK","OK")</calculatedColumnFormula>
    </tableColumn>
    <tableColumn id="29" xr3:uid="{00000000-0010-0000-0000-00001D000000}" name="Clamping Force2" dataDxfId="29">
      <calculatedColumnFormula>IF($W$6&lt;=Tabulka2[[#This Row],[Clamping Force]],"OK","NOK")</calculatedColumnFormula>
    </tableColumn>
    <tableColumn id="30" xr3:uid="{00000000-0010-0000-0000-00001E000000}" name="Tool Fits" dataDxfId="28">
      <calculatedColumnFormula>IF(OR(($G$3&lt;Tabulka2[[#This Row],[Max
Width]]),(AND($G$4&lt;Tabulka2[[#This Row],[Max
Width]],$G$5&lt;Tabulka2[[#This Row],[Max
Height]]))),"OK","NOK")</calculatedColumnFormula>
    </tableColumn>
    <tableColumn id="31" xr3:uid="{00000000-0010-0000-0000-00001F000000}" name="Tool Opening2" dataDxfId="27">
      <calculatedColumnFormula>IF(IF($G$4+$K$4&lt;=Tabulka2[[#This Row],[Max Opening]],"OK","NOK")&amp;IF($G$4&lt;=Tabulka2[[#This Row],[Max Length]],"OK","NOK")="OKOK","OK","NOK")</calculatedColumnFormula>
    </tableColumn>
    <tableColumn id="32" xr3:uid="{00000000-0010-0000-0000-000020000000}" name="Screw Calculation" dataDxfId="26">
      <calculatedColumnFormula>$W$7/Tabulka2[[#This Row],[V '[cm3']]]</calculatedColumnFormula>
    </tableColumn>
    <tableColumn id="33" xr3:uid="{00000000-0010-0000-0000-000021000000}" name="Max Residence Time" dataDxfId="25">
      <calculatedColumnFormula>(Tabulka2[[#This Row],[V '[cm3']]]*2.2*$W$3)/($W$7*60)</calculatedColumnFormula>
    </tableColumn>
    <tableColumn id="34" xr3:uid="{00000000-0010-0000-0000-000022000000}" name="Shots to Clean Screw" dataDxfId="24">
      <calculatedColumnFormula>IF(Tabulka2[[#This Row],[V '[cm3']]]/$W$7&lt;1,"-",Tabulka2[[#This Row],[V '[cm3']]]/$W$7)</calculatedColumnFormula>
    </tableColumn>
    <tableColumn id="35" xr3:uid="{00000000-0010-0000-0000-000023000000}" name="Machine Suitability " dataDxfId="23">
      <calculatedColumnFormula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ulka3" displayName="Tabulka3" ref="L1:R34" totalsRowShown="0" headerRowDxfId="19">
  <tableColumns count="7">
    <tableColumn id="1" xr3:uid="{00000000-0010-0000-0100-000001000000}" name="Melt Temperature Max." dataDxfId="18" dataCellStyle="Normal 2"/>
    <tableColumn id="4" xr3:uid="{00000000-0010-0000-0100-000004000000}" name="Tool Temperature Min." dataDxfId="17" dataCellStyle="Normal 2"/>
    <tableColumn id="3" xr3:uid="{00000000-0010-0000-0100-000003000000}" name="Tool Temperature Max" dataDxfId="16" dataCellStyle="Normal 2"/>
    <tableColumn id="2" xr3:uid="{00000000-0010-0000-0100-000002000000}" name="Max Residence Time (mins)" dataDxfId="15" totalsRowDxfId="14">
      <calculatedColumnFormula>IFERROR(Calculation!O6/Calculation!O9*(1.06/Tabulka3[[#This Row],[Density]])*Calculation!W3,0)</calculatedColumnFormula>
    </tableColumn>
    <tableColumn id="5" xr3:uid="{00000000-0010-0000-0100-000005000000}" name="[tons/cm²]" dataDxfId="13" totalsRowDxfId="12"/>
    <tableColumn id="6" xr3:uid="{00000000-0010-0000-0100-000006000000}" name="Density" dataDxfId="11" totalsRowDxfId="10"/>
    <tableColumn id="8" xr3:uid="{00000000-0010-0000-0100-000008000000}" name="Material tolerance constant" dataDxfId="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ulka4" displayName="Tabulka4" ref="A1:A4" totalsRowShown="0" headerRowDxfId="8" dataDxfId="7">
  <autoFilter ref="A1:A4" xr:uid="{00000000-0009-0000-0100-000004000000}"/>
  <tableColumns count="1">
    <tableColumn id="1" xr3:uid="{00000000-0010-0000-0200-000001000000}" name="Cooling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ulka5" displayName="Tabulka5" ref="C1:C4" totalsRowShown="0" headerRowDxfId="5" dataDxfId="4">
  <autoFilter ref="C1:C4" xr:uid="{00000000-0009-0000-0100-000005000000}"/>
  <tableColumns count="1">
    <tableColumn id="1" xr3:uid="{00000000-0010-0000-0300-000001000000}" name="Robot Hand" dataDxfId="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ulka6" displayName="Tabulka6" ref="E1:E3" totalsRowShown="0" headerRowDxfId="2" dataDxfId="1">
  <autoFilter ref="E1:E3" xr:uid="{00000000-0009-0000-0100-000006000000}"/>
  <tableColumns count="1">
    <tableColumn id="1" xr3:uid="{00000000-0010-0000-0400-000001000000}" name="Kisle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7"/>
  <sheetViews>
    <sheetView workbookViewId="0">
      <selection activeCell="A17" sqref="A17"/>
    </sheetView>
  </sheetViews>
  <sheetFormatPr baseColWidth="10" defaultColWidth="9.140625" defaultRowHeight="12.75" x14ac:dyDescent="0.2"/>
  <sheetData>
    <row r="4" spans="3:10" x14ac:dyDescent="0.2">
      <c r="C4" s="194" t="s">
        <v>334</v>
      </c>
      <c r="D4" s="194"/>
      <c r="E4" s="194"/>
    </row>
    <row r="5" spans="3:10" x14ac:dyDescent="0.2">
      <c r="C5" s="194"/>
      <c r="D5" s="194"/>
      <c r="E5" s="194"/>
    </row>
    <row r="6" spans="3:10" ht="15" x14ac:dyDescent="0.25">
      <c r="C6" s="103" t="s">
        <v>329</v>
      </c>
      <c r="D6" s="103" t="s">
        <v>328</v>
      </c>
      <c r="E6" s="103" t="s">
        <v>327</v>
      </c>
      <c r="J6" s="181"/>
    </row>
    <row r="7" spans="3:10" ht="15" x14ac:dyDescent="0.25">
      <c r="C7" s="103" t="s">
        <v>149</v>
      </c>
      <c r="D7" s="108" t="s">
        <v>293</v>
      </c>
      <c r="E7" s="103"/>
    </row>
    <row r="8" spans="3:10" ht="15" x14ac:dyDescent="0.25">
      <c r="C8" s="103" t="s">
        <v>324</v>
      </c>
      <c r="D8" s="108">
        <v>12.25</v>
      </c>
      <c r="E8" s="103" t="s">
        <v>323</v>
      </c>
    </row>
    <row r="9" spans="3:10" ht="15" x14ac:dyDescent="0.25">
      <c r="C9" s="103" t="s">
        <v>322</v>
      </c>
      <c r="D9" s="108">
        <v>70</v>
      </c>
      <c r="E9" s="103" t="s">
        <v>321</v>
      </c>
    </row>
    <row r="10" spans="3:10" ht="15" x14ac:dyDescent="0.25">
      <c r="C10" s="103" t="s">
        <v>317</v>
      </c>
      <c r="D10" s="108">
        <v>1</v>
      </c>
      <c r="E10" s="103" t="s">
        <v>316</v>
      </c>
    </row>
    <row r="11" spans="3:10" ht="15" x14ac:dyDescent="0.25">
      <c r="C11" s="103"/>
      <c r="D11" s="106">
        <f>0.0000166667*D10</f>
        <v>1.6666700000000001E-5</v>
      </c>
      <c r="E11" s="103" t="s">
        <v>315</v>
      </c>
    </row>
    <row r="12" spans="3:10" ht="15" x14ac:dyDescent="0.25">
      <c r="C12" s="103" t="s">
        <v>314</v>
      </c>
      <c r="D12" s="103">
        <f>D9+273</f>
        <v>343</v>
      </c>
      <c r="E12" s="103" t="s">
        <v>313</v>
      </c>
    </row>
    <row r="13" spans="3:10" ht="15" x14ac:dyDescent="0.25">
      <c r="C13" s="103" t="s">
        <v>312</v>
      </c>
      <c r="D13" s="106">
        <f>'Input Data'!Z2*1</f>
        <v>1.3</v>
      </c>
      <c r="E13" s="103"/>
    </row>
    <row r="14" spans="3:10" ht="15" x14ac:dyDescent="0.25">
      <c r="C14" s="103" t="s">
        <v>311</v>
      </c>
      <c r="D14" s="103">
        <f>2.414*0.01*10^(247.8/(D12-140))</f>
        <v>0.40126097208938927</v>
      </c>
      <c r="E14" s="103" t="s">
        <v>310</v>
      </c>
    </row>
    <row r="15" spans="3:10" ht="15" x14ac:dyDescent="0.25">
      <c r="C15" s="103" t="s">
        <v>309</v>
      </c>
      <c r="D15" s="103">
        <f>D8/1000</f>
        <v>1.225E-2</v>
      </c>
      <c r="E15" s="103" t="s">
        <v>308</v>
      </c>
    </row>
    <row r="16" spans="3:10" ht="15" x14ac:dyDescent="0.25">
      <c r="C16" s="103" t="s">
        <v>307</v>
      </c>
      <c r="D16" s="103">
        <f>IFERROR((4*D11)/(3.1415*(D15^2))*1000,0)</f>
        <v>141.41659236233932</v>
      </c>
      <c r="E16" s="103" t="s">
        <v>306</v>
      </c>
    </row>
    <row r="17" spans="3:5" ht="15" x14ac:dyDescent="0.25">
      <c r="C17" s="103" t="s">
        <v>305</v>
      </c>
      <c r="D17" s="103">
        <f>D16*D15*1000/D14</f>
        <v>4317.2732384567389</v>
      </c>
      <c r="E17" s="103" t="s">
        <v>304</v>
      </c>
    </row>
  </sheetData>
  <mergeCells count="1">
    <mergeCell ref="C4:E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'Input Data'!$L$2:$L$34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I302"/>
  <sheetViews>
    <sheetView zoomScale="80" zoomScaleNormal="80" workbookViewId="0">
      <selection activeCell="AB20" sqref="AB20"/>
    </sheetView>
  </sheetViews>
  <sheetFormatPr baseColWidth="10" defaultColWidth="9.140625" defaultRowHeight="12.75" x14ac:dyDescent="0.2"/>
  <cols>
    <col min="1" max="1" width="2.85546875" style="1" customWidth="1"/>
    <col min="2" max="2" width="9.42578125" style="1" customWidth="1"/>
    <col min="3" max="3" width="6.42578125" style="1" customWidth="1"/>
    <col min="4" max="4" width="32.42578125" style="1" bestFit="1" customWidth="1"/>
    <col min="5" max="5" width="14.42578125" style="1" customWidth="1"/>
    <col min="6" max="6" width="10.42578125" style="1" customWidth="1"/>
    <col min="7" max="7" width="9.7109375" style="1" customWidth="1"/>
    <col min="8" max="8" width="12.5703125" style="1" customWidth="1"/>
    <col min="9" max="9" width="13" style="1" customWidth="1"/>
    <col min="10" max="11" width="10.7109375" style="1" customWidth="1"/>
    <col min="12" max="12" width="12.7109375" style="1" customWidth="1"/>
    <col min="13" max="14" width="12.28515625" style="1" customWidth="1"/>
    <col min="15" max="15" width="10.7109375" style="1" customWidth="1"/>
    <col min="16" max="16" width="10.140625" style="1" customWidth="1"/>
    <col min="17" max="18" width="10.7109375" style="1" customWidth="1"/>
    <col min="19" max="19" width="12.140625" style="1" customWidth="1"/>
    <col min="20" max="22" width="10.7109375" style="1" customWidth="1"/>
    <col min="23" max="23" width="10.140625" style="1" customWidth="1"/>
    <col min="24" max="24" width="10.42578125" style="1" customWidth="1"/>
    <col min="25" max="25" width="18.28515625" style="1" customWidth="1"/>
    <col min="26" max="26" width="0" style="1" hidden="1" customWidth="1"/>
    <col min="27" max="27" width="7.28515625" style="1" customWidth="1"/>
    <col min="28" max="28" width="12.5703125" style="1" customWidth="1"/>
    <col min="29" max="29" width="12.42578125" style="1" customWidth="1"/>
    <col min="30" max="30" width="8.7109375" style="1" bestFit="1" customWidth="1"/>
    <col min="31" max="31" width="22.42578125" style="1" customWidth="1"/>
    <col min="32" max="32" width="14.28515625" style="56" customWidth="1"/>
    <col min="33" max="33" width="17.85546875" style="56" customWidth="1"/>
    <col min="34" max="34" width="13.7109375" style="71" customWidth="1"/>
    <col min="35" max="35" width="13.5703125" style="1" customWidth="1"/>
    <col min="36" max="16384" width="9.140625" style="1"/>
  </cols>
  <sheetData>
    <row r="1" spans="2:32" ht="15" customHeight="1" x14ac:dyDescent="0.2"/>
    <row r="2" spans="2:32" ht="15" customHeight="1" x14ac:dyDescent="0.35">
      <c r="B2" s="35"/>
      <c r="C2" s="36"/>
      <c r="D2" s="34"/>
      <c r="E2" s="199" t="s">
        <v>163</v>
      </c>
      <c r="F2" s="200"/>
      <c r="G2" s="201"/>
      <c r="H2" s="17"/>
      <c r="I2" s="199" t="s">
        <v>199</v>
      </c>
      <c r="J2" s="200"/>
      <c r="K2" s="201"/>
      <c r="L2" s="2"/>
      <c r="M2" s="199" t="s">
        <v>194</v>
      </c>
      <c r="N2" s="200"/>
      <c r="O2" s="201"/>
      <c r="P2" s="2"/>
      <c r="Q2" s="199" t="s">
        <v>214</v>
      </c>
      <c r="R2" s="200"/>
      <c r="S2" s="201"/>
      <c r="T2" s="2"/>
      <c r="U2" s="199" t="s">
        <v>211</v>
      </c>
      <c r="V2" s="200"/>
      <c r="W2" s="201"/>
      <c r="X2" s="2"/>
      <c r="Y2" s="180" t="s">
        <v>432</v>
      </c>
      <c r="AB2" s="204" t="s">
        <v>433</v>
      </c>
      <c r="AC2" s="205"/>
    </row>
    <row r="3" spans="2:32" ht="15" customHeight="1" x14ac:dyDescent="0.2">
      <c r="E3" s="195" t="s">
        <v>157</v>
      </c>
      <c r="F3" s="196"/>
      <c r="G3" s="26">
        <v>446</v>
      </c>
      <c r="H3" s="33" t="s">
        <v>138</v>
      </c>
      <c r="I3" s="216" t="s">
        <v>200</v>
      </c>
      <c r="J3" s="217"/>
      <c r="K3" s="11" t="s">
        <v>177</v>
      </c>
      <c r="L3" s="2"/>
      <c r="M3" s="195" t="s">
        <v>195</v>
      </c>
      <c r="N3" s="196"/>
      <c r="O3" s="28">
        <v>6.91</v>
      </c>
      <c r="P3" s="10" t="s">
        <v>229</v>
      </c>
      <c r="Q3" s="13" t="s">
        <v>149</v>
      </c>
      <c r="R3" s="214" t="s">
        <v>273</v>
      </c>
      <c r="S3" s="215"/>
      <c r="T3" s="2"/>
      <c r="U3" s="195" t="s">
        <v>246</v>
      </c>
      <c r="V3" s="196"/>
      <c r="W3" s="51">
        <v>888</v>
      </c>
      <c r="X3" s="10" t="s">
        <v>145</v>
      </c>
      <c r="Y3" s="101"/>
      <c r="AE3" s="66"/>
      <c r="AF3" s="65"/>
    </row>
    <row r="4" spans="2:32" ht="15" customHeight="1" x14ac:dyDescent="0.2">
      <c r="B4" s="2"/>
      <c r="C4" s="3"/>
      <c r="D4" s="4"/>
      <c r="E4" s="195" t="s">
        <v>189</v>
      </c>
      <c r="F4" s="196"/>
      <c r="G4" s="26">
        <v>499</v>
      </c>
      <c r="H4" s="33" t="s">
        <v>138</v>
      </c>
      <c r="I4" s="197" t="s">
        <v>228</v>
      </c>
      <c r="J4" s="198"/>
      <c r="K4" s="27">
        <v>180</v>
      </c>
      <c r="L4" s="10" t="s">
        <v>138</v>
      </c>
      <c r="M4" s="195" t="s">
        <v>196</v>
      </c>
      <c r="N4" s="196"/>
      <c r="O4" s="28">
        <v>26.54</v>
      </c>
      <c r="P4" s="10" t="s">
        <v>229</v>
      </c>
      <c r="Q4" s="195" t="s">
        <v>141</v>
      </c>
      <c r="R4" s="196"/>
      <c r="S4" s="168">
        <f>'Input Data'!Z3</f>
        <v>1.06</v>
      </c>
      <c r="T4" s="10" t="s">
        <v>415</v>
      </c>
      <c r="U4" s="195" t="s">
        <v>212</v>
      </c>
      <c r="V4" s="196"/>
      <c r="W4" s="51">
        <v>130</v>
      </c>
      <c r="X4" s="10" t="s">
        <v>232</v>
      </c>
      <c r="Y4" s="76" t="s">
        <v>298</v>
      </c>
    </row>
    <row r="5" spans="2:32" ht="15" customHeight="1" x14ac:dyDescent="0.2">
      <c r="E5" s="197" t="s">
        <v>158</v>
      </c>
      <c r="F5" s="198"/>
      <c r="G5" s="27">
        <v>796</v>
      </c>
      <c r="H5" s="18" t="s">
        <v>138</v>
      </c>
      <c r="I5" s="21"/>
      <c r="J5" s="22"/>
      <c r="K5" s="2"/>
      <c r="L5" s="2"/>
      <c r="M5" s="195" t="s">
        <v>409</v>
      </c>
      <c r="N5" s="196"/>
      <c r="O5" s="28">
        <v>12.5</v>
      </c>
      <c r="P5" s="140" t="s">
        <v>229</v>
      </c>
      <c r="Q5" s="197" t="s">
        <v>247</v>
      </c>
      <c r="R5" s="198"/>
      <c r="S5" s="30">
        <f>IFERROR(O6/O9*(1.06/S4)*W3,0)</f>
        <v>2713.2730383769253</v>
      </c>
      <c r="T5" s="10" t="s">
        <v>145</v>
      </c>
      <c r="U5" s="195" t="s">
        <v>435</v>
      </c>
      <c r="V5" s="196"/>
      <c r="W5" s="29">
        <f>IFERROR((O16*K10/10+O15*K12)*'Input Data'!W2,0)</f>
        <v>30.799120000000002</v>
      </c>
      <c r="X5" s="140" t="s">
        <v>232</v>
      </c>
    </row>
    <row r="6" spans="2:32" ht="15" customHeight="1" x14ac:dyDescent="0.2">
      <c r="E6" s="2"/>
      <c r="G6" s="2"/>
      <c r="H6" s="17"/>
      <c r="I6" s="199" t="s">
        <v>204</v>
      </c>
      <c r="J6" s="200"/>
      <c r="K6" s="201"/>
      <c r="L6" s="2"/>
      <c r="M6" s="195" t="s">
        <v>413</v>
      </c>
      <c r="N6" s="196"/>
      <c r="O6" s="28">
        <v>250</v>
      </c>
      <c r="P6" s="140" t="s">
        <v>414</v>
      </c>
      <c r="Q6" s="2"/>
      <c r="R6" s="2"/>
      <c r="S6" s="2"/>
      <c r="T6" s="2"/>
      <c r="U6" s="195" t="s">
        <v>213</v>
      </c>
      <c r="V6" s="196"/>
      <c r="W6" s="52">
        <f>(O16)*'Input Data'!W2</f>
        <v>38.266399999999997</v>
      </c>
      <c r="X6" s="10" t="s">
        <v>232</v>
      </c>
    </row>
    <row r="7" spans="2:32" ht="15" customHeight="1" x14ac:dyDescent="0.2">
      <c r="E7" s="199" t="s">
        <v>161</v>
      </c>
      <c r="F7" s="200"/>
      <c r="G7" s="201"/>
      <c r="H7" s="17"/>
      <c r="I7" s="197" t="s">
        <v>205</v>
      </c>
      <c r="J7" s="198"/>
      <c r="K7" s="27">
        <v>1</v>
      </c>
      <c r="L7" s="10" t="s">
        <v>140</v>
      </c>
      <c r="M7" s="195" t="s">
        <v>195</v>
      </c>
      <c r="N7" s="196"/>
      <c r="O7" s="147">
        <f>IF(K15*S4=0,O3,K15*S4)</f>
        <v>6.91</v>
      </c>
      <c r="P7" s="140" t="s">
        <v>229</v>
      </c>
      <c r="Q7" s="199" t="s">
        <v>224</v>
      </c>
      <c r="R7" s="200"/>
      <c r="S7" s="201"/>
      <c r="T7" s="2"/>
      <c r="U7" s="160" t="s">
        <v>144</v>
      </c>
      <c r="V7" s="161"/>
      <c r="W7" s="182">
        <f>O10/(S4)</f>
        <v>79.504339622641496</v>
      </c>
      <c r="X7" s="10" t="s">
        <v>233</v>
      </c>
    </row>
    <row r="8" spans="2:32" ht="15" customHeight="1" x14ac:dyDescent="0.2">
      <c r="E8" s="206" t="s">
        <v>162</v>
      </c>
      <c r="F8" s="207"/>
      <c r="G8" s="26">
        <v>1</v>
      </c>
      <c r="H8" s="19" t="s">
        <v>140</v>
      </c>
      <c r="I8" s="15"/>
      <c r="J8" s="16"/>
      <c r="K8" s="2"/>
      <c r="L8" s="2"/>
      <c r="M8" s="195" t="s">
        <v>409</v>
      </c>
      <c r="N8" s="196"/>
      <c r="O8" s="29">
        <f>IF(K16*S4=0,O5,K16*S4)</f>
        <v>12.5</v>
      </c>
      <c r="P8" s="10" t="s">
        <v>229</v>
      </c>
      <c r="Q8" s="195" t="s">
        <v>225</v>
      </c>
      <c r="R8" s="196"/>
      <c r="S8" s="32">
        <v>80</v>
      </c>
      <c r="T8" s="10" t="s">
        <v>231</v>
      </c>
      <c r="X8" s="2"/>
    </row>
    <row r="9" spans="2:32" ht="15" customHeight="1" x14ac:dyDescent="0.2">
      <c r="E9" s="202" t="s">
        <v>159</v>
      </c>
      <c r="F9" s="203"/>
      <c r="G9" s="12" t="s">
        <v>160</v>
      </c>
      <c r="H9" s="20"/>
      <c r="I9" s="199" t="s">
        <v>192</v>
      </c>
      <c r="J9" s="200"/>
      <c r="K9" s="201"/>
      <c r="L9" s="2"/>
      <c r="M9" s="195" t="s">
        <v>197</v>
      </c>
      <c r="N9" s="196"/>
      <c r="O9" s="29">
        <f>(O3*K10)+(O4*K11)</f>
        <v>81.819999999999993</v>
      </c>
      <c r="P9" s="10" t="s">
        <v>229</v>
      </c>
      <c r="Q9" s="195" t="s">
        <v>226</v>
      </c>
      <c r="R9" s="196"/>
      <c r="S9" s="74">
        <v>2</v>
      </c>
      <c r="T9" s="10" t="s">
        <v>406</v>
      </c>
      <c r="U9" s="199" t="s">
        <v>234</v>
      </c>
      <c r="V9" s="200"/>
      <c r="W9" s="201"/>
    </row>
    <row r="10" spans="2:32" ht="15" customHeight="1" x14ac:dyDescent="0.2">
      <c r="E10" s="2"/>
      <c r="G10" s="2"/>
      <c r="H10" s="2"/>
      <c r="I10" s="195" t="s">
        <v>139</v>
      </c>
      <c r="J10" s="196"/>
      <c r="K10" s="26">
        <v>8</v>
      </c>
      <c r="L10" s="10" t="s">
        <v>140</v>
      </c>
      <c r="M10" s="197" t="s">
        <v>198</v>
      </c>
      <c r="N10" s="198"/>
      <c r="O10" s="30">
        <f>O9*1.03</f>
        <v>84.274599999999992</v>
      </c>
      <c r="P10" s="2" t="s">
        <v>229</v>
      </c>
      <c r="Q10" s="197" t="s">
        <v>227</v>
      </c>
      <c r="R10" s="198"/>
      <c r="S10" s="75">
        <v>3</v>
      </c>
      <c r="T10" s="10" t="s">
        <v>406</v>
      </c>
      <c r="U10" s="162" t="s">
        <v>203</v>
      </c>
      <c r="V10" s="163"/>
      <c r="W10" s="29">
        <f>IFERROR(3.6*O8/W3*S9, 0)</f>
        <v>0.10135135135135136</v>
      </c>
      <c r="X10" s="10" t="s">
        <v>238</v>
      </c>
    </row>
    <row r="11" spans="2:32" ht="15" customHeight="1" x14ac:dyDescent="0.2">
      <c r="E11" s="199" t="s">
        <v>207</v>
      </c>
      <c r="F11" s="200"/>
      <c r="G11" s="201"/>
      <c r="H11" s="2"/>
      <c r="I11" s="195" t="s">
        <v>193</v>
      </c>
      <c r="J11" s="196"/>
      <c r="K11" s="26">
        <v>1</v>
      </c>
      <c r="L11" s="10" t="s">
        <v>140</v>
      </c>
      <c r="Q11" s="2"/>
      <c r="R11" s="2"/>
      <c r="S11" s="2"/>
      <c r="T11" s="2"/>
      <c r="U11" s="162" t="s">
        <v>235</v>
      </c>
      <c r="V11" s="163"/>
      <c r="W11" s="29">
        <f>IFERROR(3.6*O8/W3*S10, 0)</f>
        <v>0.15202702702702703</v>
      </c>
      <c r="X11" s="10" t="s">
        <v>238</v>
      </c>
    </row>
    <row r="12" spans="2:32" ht="15" customHeight="1" x14ac:dyDescent="0.2">
      <c r="E12" s="197" t="s">
        <v>206</v>
      </c>
      <c r="F12" s="198"/>
      <c r="G12" s="14" t="s">
        <v>171</v>
      </c>
      <c r="H12" s="2"/>
      <c r="I12" s="197" t="s">
        <v>436</v>
      </c>
      <c r="J12" s="198"/>
      <c r="K12" s="27">
        <v>2</v>
      </c>
      <c r="L12" s="2"/>
      <c r="M12" s="199" t="s">
        <v>209</v>
      </c>
      <c r="N12" s="200"/>
      <c r="O12" s="201"/>
      <c r="P12" s="2"/>
      <c r="Q12" s="199" t="s">
        <v>420</v>
      </c>
      <c r="R12" s="200"/>
      <c r="S12" s="201"/>
      <c r="T12" s="2"/>
      <c r="U12" s="162" t="s">
        <v>151</v>
      </c>
      <c r="V12" s="163"/>
      <c r="W12" s="32"/>
      <c r="X12" s="10" t="s">
        <v>238</v>
      </c>
    </row>
    <row r="13" spans="2:32" ht="15" customHeight="1" x14ac:dyDescent="0.2">
      <c r="L13" s="148"/>
      <c r="M13" s="195" t="s">
        <v>195</v>
      </c>
      <c r="N13" s="196"/>
      <c r="O13" s="26">
        <f>10.68*100</f>
        <v>1068</v>
      </c>
      <c r="P13" s="10" t="s">
        <v>230</v>
      </c>
      <c r="Q13" s="195" t="s">
        <v>421</v>
      </c>
      <c r="R13" s="196"/>
      <c r="S13" s="173">
        <f>IFERROR((3600/W3)*K10,0)</f>
        <v>32.432432432432435</v>
      </c>
      <c r="T13" s="142" t="s">
        <v>140</v>
      </c>
      <c r="U13" s="162" t="s">
        <v>236</v>
      </c>
      <c r="V13" s="163"/>
      <c r="W13" s="29">
        <f>O9*3.4/W3</f>
        <v>0.31327477477477478</v>
      </c>
      <c r="X13" s="10" t="s">
        <v>239</v>
      </c>
      <c r="AB13" s="76"/>
    </row>
    <row r="14" spans="2:32" ht="15" customHeight="1" x14ac:dyDescent="0.2">
      <c r="E14" s="199" t="s">
        <v>426</v>
      </c>
      <c r="F14" s="200"/>
      <c r="G14" s="201"/>
      <c r="I14" s="199" t="s">
        <v>407</v>
      </c>
      <c r="J14" s="200"/>
      <c r="K14" s="201"/>
      <c r="M14" s="195" t="s">
        <v>196</v>
      </c>
      <c r="N14" s="196"/>
      <c r="O14" s="26">
        <f>38*100</f>
        <v>3800</v>
      </c>
      <c r="P14" s="10" t="s">
        <v>230</v>
      </c>
      <c r="Q14" s="195" t="s">
        <v>422</v>
      </c>
      <c r="R14" s="196"/>
      <c r="S14" s="173">
        <f>S13*8</f>
        <v>259.45945945945948</v>
      </c>
      <c r="T14" s="142" t="s">
        <v>140</v>
      </c>
      <c r="U14" s="162" t="s">
        <v>236</v>
      </c>
      <c r="V14" s="163"/>
      <c r="W14" s="29">
        <f>W7*3.4/W3</f>
        <v>0.30440850756416793</v>
      </c>
      <c r="X14" s="10" t="s">
        <v>167</v>
      </c>
    </row>
    <row r="15" spans="2:32" ht="15" customHeight="1" x14ac:dyDescent="0.2">
      <c r="E15" s="195" t="s">
        <v>427</v>
      </c>
      <c r="F15" s="196"/>
      <c r="G15" s="171">
        <f>((3.6/W3)*O9)</f>
        <v>0.33170270270270269</v>
      </c>
      <c r="H15" s="140" t="s">
        <v>238</v>
      </c>
      <c r="I15" s="13" t="s">
        <v>408</v>
      </c>
      <c r="J15" s="146"/>
      <c r="K15" s="51"/>
      <c r="L15" s="10" t="s">
        <v>233</v>
      </c>
      <c r="M15" s="195" t="s">
        <v>409</v>
      </c>
      <c r="N15" s="196"/>
      <c r="O15" s="26">
        <v>30</v>
      </c>
      <c r="P15" s="10" t="s">
        <v>230</v>
      </c>
      <c r="Q15" s="195" t="s">
        <v>423</v>
      </c>
      <c r="R15" s="196"/>
      <c r="S15" s="173">
        <f>S13*24</f>
        <v>778.37837837837844</v>
      </c>
      <c r="T15" s="142" t="s">
        <v>140</v>
      </c>
      <c r="U15" s="162" t="s">
        <v>237</v>
      </c>
      <c r="V15" s="163"/>
      <c r="W15" s="53">
        <f>W16*(S4/1000)</f>
        <v>0</v>
      </c>
      <c r="X15" s="10" t="s">
        <v>239</v>
      </c>
    </row>
    <row r="16" spans="2:32" ht="15" customHeight="1" x14ac:dyDescent="0.2">
      <c r="E16" s="195" t="s">
        <v>428</v>
      </c>
      <c r="F16" s="196"/>
      <c r="G16" s="171">
        <f>G15*8</f>
        <v>2.6536216216216215</v>
      </c>
      <c r="H16" s="142" t="s">
        <v>238</v>
      </c>
      <c r="I16" s="145" t="s">
        <v>434</v>
      </c>
      <c r="J16" s="144"/>
      <c r="K16" s="141"/>
      <c r="L16" s="10" t="s">
        <v>233</v>
      </c>
      <c r="M16" s="197" t="s">
        <v>210</v>
      </c>
      <c r="N16" s="198"/>
      <c r="O16" s="31">
        <f>(O13*K10)+(O14*K11)</f>
        <v>12344</v>
      </c>
      <c r="P16" s="10" t="s">
        <v>230</v>
      </c>
      <c r="Q16" s="195" t="s">
        <v>424</v>
      </c>
      <c r="R16" s="196"/>
      <c r="S16" s="173">
        <f>S13*6000</f>
        <v>194594.59459459462</v>
      </c>
      <c r="T16" s="142" t="s">
        <v>140</v>
      </c>
      <c r="U16" s="164" t="s">
        <v>237</v>
      </c>
      <c r="V16" s="165"/>
      <c r="W16" s="30"/>
      <c r="X16" s="10" t="s">
        <v>167</v>
      </c>
    </row>
    <row r="17" spans="2:35" ht="15" customHeight="1" x14ac:dyDescent="0.2">
      <c r="E17" s="197" t="s">
        <v>429</v>
      </c>
      <c r="F17" s="198"/>
      <c r="G17" s="172">
        <f>G15*24</f>
        <v>7.960864864864865</v>
      </c>
      <c r="H17" s="142" t="s">
        <v>238</v>
      </c>
      <c r="O17" s="170"/>
      <c r="P17" s="2"/>
      <c r="Q17" s="197" t="s">
        <v>425</v>
      </c>
      <c r="R17" s="198"/>
      <c r="S17" s="174">
        <f>IFERROR(W3*100/60/K10, " ")</f>
        <v>185</v>
      </c>
      <c r="T17" s="142" t="s">
        <v>430</v>
      </c>
      <c r="U17" s="18"/>
      <c r="V17" s="81"/>
      <c r="W17" s="143"/>
      <c r="X17" s="10"/>
    </row>
    <row r="18" spans="2:35" ht="15" customHeight="1" x14ac:dyDescent="0.2">
      <c r="H18" s="2"/>
      <c r="I18" s="209" t="s">
        <v>240</v>
      </c>
      <c r="J18" s="209"/>
      <c r="K18" s="209"/>
      <c r="L18" s="209"/>
      <c r="M18" s="208" t="s">
        <v>302</v>
      </c>
      <c r="N18" s="208"/>
      <c r="O18" s="208"/>
      <c r="P18" s="2"/>
      <c r="Q18" s="2"/>
      <c r="R18" s="2"/>
      <c r="S18" s="2"/>
      <c r="T18" s="2"/>
      <c r="U18" s="18"/>
      <c r="V18" s="81"/>
      <c r="W18" s="143"/>
      <c r="X18" s="10"/>
    </row>
    <row r="19" spans="2:35" ht="15" customHeight="1" x14ac:dyDescent="0.2">
      <c r="H19" s="2"/>
      <c r="I19" s="209"/>
      <c r="J19" s="209"/>
      <c r="K19" s="209"/>
      <c r="L19" s="209"/>
      <c r="M19" s="208"/>
      <c r="N19" s="208"/>
      <c r="O19" s="208"/>
    </row>
    <row r="20" spans="2:35" s="6" customFormat="1" ht="20.100000000000001" customHeight="1" x14ac:dyDescent="0.2">
      <c r="I20" s="209"/>
      <c r="J20" s="209"/>
      <c r="K20" s="209"/>
      <c r="L20" s="209"/>
      <c r="M20" s="208"/>
      <c r="N20" s="208"/>
      <c r="O20" s="208"/>
    </row>
    <row r="21" spans="2:35" s="5" customFormat="1" ht="30" customHeight="1" x14ac:dyDescent="0.2"/>
    <row r="22" spans="2:35" s="6" customFormat="1" ht="18" x14ac:dyDescent="0.2">
      <c r="B22" s="210" t="s">
        <v>179</v>
      </c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2"/>
      <c r="AA22" s="210" t="s">
        <v>166</v>
      </c>
      <c r="AB22" s="211"/>
      <c r="AC22" s="211"/>
      <c r="AD22" s="211"/>
      <c r="AE22" s="211"/>
      <c r="AF22" s="211"/>
      <c r="AG22" s="211"/>
      <c r="AH22" s="211"/>
      <c r="AI22" s="213"/>
    </row>
    <row r="23" spans="2:35" s="6" customFormat="1" ht="25.5" x14ac:dyDescent="0.2">
      <c r="B23" s="58" t="s">
        <v>172</v>
      </c>
      <c r="C23" s="58" t="s">
        <v>175</v>
      </c>
      <c r="D23" s="59" t="s">
        <v>173</v>
      </c>
      <c r="E23" s="59" t="s">
        <v>174</v>
      </c>
      <c r="F23" s="60" t="s">
        <v>187</v>
      </c>
      <c r="G23" s="60" t="s">
        <v>153</v>
      </c>
      <c r="H23" s="58" t="s">
        <v>188</v>
      </c>
      <c r="I23" s="60" t="s">
        <v>146</v>
      </c>
      <c r="J23" s="58" t="s">
        <v>180</v>
      </c>
      <c r="K23" s="58" t="s">
        <v>176</v>
      </c>
      <c r="L23" s="60" t="s">
        <v>256</v>
      </c>
      <c r="M23" s="60" t="s">
        <v>248</v>
      </c>
      <c r="N23" s="60" t="s">
        <v>255</v>
      </c>
      <c r="O23" s="60" t="s">
        <v>253</v>
      </c>
      <c r="P23" s="60" t="s">
        <v>254</v>
      </c>
      <c r="Q23" s="60" t="s">
        <v>181</v>
      </c>
      <c r="R23" s="60" t="s">
        <v>182</v>
      </c>
      <c r="S23" s="60" t="s">
        <v>183</v>
      </c>
      <c r="T23" s="60" t="s">
        <v>184</v>
      </c>
      <c r="U23" s="58" t="s">
        <v>48</v>
      </c>
      <c r="V23" s="58" t="s">
        <v>49</v>
      </c>
      <c r="W23" s="58" t="s">
        <v>147</v>
      </c>
      <c r="X23" s="58" t="s">
        <v>178</v>
      </c>
      <c r="Y23" s="61" t="s">
        <v>169</v>
      </c>
      <c r="Z23" s="8" t="s">
        <v>261</v>
      </c>
      <c r="AA23" s="9" t="s">
        <v>257</v>
      </c>
      <c r="AB23" s="9" t="s">
        <v>258</v>
      </c>
      <c r="AC23" s="9" t="s">
        <v>259</v>
      </c>
      <c r="AD23" s="9" t="s">
        <v>249</v>
      </c>
      <c r="AE23" s="9" t="s">
        <v>260</v>
      </c>
      <c r="AF23" s="57" t="s">
        <v>250</v>
      </c>
      <c r="AG23" s="57" t="s">
        <v>247</v>
      </c>
      <c r="AH23" s="72" t="s">
        <v>251</v>
      </c>
      <c r="AI23" s="9" t="s">
        <v>252</v>
      </c>
    </row>
    <row r="24" spans="2:35" s="6" customFormat="1" x14ac:dyDescent="0.2">
      <c r="B24" s="62" t="s">
        <v>143</v>
      </c>
      <c r="C24" s="62">
        <v>1</v>
      </c>
      <c r="D24" s="62" t="s">
        <v>56</v>
      </c>
      <c r="E24" s="62" t="s">
        <v>75</v>
      </c>
      <c r="F24" s="62">
        <v>24</v>
      </c>
      <c r="G24" s="62"/>
      <c r="H24" s="62">
        <v>25</v>
      </c>
      <c r="I24" s="62">
        <v>50</v>
      </c>
      <c r="J24" s="62">
        <v>54</v>
      </c>
      <c r="K24" s="62">
        <v>49</v>
      </c>
      <c r="L24" s="62">
        <v>2500</v>
      </c>
      <c r="M24" s="62"/>
      <c r="N24" s="62">
        <v>575</v>
      </c>
      <c r="O24" s="62">
        <v>0</v>
      </c>
      <c r="P24" s="62">
        <v>225</v>
      </c>
      <c r="Q24" s="62">
        <v>320</v>
      </c>
      <c r="R24" s="62">
        <v>320</v>
      </c>
      <c r="S24" s="62">
        <v>45</v>
      </c>
      <c r="T24" s="62">
        <v>40</v>
      </c>
      <c r="U24" s="62" t="s">
        <v>50</v>
      </c>
      <c r="V24" s="62" t="s">
        <v>50</v>
      </c>
      <c r="W24" s="62">
        <v>0</v>
      </c>
      <c r="X24" s="63" t="s">
        <v>148</v>
      </c>
      <c r="Y24" s="64" t="s">
        <v>156</v>
      </c>
      <c r="AA24" s="7"/>
      <c r="AB24" s="6" t="str">
        <f>IF(AND($K$3="Robot Hand",Tabulka2[[#This Row],[Robot]]&lt;&gt;"R"),"NOK","OK")</f>
        <v>NOK</v>
      </c>
      <c r="AC24" s="6" t="str">
        <f>IF($W$6&lt;=Tabulka2[[#This Row],[Clamping Force]],"OK","NOK")</f>
        <v>OK</v>
      </c>
      <c r="AD24" s="6" t="str">
        <f>IF(OR(($G$3&lt;Tabulka2[[#This Row],[Max
Width]]),(AND($G$4&lt;Tabulka2[[#This Row],[Max
Width]],$G$5&lt;Tabulka2[[#This Row],[Max
Height]]))),"OK","NOK")</f>
        <v>NOK</v>
      </c>
      <c r="AE24" s="6" t="str">
        <f>IF(IF($G$4+$K$4&lt;=Tabulka2[[#This Row],[Max Opening]],"OK","NOK")&amp;IF($G$4&lt;=Tabulka2[[#This Row],[Max Length]],"OK","NOK")="OKOK","OK","NOK")</f>
        <v>NOK</v>
      </c>
      <c r="AF24" s="54">
        <f>$W$7/Tabulka2[[#This Row],[V '[cm3']]]</f>
        <v>1.4723025856044722</v>
      </c>
      <c r="AG24" s="55">
        <f>(Tabulka2[[#This Row],[V '[cm3']]]*2.2*$W$3)/($W$7*60)</f>
        <v>22.115019234739773</v>
      </c>
      <c r="AH24" s="73" t="str">
        <f>IF(Tabulka2[[#This Row],[V '[cm3']]]/$W$7&lt;1,"-",Tabulka2[[#This Row],[V '[cm3']]]/$W$7)</f>
        <v>-</v>
      </c>
      <c r="AI2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25" spans="2:35" s="6" customFormat="1" x14ac:dyDescent="0.2">
      <c r="B25" s="62" t="s">
        <v>143</v>
      </c>
      <c r="C25" s="62">
        <v>2</v>
      </c>
      <c r="D25" s="62" t="s">
        <v>67</v>
      </c>
      <c r="E25" s="62" t="s">
        <v>87</v>
      </c>
      <c r="F25" s="62">
        <v>20</v>
      </c>
      <c r="G25" s="62"/>
      <c r="H25" s="62">
        <v>30</v>
      </c>
      <c r="I25" s="62">
        <v>50</v>
      </c>
      <c r="J25" s="62">
        <v>106</v>
      </c>
      <c r="K25" s="62">
        <v>94</v>
      </c>
      <c r="L25" s="62">
        <v>1990</v>
      </c>
      <c r="M25" s="62"/>
      <c r="N25" s="62">
        <v>610</v>
      </c>
      <c r="O25" s="62">
        <v>0</v>
      </c>
      <c r="P25" s="62">
        <v>210</v>
      </c>
      <c r="Q25" s="62">
        <v>355</v>
      </c>
      <c r="R25" s="62">
        <v>355</v>
      </c>
      <c r="S25" s="62">
        <v>50</v>
      </c>
      <c r="T25" s="62">
        <v>40</v>
      </c>
      <c r="U25" s="62" t="s">
        <v>50</v>
      </c>
      <c r="V25" s="62" t="s">
        <v>50</v>
      </c>
      <c r="W25" s="62">
        <v>1</v>
      </c>
      <c r="X25" s="62" t="s">
        <v>148</v>
      </c>
      <c r="Y25" s="64" t="s">
        <v>168</v>
      </c>
      <c r="AB25" s="6" t="str">
        <f>IF(AND($K$3="Robot Hand",Tabulka2[[#This Row],[Robot]]&lt;&gt;"R"),"NOK","OK")</f>
        <v>NOK</v>
      </c>
      <c r="AC25" s="6" t="str">
        <f>IF($W$6&lt;=Tabulka2[[#This Row],[Clamping Force]],"OK","NOK")</f>
        <v>OK</v>
      </c>
      <c r="AD25" s="6" t="str">
        <f>IF(OR(($G$3&lt;Tabulka2[[#This Row],[Max
Width]]),(AND($G$4&lt;Tabulka2[[#This Row],[Max
Width]],$G$5&lt;Tabulka2[[#This Row],[Max
Height]]))),"OK","NOK")</f>
        <v>NOK</v>
      </c>
      <c r="AE25" s="6" t="str">
        <f>IF(IF($G$4+$K$4&lt;=Tabulka2[[#This Row],[Max Opening]],"OK","NOK")&amp;IF($G$4&lt;=Tabulka2[[#This Row],[Max Length]],"OK","NOK")="OKOK","OK","NOK")</f>
        <v>NOK</v>
      </c>
      <c r="AF25" s="54">
        <f>$W$7/Tabulka2[[#This Row],[V '[cm3']]]</f>
        <v>0.75004093983624054</v>
      </c>
      <c r="AG25" s="55">
        <f>(Tabulka2[[#This Row],[V '[cm3']]]*2.2*$W$3)/($W$7*60)</f>
        <v>43.410963683007701</v>
      </c>
      <c r="AH25" s="73">
        <f>IF(Tabulka2[[#This Row],[V '[cm3']]]/$W$7&lt;1,"-",Tabulka2[[#This Row],[V '[cm3']]]/$W$7)</f>
        <v>1.3332605553749293</v>
      </c>
      <c r="AI2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26" spans="2:35" s="6" customFormat="1" x14ac:dyDescent="0.2">
      <c r="B26" s="62" t="s">
        <v>143</v>
      </c>
      <c r="C26" s="62">
        <v>3</v>
      </c>
      <c r="D26" s="62" t="s">
        <v>67</v>
      </c>
      <c r="E26" s="62" t="s">
        <v>88</v>
      </c>
      <c r="F26" s="62">
        <v>20</v>
      </c>
      <c r="G26" s="62"/>
      <c r="H26" s="62">
        <v>30</v>
      </c>
      <c r="I26" s="62">
        <v>50</v>
      </c>
      <c r="J26" s="62">
        <v>106</v>
      </c>
      <c r="K26" s="62">
        <v>94</v>
      </c>
      <c r="L26" s="62">
        <v>1990</v>
      </c>
      <c r="M26" s="62"/>
      <c r="N26" s="62">
        <v>610</v>
      </c>
      <c r="O26" s="62">
        <v>0</v>
      </c>
      <c r="P26" s="62">
        <v>210</v>
      </c>
      <c r="Q26" s="62">
        <v>355</v>
      </c>
      <c r="R26" s="62">
        <v>355</v>
      </c>
      <c r="S26" s="62">
        <v>50</v>
      </c>
      <c r="T26" s="62">
        <v>40</v>
      </c>
      <c r="U26" s="62" t="s">
        <v>50</v>
      </c>
      <c r="V26" s="62" t="s">
        <v>50</v>
      </c>
      <c r="W26" s="62">
        <v>0</v>
      </c>
      <c r="X26" s="62" t="s">
        <v>148</v>
      </c>
      <c r="Y26" s="64" t="s">
        <v>156</v>
      </c>
      <c r="AB26" s="6" t="str">
        <f>IF(AND($K$3="Robot Hand",Tabulka2[[#This Row],[Robot]]&lt;&gt;"R"),"NOK","OK")</f>
        <v>NOK</v>
      </c>
      <c r="AC26" s="6" t="str">
        <f>IF($W$6&lt;=Tabulka2[[#This Row],[Clamping Force]],"OK","NOK")</f>
        <v>OK</v>
      </c>
      <c r="AD26" s="6" t="str">
        <f>IF(OR(($G$3&lt;Tabulka2[[#This Row],[Max
Width]]),(AND($G$4&lt;Tabulka2[[#This Row],[Max
Width]],$G$5&lt;Tabulka2[[#This Row],[Max
Height]]))),"OK","NOK")</f>
        <v>NOK</v>
      </c>
      <c r="AE26" s="6" t="str">
        <f>IF(IF($G$4+$K$4&lt;=Tabulka2[[#This Row],[Max Opening]],"OK","NOK")&amp;IF($G$4&lt;=Tabulka2[[#This Row],[Max Length]],"OK","NOK")="OKOK","OK","NOK")</f>
        <v>NOK</v>
      </c>
      <c r="AF26" s="54">
        <f>$W$7/Tabulka2[[#This Row],[V '[cm3']]]</f>
        <v>0.75004093983624054</v>
      </c>
      <c r="AG26" s="55">
        <f>(Tabulka2[[#This Row],[V '[cm3']]]*2.2*$W$3)/($W$7*60)</f>
        <v>43.410963683007701</v>
      </c>
      <c r="AH26" s="73">
        <f>IF(Tabulka2[[#This Row],[V '[cm3']]]/$W$7&lt;1,"-",Tabulka2[[#This Row],[V '[cm3']]]/$W$7)</f>
        <v>1.3332605553749293</v>
      </c>
      <c r="AI2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27" spans="2:35" s="6" customFormat="1" x14ac:dyDescent="0.2">
      <c r="B27" s="62" t="s">
        <v>143</v>
      </c>
      <c r="C27" s="62">
        <v>4</v>
      </c>
      <c r="D27" s="62" t="s">
        <v>51</v>
      </c>
      <c r="E27" s="62" t="s">
        <v>44</v>
      </c>
      <c r="F27" s="62">
        <v>20</v>
      </c>
      <c r="G27" s="62"/>
      <c r="H27" s="62">
        <v>25</v>
      </c>
      <c r="I27" s="62">
        <v>60</v>
      </c>
      <c r="J27" s="62">
        <v>49</v>
      </c>
      <c r="K27" s="62">
        <v>45</v>
      </c>
      <c r="L27" s="62">
        <v>2240</v>
      </c>
      <c r="M27" s="62"/>
      <c r="N27" s="62">
        <v>750</v>
      </c>
      <c r="O27" s="62">
        <v>0</v>
      </c>
      <c r="P27" s="62">
        <v>250</v>
      </c>
      <c r="Q27" s="62">
        <v>370</v>
      </c>
      <c r="R27" s="62">
        <v>370</v>
      </c>
      <c r="S27" s="62">
        <v>60</v>
      </c>
      <c r="T27" s="62">
        <v>40</v>
      </c>
      <c r="U27" s="62" t="s">
        <v>50</v>
      </c>
      <c r="V27" s="62" t="s">
        <v>50</v>
      </c>
      <c r="W27" s="62">
        <v>0</v>
      </c>
      <c r="X27" s="62" t="s">
        <v>148</v>
      </c>
      <c r="Y27" s="64" t="s">
        <v>168</v>
      </c>
      <c r="AB27" s="6" t="str">
        <f>IF(AND($K$3="Robot Hand",Tabulka2[[#This Row],[Robot]]&lt;&gt;"R"),"NOK","OK")</f>
        <v>NOK</v>
      </c>
      <c r="AC27" s="6" t="str">
        <f>IF($W$6&lt;=Tabulka2[[#This Row],[Clamping Force]],"OK","NOK")</f>
        <v>OK</v>
      </c>
      <c r="AD27" s="6" t="str">
        <f>IF(OR(($G$3&lt;Tabulka2[[#This Row],[Max
Width]]),(AND($G$4&lt;Tabulka2[[#This Row],[Max
Width]],$G$5&lt;Tabulka2[[#This Row],[Max
Height]]))),"OK","NOK")</f>
        <v>NOK</v>
      </c>
      <c r="AE27" s="6" t="str">
        <f>IF(IF($G$4+$K$4&lt;=Tabulka2[[#This Row],[Max Opening]],"OK","NOK")&amp;IF($G$4&lt;=Tabulka2[[#This Row],[Max Length]],"OK","NOK")="OKOK","OK","NOK")</f>
        <v>NOK</v>
      </c>
      <c r="AF27" s="54">
        <f>$W$7/Tabulka2[[#This Row],[V '[cm3']]]</f>
        <v>1.6225375433192142</v>
      </c>
      <c r="AG27" s="55">
        <f>(Tabulka2[[#This Row],[V '[cm3']]]*2.2*$W$3)/($W$7*60)</f>
        <v>20.067332268560165</v>
      </c>
      <c r="AH27" s="73" t="str">
        <f>IF(Tabulka2[[#This Row],[V '[cm3']]]/$W$7&lt;1,"-",Tabulka2[[#This Row],[V '[cm3']]]/$W$7)</f>
        <v>-</v>
      </c>
      <c r="AI2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28" spans="2:35" s="6" customFormat="1" x14ac:dyDescent="0.2">
      <c r="B28" s="62" t="s">
        <v>143</v>
      </c>
      <c r="C28" s="62">
        <v>5</v>
      </c>
      <c r="D28" s="62" t="s">
        <v>52</v>
      </c>
      <c r="E28" s="62" t="s">
        <v>45</v>
      </c>
      <c r="F28" s="62">
        <v>23.3</v>
      </c>
      <c r="G28" s="62"/>
      <c r="H28" s="62">
        <v>30</v>
      </c>
      <c r="I28" s="62">
        <v>60</v>
      </c>
      <c r="J28" s="62">
        <v>106</v>
      </c>
      <c r="K28" s="62">
        <v>97</v>
      </c>
      <c r="L28" s="62">
        <v>2470</v>
      </c>
      <c r="M28" s="62"/>
      <c r="N28" s="62">
        <v>750</v>
      </c>
      <c r="O28" s="62">
        <v>0</v>
      </c>
      <c r="P28" s="62">
        <v>250</v>
      </c>
      <c r="Q28" s="62">
        <v>370</v>
      </c>
      <c r="R28" s="62">
        <v>370</v>
      </c>
      <c r="S28" s="62">
        <v>60</v>
      </c>
      <c r="T28" s="62">
        <v>40</v>
      </c>
      <c r="U28" s="62" t="s">
        <v>50</v>
      </c>
      <c r="V28" s="62" t="s">
        <v>50</v>
      </c>
      <c r="W28" s="62">
        <v>1</v>
      </c>
      <c r="X28" s="63" t="s">
        <v>152</v>
      </c>
      <c r="Y28" s="64"/>
      <c r="AB28" s="6" t="str">
        <f>IF(AND($K$3="Robot Hand",Tabulka2[[#This Row],[Robot]]&lt;&gt;"R"),"NOK","OK")</f>
        <v>OK</v>
      </c>
      <c r="AC28" s="6" t="str">
        <f>IF($W$6&lt;=Tabulka2[[#This Row],[Clamping Force]],"OK","NOK")</f>
        <v>OK</v>
      </c>
      <c r="AD28" s="6" t="str">
        <f>IF(OR(($G$3&lt;Tabulka2[[#This Row],[Max
Width]]),(AND($G$4&lt;Tabulka2[[#This Row],[Max
Width]],$G$5&lt;Tabulka2[[#This Row],[Max
Height]]))),"OK","NOK")</f>
        <v>NOK</v>
      </c>
      <c r="AE28" s="6" t="str">
        <f>IF(IF($G$4+$K$4&lt;=Tabulka2[[#This Row],[Max Opening]],"OK","NOK")&amp;IF($G$4&lt;=Tabulka2[[#This Row],[Max Length]],"OK","NOK")="OKOK","OK","NOK")</f>
        <v>NOK</v>
      </c>
      <c r="AF28" s="54">
        <f>$W$7/Tabulka2[[#This Row],[V '[cm3']]]</f>
        <v>0.75004093983624054</v>
      </c>
      <c r="AG28" s="55">
        <f>(Tabulka2[[#This Row],[V '[cm3']]]*2.2*$W$3)/($W$7*60)</f>
        <v>43.410963683007701</v>
      </c>
      <c r="AH28" s="73">
        <f>IF(Tabulka2[[#This Row],[V '[cm3']]]/$W$7&lt;1,"-",Tabulka2[[#This Row],[V '[cm3']]]/$W$7)</f>
        <v>1.3332605553749293</v>
      </c>
      <c r="AI2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29" spans="2:35" s="6" customFormat="1" x14ac:dyDescent="0.2">
      <c r="B29" s="62" t="s">
        <v>143</v>
      </c>
      <c r="C29" s="62">
        <v>6</v>
      </c>
      <c r="D29" s="62" t="s">
        <v>52</v>
      </c>
      <c r="E29" s="62" t="s">
        <v>46</v>
      </c>
      <c r="F29" s="62">
        <v>23.3</v>
      </c>
      <c r="G29" s="62"/>
      <c r="H29" s="62">
        <v>30</v>
      </c>
      <c r="I29" s="62">
        <v>60</v>
      </c>
      <c r="J29" s="62">
        <v>106</v>
      </c>
      <c r="K29" s="62">
        <v>97</v>
      </c>
      <c r="L29" s="62">
        <v>2470</v>
      </c>
      <c r="M29" s="62"/>
      <c r="N29" s="62">
        <v>750</v>
      </c>
      <c r="O29" s="62">
        <v>0</v>
      </c>
      <c r="P29" s="62">
        <v>250</v>
      </c>
      <c r="Q29" s="62">
        <v>370</v>
      </c>
      <c r="R29" s="62">
        <v>370</v>
      </c>
      <c r="S29" s="62">
        <v>60</v>
      </c>
      <c r="T29" s="62">
        <v>40</v>
      </c>
      <c r="U29" s="62" t="s">
        <v>50</v>
      </c>
      <c r="V29" s="62" t="s">
        <v>50</v>
      </c>
      <c r="W29" s="62">
        <v>0</v>
      </c>
      <c r="X29" s="62" t="s">
        <v>152</v>
      </c>
      <c r="Y29" s="64"/>
      <c r="AB29" s="6" t="str">
        <f>IF(AND($K$3="Robot Hand",Tabulka2[[#This Row],[Robot]]&lt;&gt;"R"),"NOK","OK")</f>
        <v>OK</v>
      </c>
      <c r="AC29" s="6" t="str">
        <f>IF($W$6&lt;=Tabulka2[[#This Row],[Clamping Force]],"OK","NOK")</f>
        <v>OK</v>
      </c>
      <c r="AD29" s="6" t="str">
        <f>IF(OR(($G$3&lt;Tabulka2[[#This Row],[Max
Width]]),(AND($G$4&lt;Tabulka2[[#This Row],[Max
Width]],$G$5&lt;Tabulka2[[#This Row],[Max
Height]]))),"OK","NOK")</f>
        <v>NOK</v>
      </c>
      <c r="AE29" s="6" t="str">
        <f>IF(IF($G$4+$K$4&lt;=Tabulka2[[#This Row],[Max Opening]],"OK","NOK")&amp;IF($G$4&lt;=Tabulka2[[#This Row],[Max Length]],"OK","NOK")="OKOK","OK","NOK")</f>
        <v>NOK</v>
      </c>
      <c r="AF29" s="54">
        <f>$W$7/Tabulka2[[#This Row],[V '[cm3']]]</f>
        <v>0.75004093983624054</v>
      </c>
      <c r="AG29" s="55">
        <f>(Tabulka2[[#This Row],[V '[cm3']]]*2.2*$W$3)/($W$7*60)</f>
        <v>43.410963683007701</v>
      </c>
      <c r="AH29" s="73">
        <f>IF(Tabulka2[[#This Row],[V '[cm3']]]/$W$7&lt;1,"-",Tabulka2[[#This Row],[V '[cm3']]]/$W$7)</f>
        <v>1.3332605553749293</v>
      </c>
      <c r="AI2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0" spans="2:35" s="6" customFormat="1" x14ac:dyDescent="0.2">
      <c r="B30" s="62" t="s">
        <v>143</v>
      </c>
      <c r="C30" s="62">
        <v>7</v>
      </c>
      <c r="D30" s="62" t="s">
        <v>52</v>
      </c>
      <c r="E30" s="62" t="s">
        <v>47</v>
      </c>
      <c r="F30" s="62">
        <v>23.3</v>
      </c>
      <c r="G30" s="62"/>
      <c r="H30" s="62">
        <v>30</v>
      </c>
      <c r="I30" s="62">
        <v>60</v>
      </c>
      <c r="J30" s="62">
        <v>106</v>
      </c>
      <c r="K30" s="62">
        <v>97</v>
      </c>
      <c r="L30" s="62">
        <v>2470</v>
      </c>
      <c r="M30" s="62"/>
      <c r="N30" s="62">
        <v>750</v>
      </c>
      <c r="O30" s="62">
        <v>0</v>
      </c>
      <c r="P30" s="62">
        <v>250</v>
      </c>
      <c r="Q30" s="62">
        <v>370</v>
      </c>
      <c r="R30" s="62">
        <v>370</v>
      </c>
      <c r="S30" s="62">
        <v>60</v>
      </c>
      <c r="T30" s="62">
        <v>40</v>
      </c>
      <c r="U30" s="62" t="s">
        <v>50</v>
      </c>
      <c r="V30" s="62" t="s">
        <v>50</v>
      </c>
      <c r="W30" s="62">
        <v>0</v>
      </c>
      <c r="X30" s="62" t="s">
        <v>148</v>
      </c>
      <c r="Y30" s="64"/>
      <c r="AB30" s="6" t="str">
        <f>IF(AND($K$3="Robot Hand",Tabulka2[[#This Row],[Robot]]&lt;&gt;"R"),"NOK","OK")</f>
        <v>NOK</v>
      </c>
      <c r="AC30" s="6" t="str">
        <f>IF($W$6&lt;=Tabulka2[[#This Row],[Clamping Force]],"OK","NOK")</f>
        <v>OK</v>
      </c>
      <c r="AD30" s="6" t="str">
        <f>IF(OR(($G$3&lt;Tabulka2[[#This Row],[Max
Width]]),(AND($G$4&lt;Tabulka2[[#This Row],[Max
Width]],$G$5&lt;Tabulka2[[#This Row],[Max
Height]]))),"OK","NOK")</f>
        <v>NOK</v>
      </c>
      <c r="AE30" s="6" t="str">
        <f>IF(IF($G$4+$K$4&lt;=Tabulka2[[#This Row],[Max Opening]],"OK","NOK")&amp;IF($G$4&lt;=Tabulka2[[#This Row],[Max Length]],"OK","NOK")="OKOK","OK","NOK")</f>
        <v>NOK</v>
      </c>
      <c r="AF30" s="54">
        <f>$W$7/Tabulka2[[#This Row],[V '[cm3']]]</f>
        <v>0.75004093983624054</v>
      </c>
      <c r="AG30" s="55">
        <f>(Tabulka2[[#This Row],[V '[cm3']]]*2.2*$W$3)/($W$7*60)</f>
        <v>43.410963683007701</v>
      </c>
      <c r="AH30" s="73">
        <f>IF(Tabulka2[[#This Row],[V '[cm3']]]/$W$7&lt;1,"-",Tabulka2[[#This Row],[V '[cm3']]]/$W$7)</f>
        <v>1.3332605553749293</v>
      </c>
      <c r="AI3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1" spans="2:35" s="6" customFormat="1" x14ac:dyDescent="0.2">
      <c r="B31" s="62" t="s">
        <v>143</v>
      </c>
      <c r="C31" s="62">
        <v>8</v>
      </c>
      <c r="D31" s="62" t="s">
        <v>53</v>
      </c>
      <c r="E31" s="62" t="s">
        <v>42</v>
      </c>
      <c r="F31" s="62">
        <v>20</v>
      </c>
      <c r="G31" s="62"/>
      <c r="H31" s="62">
        <v>40</v>
      </c>
      <c r="I31" s="62">
        <v>100</v>
      </c>
      <c r="J31" s="62">
        <v>182</v>
      </c>
      <c r="K31" s="62">
        <v>166</v>
      </c>
      <c r="L31" s="62">
        <v>2120</v>
      </c>
      <c r="M31" s="62"/>
      <c r="N31" s="62">
        <v>750</v>
      </c>
      <c r="O31" s="62">
        <v>0</v>
      </c>
      <c r="P31" s="62">
        <v>250</v>
      </c>
      <c r="Q31" s="62">
        <v>420</v>
      </c>
      <c r="R31" s="62">
        <v>420</v>
      </c>
      <c r="S31" s="62">
        <v>60</v>
      </c>
      <c r="T31" s="62">
        <v>40</v>
      </c>
      <c r="U31" s="62" t="s">
        <v>50</v>
      </c>
      <c r="V31" s="62" t="s">
        <v>50</v>
      </c>
      <c r="W31" s="62">
        <v>1</v>
      </c>
      <c r="X31" s="62" t="s">
        <v>152</v>
      </c>
      <c r="Y31" s="64"/>
      <c r="AB31" s="6" t="str">
        <f>IF(AND($K$3="Robot Hand",Tabulka2[[#This Row],[Robot]]&lt;&gt;"R"),"NOK","OK")</f>
        <v>OK</v>
      </c>
      <c r="AC31" s="6" t="str">
        <f>IF($W$6&lt;=Tabulka2[[#This Row],[Clamping Force]],"OK","NOK")</f>
        <v>OK</v>
      </c>
      <c r="AD31" s="6" t="str">
        <f>IF(OR(($G$3&lt;Tabulka2[[#This Row],[Max
Width]]),(AND($G$4&lt;Tabulka2[[#This Row],[Max
Width]],$G$5&lt;Tabulka2[[#This Row],[Max
Height]]))),"OK","NOK")</f>
        <v>NOK</v>
      </c>
      <c r="AE31" s="6" t="str">
        <f>IF(IF($G$4+$K$4&lt;=Tabulka2[[#This Row],[Max Opening]],"OK","NOK")&amp;IF($G$4&lt;=Tabulka2[[#This Row],[Max Length]],"OK","NOK")="OKOK","OK","NOK")</f>
        <v>NOK</v>
      </c>
      <c r="AF31" s="54">
        <f>$W$7/Tabulka2[[#This Row],[V '[cm3']]]</f>
        <v>0.43683703089363457</v>
      </c>
      <c r="AG31" s="55">
        <f>(Tabulka2[[#This Row],[V '[cm3']]]*2.2*$W$3)/($W$7*60)</f>
        <v>74.535805568937747</v>
      </c>
      <c r="AH31" s="73">
        <f>IF(Tabulka2[[#This Row],[V '[cm3']]]/$W$7&lt;1,"-",Tabulka2[[#This Row],[V '[cm3']]]/$W$7)</f>
        <v>2.2891832177192182</v>
      </c>
      <c r="AI3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2" spans="2:35" s="6" customFormat="1" x14ac:dyDescent="0.2">
      <c r="B32" s="62" t="s">
        <v>143</v>
      </c>
      <c r="C32" s="62">
        <v>9</v>
      </c>
      <c r="D32" s="62" t="s">
        <v>53</v>
      </c>
      <c r="E32" s="62" t="s">
        <v>43</v>
      </c>
      <c r="F32" s="62">
        <v>20</v>
      </c>
      <c r="G32" s="62"/>
      <c r="H32" s="62">
        <v>40</v>
      </c>
      <c r="I32" s="62">
        <v>100</v>
      </c>
      <c r="J32" s="62">
        <v>182</v>
      </c>
      <c r="K32" s="62">
        <v>166</v>
      </c>
      <c r="L32" s="62">
        <v>2120</v>
      </c>
      <c r="M32" s="62"/>
      <c r="N32" s="62">
        <v>750</v>
      </c>
      <c r="O32" s="62">
        <v>0</v>
      </c>
      <c r="P32" s="62">
        <v>250</v>
      </c>
      <c r="Q32" s="62">
        <v>420</v>
      </c>
      <c r="R32" s="62">
        <v>420</v>
      </c>
      <c r="S32" s="62">
        <v>60</v>
      </c>
      <c r="T32" s="62">
        <v>40</v>
      </c>
      <c r="U32" s="62" t="s">
        <v>50</v>
      </c>
      <c r="V32" s="62" t="s">
        <v>50</v>
      </c>
      <c r="W32" s="62">
        <v>0</v>
      </c>
      <c r="X32" s="62" t="s">
        <v>152</v>
      </c>
      <c r="Y32" s="64"/>
      <c r="AB32" s="6" t="str">
        <f>IF(AND($K$3="Robot Hand",Tabulka2[[#This Row],[Robot]]&lt;&gt;"R"),"NOK","OK")</f>
        <v>OK</v>
      </c>
      <c r="AC32" s="6" t="str">
        <f>IF($W$6&lt;=Tabulka2[[#This Row],[Clamping Force]],"OK","NOK")</f>
        <v>OK</v>
      </c>
      <c r="AD32" s="6" t="str">
        <f>IF(OR(($G$3&lt;Tabulka2[[#This Row],[Max
Width]]),(AND($G$4&lt;Tabulka2[[#This Row],[Max
Width]],$G$5&lt;Tabulka2[[#This Row],[Max
Height]]))),"OK","NOK")</f>
        <v>NOK</v>
      </c>
      <c r="AE32" s="6" t="str">
        <f>IF(IF($G$4+$K$4&lt;=Tabulka2[[#This Row],[Max Opening]],"OK","NOK")&amp;IF($G$4&lt;=Tabulka2[[#This Row],[Max Length]],"OK","NOK")="OKOK","OK","NOK")</f>
        <v>NOK</v>
      </c>
      <c r="AF32" s="54">
        <f>$W$7/Tabulka2[[#This Row],[V '[cm3']]]</f>
        <v>0.43683703089363457</v>
      </c>
      <c r="AG32" s="55">
        <f>(Tabulka2[[#This Row],[V '[cm3']]]*2.2*$W$3)/($W$7*60)</f>
        <v>74.535805568937747</v>
      </c>
      <c r="AH32" s="73">
        <f>IF(Tabulka2[[#This Row],[V '[cm3']]]/$W$7&lt;1,"-",Tabulka2[[#This Row],[V '[cm3']]]/$W$7)</f>
        <v>2.2891832177192182</v>
      </c>
      <c r="AI3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3" spans="2:35" s="6" customFormat="1" x14ac:dyDescent="0.2">
      <c r="B33" s="62" t="s">
        <v>143</v>
      </c>
      <c r="C33" s="62">
        <v>10</v>
      </c>
      <c r="D33" s="62" t="s">
        <v>70</v>
      </c>
      <c r="E33" s="62" t="s">
        <v>76</v>
      </c>
      <c r="F33" s="62">
        <v>20</v>
      </c>
      <c r="G33" s="62"/>
      <c r="H33" s="62">
        <v>40</v>
      </c>
      <c r="I33" s="62">
        <v>100</v>
      </c>
      <c r="J33" s="62">
        <v>231</v>
      </c>
      <c r="K33" s="62">
        <v>205</v>
      </c>
      <c r="L33" s="62">
        <v>2020</v>
      </c>
      <c r="M33" s="62"/>
      <c r="N33" s="62">
        <v>750</v>
      </c>
      <c r="O33" s="62">
        <v>0</v>
      </c>
      <c r="P33" s="62">
        <v>250</v>
      </c>
      <c r="Q33" s="62">
        <v>400</v>
      </c>
      <c r="R33" s="62">
        <v>400</v>
      </c>
      <c r="S33" s="62">
        <v>60</v>
      </c>
      <c r="T33" s="62">
        <v>40</v>
      </c>
      <c r="U33" s="62" t="s">
        <v>50</v>
      </c>
      <c r="V33" s="62" t="s">
        <v>50</v>
      </c>
      <c r="W33" s="62">
        <v>1</v>
      </c>
      <c r="X33" s="62" t="s">
        <v>148</v>
      </c>
      <c r="Y33" s="64"/>
      <c r="AB33" s="6" t="str">
        <f>IF(AND($K$3="Robot Hand",Tabulka2[[#This Row],[Robot]]&lt;&gt;"R"),"NOK","OK")</f>
        <v>NOK</v>
      </c>
      <c r="AC33" s="6" t="str">
        <f>IF($W$6&lt;=Tabulka2[[#This Row],[Clamping Force]],"OK","NOK")</f>
        <v>OK</v>
      </c>
      <c r="AD33" s="6" t="str">
        <f>IF(OR(($G$3&lt;Tabulka2[[#This Row],[Max
Width]]),(AND($G$4&lt;Tabulka2[[#This Row],[Max
Width]],$G$5&lt;Tabulka2[[#This Row],[Max
Height]]))),"OK","NOK")</f>
        <v>NOK</v>
      </c>
      <c r="AE33" s="6" t="str">
        <f>IF(IF($G$4+$K$4&lt;=Tabulka2[[#This Row],[Max Opening]],"OK","NOK")&amp;IF($G$4&lt;=Tabulka2[[#This Row],[Max Length]],"OK","NOK")="OKOK","OK","NOK")</f>
        <v>NOK</v>
      </c>
      <c r="AF33" s="54">
        <f>$W$7/Tabulka2[[#This Row],[V '[cm3']]]</f>
        <v>0.34417463040104546</v>
      </c>
      <c r="AG33" s="55">
        <f>(Tabulka2[[#This Row],[V '[cm3']]]*2.2*$W$3)/($W$7*60)</f>
        <v>94.603137837497925</v>
      </c>
      <c r="AH33" s="73">
        <f>IF(Tabulka2[[#This Row],[V '[cm3']]]/$W$7&lt;1,"-",Tabulka2[[#This Row],[V '[cm3']]]/$W$7)</f>
        <v>2.9055017763359308</v>
      </c>
      <c r="AI3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4" spans="2:35" s="6" customFormat="1" x14ac:dyDescent="0.2">
      <c r="B34" s="62" t="s">
        <v>143</v>
      </c>
      <c r="C34" s="62">
        <v>11</v>
      </c>
      <c r="D34" s="62" t="s">
        <v>70</v>
      </c>
      <c r="E34" s="62" t="s">
        <v>77</v>
      </c>
      <c r="F34" s="62">
        <v>20</v>
      </c>
      <c r="G34" s="62"/>
      <c r="H34" s="62">
        <v>40</v>
      </c>
      <c r="I34" s="62">
        <v>100</v>
      </c>
      <c r="J34" s="62">
        <v>231</v>
      </c>
      <c r="K34" s="62">
        <v>205</v>
      </c>
      <c r="L34" s="62">
        <v>2020</v>
      </c>
      <c r="M34" s="62"/>
      <c r="N34" s="62">
        <v>750</v>
      </c>
      <c r="O34" s="62">
        <v>0</v>
      </c>
      <c r="P34" s="62">
        <v>250</v>
      </c>
      <c r="Q34" s="62">
        <v>400</v>
      </c>
      <c r="R34" s="62">
        <v>400</v>
      </c>
      <c r="S34" s="62">
        <v>60</v>
      </c>
      <c r="T34" s="62">
        <v>40</v>
      </c>
      <c r="U34" s="62" t="s">
        <v>50</v>
      </c>
      <c r="V34" s="62" t="s">
        <v>50</v>
      </c>
      <c r="W34" s="62">
        <v>0</v>
      </c>
      <c r="X34" s="62" t="s">
        <v>148</v>
      </c>
      <c r="Y34" s="64"/>
      <c r="AB34" s="6" t="str">
        <f>IF(AND($K$3="Robot Hand",Tabulka2[[#This Row],[Robot]]&lt;&gt;"R"),"NOK","OK")</f>
        <v>NOK</v>
      </c>
      <c r="AC34" s="6" t="str">
        <f>IF($W$6&lt;=Tabulka2[[#This Row],[Clamping Force]],"OK","NOK")</f>
        <v>OK</v>
      </c>
      <c r="AD34" s="6" t="str">
        <f>IF(OR(($G$3&lt;Tabulka2[[#This Row],[Max
Width]]),(AND($G$4&lt;Tabulka2[[#This Row],[Max
Width]],$G$5&lt;Tabulka2[[#This Row],[Max
Height]]))),"OK","NOK")</f>
        <v>NOK</v>
      </c>
      <c r="AE34" s="6" t="str">
        <f>IF(IF($G$4+$K$4&lt;=Tabulka2[[#This Row],[Max Opening]],"OK","NOK")&amp;IF($G$4&lt;=Tabulka2[[#This Row],[Max Length]],"OK","NOK")="OKOK","OK","NOK")</f>
        <v>NOK</v>
      </c>
      <c r="AF34" s="54">
        <f>$W$7/Tabulka2[[#This Row],[V '[cm3']]]</f>
        <v>0.34417463040104546</v>
      </c>
      <c r="AG34" s="55">
        <f>(Tabulka2[[#This Row],[V '[cm3']]]*2.2*$W$3)/($W$7*60)</f>
        <v>94.603137837497925</v>
      </c>
      <c r="AH34" s="73">
        <f>IF(Tabulka2[[#This Row],[V '[cm3']]]/$W$7&lt;1,"-",Tabulka2[[#This Row],[V '[cm3']]]/$W$7)</f>
        <v>2.9055017763359308</v>
      </c>
      <c r="AI3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5" spans="2:35" s="6" customFormat="1" x14ac:dyDescent="0.2">
      <c r="B35" s="62" t="s">
        <v>143</v>
      </c>
      <c r="C35" s="62">
        <v>12</v>
      </c>
      <c r="D35" s="62" t="s">
        <v>69</v>
      </c>
      <c r="E35" s="62" t="s">
        <v>85</v>
      </c>
      <c r="F35" s="62">
        <v>20</v>
      </c>
      <c r="G35" s="62"/>
      <c r="H35" s="62">
        <v>40</v>
      </c>
      <c r="I35" s="62">
        <v>100</v>
      </c>
      <c r="J35" s="62">
        <v>231</v>
      </c>
      <c r="K35" s="62">
        <v>205</v>
      </c>
      <c r="L35" s="62">
        <v>2020</v>
      </c>
      <c r="M35" s="62"/>
      <c r="N35" s="62">
        <v>750</v>
      </c>
      <c r="O35" s="62">
        <v>0</v>
      </c>
      <c r="P35" s="62">
        <v>250</v>
      </c>
      <c r="Q35" s="62">
        <v>400</v>
      </c>
      <c r="R35" s="62">
        <v>400</v>
      </c>
      <c r="S35" s="62">
        <v>60</v>
      </c>
      <c r="T35" s="62">
        <v>40</v>
      </c>
      <c r="U35" s="62" t="s">
        <v>50</v>
      </c>
      <c r="V35" s="62" t="s">
        <v>50</v>
      </c>
      <c r="W35" s="62">
        <v>2</v>
      </c>
      <c r="X35" s="62" t="s">
        <v>148</v>
      </c>
      <c r="Y35" s="64"/>
      <c r="AB35" s="6" t="str">
        <f>IF(AND($K$3="Robot Hand",Tabulka2[[#This Row],[Robot]]&lt;&gt;"R"),"NOK","OK")</f>
        <v>NOK</v>
      </c>
      <c r="AC35" s="6" t="str">
        <f>IF($W$6&lt;=Tabulka2[[#This Row],[Clamping Force]],"OK","NOK")</f>
        <v>OK</v>
      </c>
      <c r="AD35" s="6" t="str">
        <f>IF(OR(($G$3&lt;Tabulka2[[#This Row],[Max
Width]]),(AND($G$4&lt;Tabulka2[[#This Row],[Max
Width]],$G$5&lt;Tabulka2[[#This Row],[Max
Height]]))),"OK","NOK")</f>
        <v>NOK</v>
      </c>
      <c r="AE35" s="6" t="str">
        <f>IF(IF($G$4+$K$4&lt;=Tabulka2[[#This Row],[Max Opening]],"OK","NOK")&amp;IF($G$4&lt;=Tabulka2[[#This Row],[Max Length]],"OK","NOK")="OKOK","OK","NOK")</f>
        <v>NOK</v>
      </c>
      <c r="AF35" s="54">
        <f>$W$7/Tabulka2[[#This Row],[V '[cm3']]]</f>
        <v>0.34417463040104546</v>
      </c>
      <c r="AG35" s="55">
        <f>(Tabulka2[[#This Row],[V '[cm3']]]*2.2*$W$3)/($W$7*60)</f>
        <v>94.603137837497925</v>
      </c>
      <c r="AH35" s="73">
        <f>IF(Tabulka2[[#This Row],[V '[cm3']]]/$W$7&lt;1,"-",Tabulka2[[#This Row],[V '[cm3']]]/$W$7)</f>
        <v>2.9055017763359308</v>
      </c>
      <c r="AI3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6" spans="2:35" s="6" customFormat="1" x14ac:dyDescent="0.2">
      <c r="B36" s="62" t="s">
        <v>143</v>
      </c>
      <c r="C36" s="62">
        <v>13</v>
      </c>
      <c r="D36" s="62" t="s">
        <v>69</v>
      </c>
      <c r="E36" s="62" t="s">
        <v>86</v>
      </c>
      <c r="F36" s="62">
        <v>20</v>
      </c>
      <c r="G36" s="62"/>
      <c r="H36" s="62">
        <v>40</v>
      </c>
      <c r="I36" s="62">
        <v>100</v>
      </c>
      <c r="J36" s="62">
        <v>231</v>
      </c>
      <c r="K36" s="62">
        <v>205</v>
      </c>
      <c r="L36" s="62">
        <v>2020</v>
      </c>
      <c r="M36" s="62"/>
      <c r="N36" s="62">
        <v>750</v>
      </c>
      <c r="O36" s="62">
        <v>0</v>
      </c>
      <c r="P36" s="62">
        <v>250</v>
      </c>
      <c r="Q36" s="62">
        <v>400</v>
      </c>
      <c r="R36" s="62">
        <v>400</v>
      </c>
      <c r="S36" s="62">
        <v>60</v>
      </c>
      <c r="T36" s="62">
        <v>40</v>
      </c>
      <c r="U36" s="62" t="s">
        <v>50</v>
      </c>
      <c r="V36" s="62" t="s">
        <v>50</v>
      </c>
      <c r="W36" s="62">
        <v>2</v>
      </c>
      <c r="X36" s="62" t="s">
        <v>148</v>
      </c>
      <c r="Y36" s="64"/>
      <c r="AB36" s="6" t="str">
        <f>IF(AND($K$3="Robot Hand",Tabulka2[[#This Row],[Robot]]&lt;&gt;"R"),"NOK","OK")</f>
        <v>NOK</v>
      </c>
      <c r="AC36" s="6" t="str">
        <f>IF($W$6&lt;=Tabulka2[[#This Row],[Clamping Force]],"OK","NOK")</f>
        <v>OK</v>
      </c>
      <c r="AD36" s="6" t="str">
        <f>IF(OR(($G$3&lt;Tabulka2[[#This Row],[Max
Width]]),(AND($G$4&lt;Tabulka2[[#This Row],[Max
Width]],$G$5&lt;Tabulka2[[#This Row],[Max
Height]]))),"OK","NOK")</f>
        <v>NOK</v>
      </c>
      <c r="AE36" s="6" t="str">
        <f>IF(IF($G$4+$K$4&lt;=Tabulka2[[#This Row],[Max Opening]],"OK","NOK")&amp;IF($G$4&lt;=Tabulka2[[#This Row],[Max Length]],"OK","NOK")="OKOK","OK","NOK")</f>
        <v>NOK</v>
      </c>
      <c r="AF36" s="54">
        <f>$W$7/Tabulka2[[#This Row],[V '[cm3']]]</f>
        <v>0.34417463040104546</v>
      </c>
      <c r="AG36" s="55">
        <f>(Tabulka2[[#This Row],[V '[cm3']]]*2.2*$W$3)/($W$7*60)</f>
        <v>94.603137837497925</v>
      </c>
      <c r="AH36" s="73">
        <f>IF(Tabulka2[[#This Row],[V '[cm3']]]/$W$7&lt;1,"-",Tabulka2[[#This Row],[V '[cm3']]]/$W$7)</f>
        <v>2.9055017763359308</v>
      </c>
      <c r="AI3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7" spans="2:35" s="6" customFormat="1" x14ac:dyDescent="0.2">
      <c r="B37" s="62" t="s">
        <v>143</v>
      </c>
      <c r="C37" s="62">
        <v>14</v>
      </c>
      <c r="D37" s="62" t="s">
        <v>79</v>
      </c>
      <c r="E37" s="62" t="s">
        <v>81</v>
      </c>
      <c r="F37" s="62">
        <v>35</v>
      </c>
      <c r="G37" s="62" t="s">
        <v>83</v>
      </c>
      <c r="H37" s="62">
        <v>35</v>
      </c>
      <c r="I37" s="62">
        <v>160</v>
      </c>
      <c r="J37" s="62">
        <v>139</v>
      </c>
      <c r="K37" s="62">
        <v>127</v>
      </c>
      <c r="L37" s="62">
        <v>2500</v>
      </c>
      <c r="M37" s="62" t="s">
        <v>185</v>
      </c>
      <c r="N37" s="62">
        <v>900</v>
      </c>
      <c r="O37" s="62">
        <v>0</v>
      </c>
      <c r="P37" s="62">
        <v>250</v>
      </c>
      <c r="Q37" s="62">
        <v>470</v>
      </c>
      <c r="R37" s="62">
        <v>470</v>
      </c>
      <c r="S37" s="62">
        <v>90</v>
      </c>
      <c r="T37" s="62">
        <v>50</v>
      </c>
      <c r="U37" s="62" t="s">
        <v>50</v>
      </c>
      <c r="V37" s="62" t="s">
        <v>50</v>
      </c>
      <c r="W37" s="62">
        <v>2</v>
      </c>
      <c r="X37" s="62" t="s">
        <v>152</v>
      </c>
      <c r="Y37" s="64"/>
      <c r="AB37" s="6" t="str">
        <f>IF(AND($K$3="Robot Hand",Tabulka2[[#This Row],[Robot]]&lt;&gt;"R"),"NOK","OK")</f>
        <v>OK</v>
      </c>
      <c r="AC37" s="6" t="str">
        <f>IF($W$6&lt;=Tabulka2[[#This Row],[Clamping Force]],"OK","NOK")</f>
        <v>OK</v>
      </c>
      <c r="AD37" s="7" t="str">
        <f>IF(OR(($G$3&lt;Tabulka2[[#This Row],[Max
Width]]),(AND($G$4&lt;Tabulka2[[#This Row],[Max
Width]],$G$5&lt;Tabulka2[[#This Row],[Max
Height]]))),"OK","NOK")</f>
        <v>OK</v>
      </c>
      <c r="AE37" s="6" t="str">
        <f>IF(IF($G$4+$K$4&lt;=Tabulka2[[#This Row],[Max Opening]],"OK","NOK")&amp;IF($G$4&lt;=Tabulka2[[#This Row],[Max Length]],"OK","NOK")="OKOK","OK","NOK")</f>
        <v>NOK</v>
      </c>
      <c r="AF37" s="54">
        <f>$W$7/Tabulka2[[#This Row],[V '[cm3']]]</f>
        <v>0.57197366634993885</v>
      </c>
      <c r="AG37" s="55">
        <f>(Tabulka2[[#This Row],[V '[cm3']]]*2.2*$W$3)/($W$7*60)</f>
        <v>56.925697659793123</v>
      </c>
      <c r="AH37" s="73">
        <f>IF(Tabulka2[[#This Row],[V '[cm3']]]/$W$7&lt;1,"-",Tabulka2[[#This Row],[V '[cm3']]]/$W$7)</f>
        <v>1.7483322377086337</v>
      </c>
      <c r="AI3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8" spans="2:35" s="6" customFormat="1" x14ac:dyDescent="0.2">
      <c r="B38" s="62" t="s">
        <v>143</v>
      </c>
      <c r="C38" s="62">
        <v>15</v>
      </c>
      <c r="D38" s="62" t="s">
        <v>54</v>
      </c>
      <c r="E38" s="62" t="s">
        <v>41</v>
      </c>
      <c r="F38" s="62">
        <v>20</v>
      </c>
      <c r="G38" s="62"/>
      <c r="H38" s="62">
        <v>50</v>
      </c>
      <c r="I38" s="62">
        <v>200</v>
      </c>
      <c r="J38" s="62">
        <v>353</v>
      </c>
      <c r="K38" s="62">
        <v>322</v>
      </c>
      <c r="L38" s="62">
        <v>2080</v>
      </c>
      <c r="M38" s="62"/>
      <c r="N38" s="62">
        <v>950</v>
      </c>
      <c r="O38" s="62">
        <v>0</v>
      </c>
      <c r="P38" s="62">
        <v>300</v>
      </c>
      <c r="Q38" s="62">
        <v>570</v>
      </c>
      <c r="R38" s="62">
        <v>570</v>
      </c>
      <c r="S38" s="62">
        <v>90</v>
      </c>
      <c r="T38" s="62">
        <v>50</v>
      </c>
      <c r="U38" s="62">
        <v>160</v>
      </c>
      <c r="V38" s="62" t="s">
        <v>50</v>
      </c>
      <c r="W38" s="62">
        <v>2</v>
      </c>
      <c r="X38" s="62" t="s">
        <v>152</v>
      </c>
      <c r="Y38" s="64"/>
      <c r="AB38" s="6" t="str">
        <f>IF(AND($K$3="Robot Hand",Tabulka2[[#This Row],[Robot]]&lt;&gt;"R"),"NOK","OK")</f>
        <v>OK</v>
      </c>
      <c r="AC38" s="6" t="str">
        <f>IF($W$6&lt;=Tabulka2[[#This Row],[Clamping Force]],"OK","NOK")</f>
        <v>OK</v>
      </c>
      <c r="AD38" s="6" t="str">
        <f>IF(OR(($G$3&lt;Tabulka2[[#This Row],[Max
Width]]),(AND($G$4&lt;Tabulka2[[#This Row],[Max
Width]],$G$5&lt;Tabulka2[[#This Row],[Max
Height]]))),"OK","NOK")</f>
        <v>OK</v>
      </c>
      <c r="AE38" s="6" t="str">
        <f>IF(IF($G$4+$K$4&lt;=Tabulka2[[#This Row],[Max Opening]],"OK","NOK")&amp;IF($G$4&lt;=Tabulka2[[#This Row],[Max Length]],"OK","NOK")="OKOK","OK","NOK")</f>
        <v>NOK</v>
      </c>
      <c r="AF38" s="54">
        <f>$W$7/Tabulka2[[#This Row],[V '[cm3']]]</f>
        <v>0.22522475813779461</v>
      </c>
      <c r="AG38" s="55">
        <f>(Tabulka2[[#This Row],[V '[cm3']]]*2.2*$W$3)/($W$7*60)</f>
        <v>144.56669981228038</v>
      </c>
      <c r="AH38" s="73">
        <f>IF(Tabulka2[[#This Row],[V '[cm3']]]/$W$7&lt;1,"-",Tabulka2[[#This Row],[V '[cm3']]]/$W$7)</f>
        <v>4.4400092079938682</v>
      </c>
      <c r="AI3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39" spans="2:35" s="6" customFormat="1" x14ac:dyDescent="0.2">
      <c r="B39" s="62" t="s">
        <v>143</v>
      </c>
      <c r="C39" s="62">
        <v>16</v>
      </c>
      <c r="D39" s="62" t="s">
        <v>80</v>
      </c>
      <c r="E39" s="62" t="s">
        <v>82</v>
      </c>
      <c r="F39" s="62">
        <v>23</v>
      </c>
      <c r="G39" s="62"/>
      <c r="H39" s="62">
        <v>45</v>
      </c>
      <c r="I39" s="62">
        <v>200</v>
      </c>
      <c r="J39" s="62">
        <v>318</v>
      </c>
      <c r="K39" s="62">
        <v>291</v>
      </c>
      <c r="L39" s="62">
        <v>2470</v>
      </c>
      <c r="M39" s="62"/>
      <c r="N39" s="62">
        <v>900</v>
      </c>
      <c r="O39" s="62">
        <v>0</v>
      </c>
      <c r="P39" s="62">
        <v>250</v>
      </c>
      <c r="Q39" s="62">
        <v>520</v>
      </c>
      <c r="R39" s="62">
        <v>520</v>
      </c>
      <c r="S39" s="62">
        <v>90</v>
      </c>
      <c r="T39" s="62">
        <v>50</v>
      </c>
      <c r="U39" s="62" t="s">
        <v>50</v>
      </c>
      <c r="V39" s="62" t="s">
        <v>50</v>
      </c>
      <c r="W39" s="62">
        <v>2</v>
      </c>
      <c r="X39" s="62" t="s">
        <v>152</v>
      </c>
      <c r="Y39" s="64"/>
      <c r="AB39" s="6" t="str">
        <f>IF(AND($K$3="Robot Hand",Tabulka2[[#This Row],[Robot]]&lt;&gt;"R"),"NOK","OK")</f>
        <v>OK</v>
      </c>
      <c r="AC39" s="6" t="str">
        <f>IF($W$6&lt;=Tabulka2[[#This Row],[Clamping Force]],"OK","NOK")</f>
        <v>OK</v>
      </c>
      <c r="AD39" s="6" t="str">
        <f>IF(OR(($G$3&lt;Tabulka2[[#This Row],[Max
Width]]),(AND($G$4&lt;Tabulka2[[#This Row],[Max
Width]],$G$5&lt;Tabulka2[[#This Row],[Max
Height]]))),"OK","NOK")</f>
        <v>OK</v>
      </c>
      <c r="AE39" s="6" t="str">
        <f>IF(IF($G$4+$K$4&lt;=Tabulka2[[#This Row],[Max Opening]],"OK","NOK")&amp;IF($G$4&lt;=Tabulka2[[#This Row],[Max Length]],"OK","NOK")="OKOK","OK","NOK")</f>
        <v>NOK</v>
      </c>
      <c r="AF39" s="54">
        <f>$W$7/Tabulka2[[#This Row],[V '[cm3']]]</f>
        <v>0.2500136466120802</v>
      </c>
      <c r="AG39" s="55">
        <f>(Tabulka2[[#This Row],[V '[cm3']]]*2.2*$W$3)/($W$7*60)</f>
        <v>130.2328910490231</v>
      </c>
      <c r="AH39" s="73">
        <f>IF(Tabulka2[[#This Row],[V '[cm3']]]/$W$7&lt;1,"-",Tabulka2[[#This Row],[V '[cm3']]]/$W$7)</f>
        <v>3.9997816661247878</v>
      </c>
      <c r="AI3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40" spans="2:35" s="6" customFormat="1" x14ac:dyDescent="0.2">
      <c r="B40" s="62" t="s">
        <v>143</v>
      </c>
      <c r="C40" s="62">
        <v>17</v>
      </c>
      <c r="D40" s="62" t="s">
        <v>55</v>
      </c>
      <c r="E40" s="62" t="s">
        <v>40</v>
      </c>
      <c r="F40" s="62">
        <v>20</v>
      </c>
      <c r="G40" s="62"/>
      <c r="H40" s="62">
        <v>60</v>
      </c>
      <c r="I40" s="62">
        <v>250</v>
      </c>
      <c r="J40" s="62">
        <v>664</v>
      </c>
      <c r="K40" s="62">
        <v>607</v>
      </c>
      <c r="L40" s="62">
        <v>2000</v>
      </c>
      <c r="M40" s="62"/>
      <c r="N40" s="62">
        <v>1300</v>
      </c>
      <c r="O40" s="62">
        <v>700</v>
      </c>
      <c r="P40" s="62">
        <v>300</v>
      </c>
      <c r="Q40" s="62">
        <v>630</v>
      </c>
      <c r="R40" s="62">
        <v>630</v>
      </c>
      <c r="S40" s="62">
        <v>105</v>
      </c>
      <c r="T40" s="62">
        <v>50</v>
      </c>
      <c r="U40" s="62">
        <v>160</v>
      </c>
      <c r="V40" s="62">
        <v>160</v>
      </c>
      <c r="W40" s="62">
        <v>2</v>
      </c>
      <c r="X40" s="62"/>
      <c r="Y40" s="64"/>
      <c r="AB40" s="6" t="str">
        <f>IF(AND($K$3="Robot Hand",Tabulka2[[#This Row],[Robot]]&lt;&gt;"R"),"NOK","OK")</f>
        <v>NOK</v>
      </c>
      <c r="AC40" s="6" t="str">
        <f>IF($W$6&lt;=Tabulka2[[#This Row],[Clamping Force]],"OK","NOK")</f>
        <v>OK</v>
      </c>
      <c r="AD40" s="6" t="str">
        <f>IF(OR(($G$3&lt;Tabulka2[[#This Row],[Max
Width]]),(AND($G$4&lt;Tabulka2[[#This Row],[Max
Width]],$G$5&lt;Tabulka2[[#This Row],[Max
Height]]))),"OK","NOK")</f>
        <v>OK</v>
      </c>
      <c r="AE40" s="6" t="str">
        <f>IF(IF($G$4+$K$4&lt;=Tabulka2[[#This Row],[Max Opening]],"OK","NOK")&amp;IF($G$4&lt;=Tabulka2[[#This Row],[Max Length]],"OK","NOK")="OKOK","OK","NOK")</f>
        <v>OK</v>
      </c>
      <c r="AF40" s="54">
        <f>$W$7/Tabulka2[[#This Row],[V '[cm3']]]</f>
        <v>0.11973545123891792</v>
      </c>
      <c r="AG40" s="55">
        <f>(Tabulka2[[#This Row],[V '[cm3']]]*2.2*$W$3)/($W$7*60)</f>
        <v>271.93282910865202</v>
      </c>
      <c r="AH40" s="73">
        <f>IF(Tabulka2[[#This Row],[V '[cm3']]]/$W$7&lt;1,"-",Tabulka2[[#This Row],[V '[cm3']]]/$W$7)</f>
        <v>8.3517453657448399</v>
      </c>
      <c r="AI4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41" spans="2:35" s="6" customFormat="1" x14ac:dyDescent="0.2">
      <c r="B41" s="62" t="s">
        <v>143</v>
      </c>
      <c r="C41" s="62">
        <v>18</v>
      </c>
      <c r="D41" s="62" t="s">
        <v>55</v>
      </c>
      <c r="E41" s="62" t="s">
        <v>78</v>
      </c>
      <c r="F41" s="62">
        <v>20</v>
      </c>
      <c r="G41" s="62"/>
      <c r="H41" s="62">
        <v>60</v>
      </c>
      <c r="I41" s="62">
        <v>250</v>
      </c>
      <c r="J41" s="62">
        <v>664</v>
      </c>
      <c r="K41" s="62">
        <v>607</v>
      </c>
      <c r="L41" s="62">
        <v>2000</v>
      </c>
      <c r="M41" s="62"/>
      <c r="N41" s="62">
        <v>1300</v>
      </c>
      <c r="O41" s="62">
        <v>700</v>
      </c>
      <c r="P41" s="62">
        <v>300</v>
      </c>
      <c r="Q41" s="62">
        <v>630</v>
      </c>
      <c r="R41" s="62">
        <v>630</v>
      </c>
      <c r="S41" s="62">
        <v>105</v>
      </c>
      <c r="T41" s="62">
        <v>50</v>
      </c>
      <c r="U41" s="62">
        <v>160</v>
      </c>
      <c r="V41" s="62">
        <v>160</v>
      </c>
      <c r="W41" s="62">
        <v>2</v>
      </c>
      <c r="X41" s="62" t="s">
        <v>152</v>
      </c>
      <c r="Y41" s="64"/>
      <c r="AB41" s="6" t="str">
        <f>IF(AND($K$3="Robot Hand",Tabulka2[[#This Row],[Robot]]&lt;&gt;"R"),"NOK","OK")</f>
        <v>OK</v>
      </c>
      <c r="AC41" s="6" t="str">
        <f>IF($W$6&lt;=Tabulka2[[#This Row],[Clamping Force]],"OK","NOK")</f>
        <v>OK</v>
      </c>
      <c r="AD41" s="6" t="str">
        <f>IF(OR(($G$3&lt;Tabulka2[[#This Row],[Max
Width]]),(AND($G$4&lt;Tabulka2[[#This Row],[Max
Width]],$G$5&lt;Tabulka2[[#This Row],[Max
Height]]))),"OK","NOK")</f>
        <v>OK</v>
      </c>
      <c r="AE41" s="6" t="str">
        <f>IF(IF($G$4+$K$4&lt;=Tabulka2[[#This Row],[Max Opening]],"OK","NOK")&amp;IF($G$4&lt;=Tabulka2[[#This Row],[Max Length]],"OK","NOK")="OKOK","OK","NOK")</f>
        <v>OK</v>
      </c>
      <c r="AF41" s="54">
        <f>$W$7/Tabulka2[[#This Row],[V '[cm3']]]</f>
        <v>0.11973545123891792</v>
      </c>
      <c r="AG41" s="55">
        <f>(Tabulka2[[#This Row],[V '[cm3']]]*2.2*$W$3)/($W$7*60)</f>
        <v>271.93282910865202</v>
      </c>
      <c r="AH41" s="73">
        <f>IF(Tabulka2[[#This Row],[V '[cm3']]]/$W$7&lt;1,"-",Tabulka2[[#This Row],[V '[cm3']]]/$W$7)</f>
        <v>8.3517453657448399</v>
      </c>
      <c r="AI4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42" spans="2:35" s="6" customFormat="1" x14ac:dyDescent="0.2">
      <c r="B42" s="62" t="s">
        <v>143</v>
      </c>
      <c r="C42" s="62">
        <v>19</v>
      </c>
      <c r="D42" s="62" t="s">
        <v>73</v>
      </c>
      <c r="E42" s="62" t="s">
        <v>114</v>
      </c>
      <c r="F42" s="62">
        <v>20</v>
      </c>
      <c r="G42" s="62"/>
      <c r="H42" s="62">
        <v>60</v>
      </c>
      <c r="I42" s="62">
        <v>250</v>
      </c>
      <c r="J42" s="62">
        <v>763</v>
      </c>
      <c r="K42" s="62">
        <v>681</v>
      </c>
      <c r="L42" s="62">
        <v>1900</v>
      </c>
      <c r="M42" s="62"/>
      <c r="N42" s="62">
        <v>1385</v>
      </c>
      <c r="O42" s="62">
        <v>710</v>
      </c>
      <c r="P42" s="62">
        <v>330</v>
      </c>
      <c r="Q42" s="62">
        <v>630</v>
      </c>
      <c r="R42" s="62">
        <v>630</v>
      </c>
      <c r="S42" s="62">
        <v>90</v>
      </c>
      <c r="T42" s="62">
        <v>40</v>
      </c>
      <c r="U42" s="62">
        <v>200</v>
      </c>
      <c r="V42" s="62">
        <v>200</v>
      </c>
      <c r="W42" s="62">
        <v>2</v>
      </c>
      <c r="X42" s="62" t="s">
        <v>152</v>
      </c>
      <c r="Y42" s="64"/>
      <c r="AB42" s="6" t="str">
        <f>IF(AND($K$3="Robot Hand",Tabulka2[[#This Row],[Robot]]&lt;&gt;"R"),"NOK","OK")</f>
        <v>OK</v>
      </c>
      <c r="AC42" s="6" t="str">
        <f>IF($W$6&lt;=Tabulka2[[#This Row],[Clamping Force]],"OK","NOK")</f>
        <v>OK</v>
      </c>
      <c r="AD42" s="6" t="str">
        <f>IF(OR(($G$3&lt;Tabulka2[[#This Row],[Max
Width]]),(AND($G$4&lt;Tabulka2[[#This Row],[Max
Width]],$G$5&lt;Tabulka2[[#This Row],[Max
Height]]))),"OK","NOK")</f>
        <v>OK</v>
      </c>
      <c r="AE42" s="6" t="str">
        <f>IF(IF($G$4+$K$4&lt;=Tabulka2[[#This Row],[Max Opening]],"OK","NOK")&amp;IF($G$4&lt;=Tabulka2[[#This Row],[Max Length]],"OK","NOK")="OKOK","OK","NOK")</f>
        <v>OK</v>
      </c>
      <c r="AF42" s="54">
        <f>$W$7/Tabulka2[[#This Row],[V '[cm3']]]</f>
        <v>0.10419965874527064</v>
      </c>
      <c r="AG42" s="55">
        <f>(Tabulka2[[#This Row],[V '[cm3']]]*2.2*$W$3)/($W$7*60)</f>
        <v>312.47703103900824</v>
      </c>
      <c r="AH42" s="73">
        <f>IF(Tabulka2[[#This Row],[V '[cm3']]]/$W$7&lt;1,"-",Tabulka2[[#This Row],[V '[cm3']]]/$W$7)</f>
        <v>9.596960412745954</v>
      </c>
      <c r="AI4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43" spans="2:35" s="6" customFormat="1" x14ac:dyDescent="0.2">
      <c r="B43" s="62" t="s">
        <v>143</v>
      </c>
      <c r="C43" s="62">
        <v>20</v>
      </c>
      <c r="D43" s="62" t="s">
        <v>56</v>
      </c>
      <c r="E43" s="62" t="s">
        <v>127</v>
      </c>
      <c r="F43" s="62">
        <v>24</v>
      </c>
      <c r="G43" s="62"/>
      <c r="H43" s="62">
        <v>25</v>
      </c>
      <c r="I43" s="62">
        <v>50</v>
      </c>
      <c r="J43" s="62">
        <v>54</v>
      </c>
      <c r="K43" s="62">
        <v>49</v>
      </c>
      <c r="L43" s="62">
        <v>2500</v>
      </c>
      <c r="M43" s="62"/>
      <c r="N43" s="62">
        <v>575</v>
      </c>
      <c r="O43" s="62">
        <v>0</v>
      </c>
      <c r="P43" s="62">
        <v>225</v>
      </c>
      <c r="Q43" s="62">
        <v>320</v>
      </c>
      <c r="R43" s="62">
        <v>320</v>
      </c>
      <c r="S43" s="62">
        <v>45</v>
      </c>
      <c r="T43" s="62">
        <v>40</v>
      </c>
      <c r="U43" s="62" t="s">
        <v>50</v>
      </c>
      <c r="V43" s="62" t="s">
        <v>50</v>
      </c>
      <c r="W43" s="62">
        <v>0</v>
      </c>
      <c r="X43" s="62" t="s">
        <v>148</v>
      </c>
      <c r="Y43" s="64"/>
      <c r="AB43" s="6" t="str">
        <f>IF(AND($K$3="Robot Hand",Tabulka2[[#This Row],[Robot]]&lt;&gt;"R"),"NOK","OK")</f>
        <v>NOK</v>
      </c>
      <c r="AC43" s="6" t="str">
        <f>IF($W$6&lt;=Tabulka2[[#This Row],[Clamping Force]],"OK","NOK")</f>
        <v>OK</v>
      </c>
      <c r="AD43" s="6" t="str">
        <f>IF(OR(($G$3&lt;Tabulka2[[#This Row],[Max
Width]]),(AND($G$4&lt;Tabulka2[[#This Row],[Max
Width]],$G$5&lt;Tabulka2[[#This Row],[Max
Height]]))),"OK","NOK")</f>
        <v>NOK</v>
      </c>
      <c r="AE43" s="6" t="str">
        <f>IF(IF($G$4+$K$4&lt;=Tabulka2[[#This Row],[Max Opening]],"OK","NOK")&amp;IF($G$4&lt;=Tabulka2[[#This Row],[Max Length]],"OK","NOK")="OKOK","OK","NOK")</f>
        <v>NOK</v>
      </c>
      <c r="AF43" s="54">
        <f>$W$7/Tabulka2[[#This Row],[V '[cm3']]]</f>
        <v>1.4723025856044722</v>
      </c>
      <c r="AG43" s="55">
        <f>(Tabulka2[[#This Row],[V '[cm3']]]*2.2*$W$3)/($W$7*60)</f>
        <v>22.115019234739773</v>
      </c>
      <c r="AH43" s="73" t="str">
        <f>IF(Tabulka2[[#This Row],[V '[cm3']]]/$W$7&lt;1,"-",Tabulka2[[#This Row],[V '[cm3']]]/$W$7)</f>
        <v>-</v>
      </c>
      <c r="AI4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44" spans="2:35" s="6" customFormat="1" x14ac:dyDescent="0.2">
      <c r="B44" s="62" t="s">
        <v>143</v>
      </c>
      <c r="C44" s="62">
        <v>21</v>
      </c>
      <c r="D44" s="62" t="s">
        <v>56</v>
      </c>
      <c r="E44" s="62" t="s">
        <v>128</v>
      </c>
      <c r="F44" s="62">
        <v>24</v>
      </c>
      <c r="G44" s="62"/>
      <c r="H44" s="62">
        <v>25</v>
      </c>
      <c r="I44" s="62">
        <v>50</v>
      </c>
      <c r="J44" s="62">
        <v>54</v>
      </c>
      <c r="K44" s="62">
        <v>49</v>
      </c>
      <c r="L44" s="62">
        <v>2500</v>
      </c>
      <c r="M44" s="62"/>
      <c r="N44" s="62">
        <v>575</v>
      </c>
      <c r="O44" s="62">
        <v>0</v>
      </c>
      <c r="P44" s="62">
        <v>225</v>
      </c>
      <c r="Q44" s="62">
        <v>320</v>
      </c>
      <c r="R44" s="62">
        <v>320</v>
      </c>
      <c r="S44" s="62">
        <v>45</v>
      </c>
      <c r="T44" s="62">
        <v>40</v>
      </c>
      <c r="U44" s="62" t="s">
        <v>50</v>
      </c>
      <c r="V44" s="62" t="s">
        <v>50</v>
      </c>
      <c r="W44" s="62">
        <v>0</v>
      </c>
      <c r="X44" s="62" t="s">
        <v>148</v>
      </c>
      <c r="Y44" s="64"/>
      <c r="AB44" s="6" t="str">
        <f>IF(AND($K$3="Robot Hand",Tabulka2[[#This Row],[Robot]]&lt;&gt;"R"),"NOK","OK")</f>
        <v>NOK</v>
      </c>
      <c r="AC44" s="6" t="str">
        <f>IF($W$6&lt;=Tabulka2[[#This Row],[Clamping Force]],"OK","NOK")</f>
        <v>OK</v>
      </c>
      <c r="AD44" s="6" t="str">
        <f>IF(OR(($G$3&lt;Tabulka2[[#This Row],[Max
Width]]),(AND($G$4&lt;Tabulka2[[#This Row],[Max
Width]],$G$5&lt;Tabulka2[[#This Row],[Max
Height]]))),"OK","NOK")</f>
        <v>NOK</v>
      </c>
      <c r="AE44" s="6" t="str">
        <f>IF(IF($G$4+$K$4&lt;=Tabulka2[[#This Row],[Max Opening]],"OK","NOK")&amp;IF($G$4&lt;=Tabulka2[[#This Row],[Max Length]],"OK","NOK")="OKOK","OK","NOK")</f>
        <v>NOK</v>
      </c>
      <c r="AF44" s="54">
        <f>$W$7/Tabulka2[[#This Row],[V '[cm3']]]</f>
        <v>1.4723025856044722</v>
      </c>
      <c r="AG44" s="55">
        <f>(Tabulka2[[#This Row],[V '[cm3']]]*2.2*$W$3)/($W$7*60)</f>
        <v>22.115019234739773</v>
      </c>
      <c r="AH44" s="73" t="str">
        <f>IF(Tabulka2[[#This Row],[V '[cm3']]]/$W$7&lt;1,"-",Tabulka2[[#This Row],[V '[cm3']]]/$W$7)</f>
        <v>-</v>
      </c>
      <c r="AI4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45" spans="2:35" s="6" customFormat="1" x14ac:dyDescent="0.2">
      <c r="B45" s="62" t="s">
        <v>143</v>
      </c>
      <c r="C45" s="62">
        <v>22</v>
      </c>
      <c r="D45" s="62" t="s">
        <v>53</v>
      </c>
      <c r="E45" s="62" t="s">
        <v>126</v>
      </c>
      <c r="F45" s="62">
        <v>20</v>
      </c>
      <c r="G45" s="62" t="s">
        <v>83</v>
      </c>
      <c r="H45" s="62">
        <v>40</v>
      </c>
      <c r="I45" s="62">
        <v>100</v>
      </c>
      <c r="J45" s="62">
        <v>182</v>
      </c>
      <c r="K45" s="62">
        <v>166</v>
      </c>
      <c r="L45" s="62">
        <v>2120</v>
      </c>
      <c r="M45" s="62"/>
      <c r="N45" s="62">
        <v>750</v>
      </c>
      <c r="O45" s="62">
        <v>0</v>
      </c>
      <c r="P45" s="62">
        <v>250</v>
      </c>
      <c r="Q45" s="62">
        <v>420</v>
      </c>
      <c r="R45" s="62">
        <v>420</v>
      </c>
      <c r="S45" s="62">
        <v>60</v>
      </c>
      <c r="T45" s="62">
        <v>50</v>
      </c>
      <c r="U45" s="62" t="s">
        <v>50</v>
      </c>
      <c r="V45" s="62" t="s">
        <v>50</v>
      </c>
      <c r="W45" s="62">
        <v>0</v>
      </c>
      <c r="X45" s="62" t="s">
        <v>152</v>
      </c>
      <c r="Y45" s="64"/>
      <c r="AB45" s="6" t="str">
        <f>IF(AND($K$3="Robot Hand",Tabulka2[[#This Row],[Robot]]&lt;&gt;"R"),"NOK","OK")</f>
        <v>OK</v>
      </c>
      <c r="AC45" s="6" t="str">
        <f>IF($W$6&lt;=Tabulka2[[#This Row],[Clamping Force]],"OK","NOK")</f>
        <v>OK</v>
      </c>
      <c r="AD45" s="6" t="str">
        <f>IF(OR(($G$3&lt;Tabulka2[[#This Row],[Max
Width]]),(AND($G$4&lt;Tabulka2[[#This Row],[Max
Width]],$G$5&lt;Tabulka2[[#This Row],[Max
Height]]))),"OK","NOK")</f>
        <v>NOK</v>
      </c>
      <c r="AE45" s="6" t="str">
        <f>IF(IF($G$4+$K$4&lt;=Tabulka2[[#This Row],[Max Opening]],"OK","NOK")&amp;IF($G$4&lt;=Tabulka2[[#This Row],[Max Length]],"OK","NOK")="OKOK","OK","NOK")</f>
        <v>NOK</v>
      </c>
      <c r="AF45" s="54">
        <f>$W$7/Tabulka2[[#This Row],[V '[cm3']]]</f>
        <v>0.43683703089363457</v>
      </c>
      <c r="AG45" s="55">
        <f>(Tabulka2[[#This Row],[V '[cm3']]]*2.2*$W$3)/($W$7*60)</f>
        <v>74.535805568937747</v>
      </c>
      <c r="AH45" s="73">
        <f>IF(Tabulka2[[#This Row],[V '[cm3']]]/$W$7&lt;1,"-",Tabulka2[[#This Row],[V '[cm3']]]/$W$7)</f>
        <v>2.2891832177192182</v>
      </c>
      <c r="AI4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46" spans="2:35" s="6" customFormat="1" x14ac:dyDescent="0.2">
      <c r="B46" s="62" t="s">
        <v>143</v>
      </c>
      <c r="C46" s="62">
        <v>23</v>
      </c>
      <c r="D46" s="62" t="s">
        <v>104</v>
      </c>
      <c r="E46" s="62" t="s">
        <v>105</v>
      </c>
      <c r="F46" s="62">
        <v>24</v>
      </c>
      <c r="G46" s="62"/>
      <c r="H46" s="62">
        <v>25</v>
      </c>
      <c r="I46" s="62">
        <v>60</v>
      </c>
      <c r="J46" s="62">
        <v>59</v>
      </c>
      <c r="K46" s="62">
        <v>54</v>
      </c>
      <c r="L46" s="62">
        <v>2500</v>
      </c>
      <c r="M46" s="62"/>
      <c r="N46" s="62">
        <v>600</v>
      </c>
      <c r="O46" s="62">
        <v>0</v>
      </c>
      <c r="P46" s="62">
        <v>250</v>
      </c>
      <c r="Q46" s="62">
        <v>370</v>
      </c>
      <c r="R46" s="62">
        <v>370</v>
      </c>
      <c r="S46" s="62">
        <v>60</v>
      </c>
      <c r="T46" s="62">
        <v>40</v>
      </c>
      <c r="U46" s="62" t="s">
        <v>50</v>
      </c>
      <c r="V46" s="62" t="s">
        <v>50</v>
      </c>
      <c r="W46" s="62">
        <v>0</v>
      </c>
      <c r="X46" s="62" t="s">
        <v>152</v>
      </c>
      <c r="Y46" s="64"/>
      <c r="AB46" s="6" t="str">
        <f>IF(AND($K$3="Robot Hand",Tabulka2[[#This Row],[Robot]]&lt;&gt;"R"),"NOK","OK")</f>
        <v>OK</v>
      </c>
      <c r="AC46" s="6" t="str">
        <f>IF($W$6&lt;=Tabulka2[[#This Row],[Clamping Force]],"OK","NOK")</f>
        <v>OK</v>
      </c>
      <c r="AD46" s="6" t="str">
        <f>IF(OR(($G$3&lt;Tabulka2[[#This Row],[Max
Width]]),(AND($G$4&lt;Tabulka2[[#This Row],[Max
Width]],$G$5&lt;Tabulka2[[#This Row],[Max
Height]]))),"OK","NOK")</f>
        <v>NOK</v>
      </c>
      <c r="AE46" s="6" t="str">
        <f>IF(IF($G$4+$K$4&lt;=Tabulka2[[#This Row],[Max Opening]],"OK","NOK")&amp;IF($G$4&lt;=Tabulka2[[#This Row],[Max Length]],"OK","NOK")="OKOK","OK","NOK")</f>
        <v>NOK</v>
      </c>
      <c r="AF46" s="54">
        <f>$W$7/Tabulka2[[#This Row],[V '[cm3']]]</f>
        <v>1.3475311800447711</v>
      </c>
      <c r="AG46" s="55">
        <f>(Tabulka2[[#This Row],[V '[cm3']]]*2.2*$W$3)/($W$7*60)</f>
        <v>24.162706200919381</v>
      </c>
      <c r="AH46" s="73" t="str">
        <f>IF(Tabulka2[[#This Row],[V '[cm3']]]/$W$7&lt;1,"-",Tabulka2[[#This Row],[V '[cm3']]]/$W$7)</f>
        <v>-</v>
      </c>
      <c r="AI4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47" spans="2:35" s="6" customFormat="1" x14ac:dyDescent="0.2">
      <c r="B47" s="62" t="s">
        <v>143</v>
      </c>
      <c r="C47" s="62">
        <v>24</v>
      </c>
      <c r="D47" s="62" t="s">
        <v>106</v>
      </c>
      <c r="E47" s="62" t="s">
        <v>107</v>
      </c>
      <c r="F47" s="62">
        <v>23</v>
      </c>
      <c r="G47" s="62"/>
      <c r="H47" s="62">
        <v>35</v>
      </c>
      <c r="I47" s="62">
        <v>150</v>
      </c>
      <c r="J47" s="62">
        <v>106</v>
      </c>
      <c r="K47" s="62">
        <v>97</v>
      </c>
      <c r="L47" s="62">
        <v>2500</v>
      </c>
      <c r="M47" s="62"/>
      <c r="N47" s="62">
        <v>950</v>
      </c>
      <c r="O47" s="62">
        <v>550</v>
      </c>
      <c r="P47" s="62">
        <v>250</v>
      </c>
      <c r="Q47" s="62">
        <v>520</v>
      </c>
      <c r="R47" s="62">
        <v>520</v>
      </c>
      <c r="S47" s="62">
        <v>90</v>
      </c>
      <c r="T47" s="62">
        <v>50</v>
      </c>
      <c r="U47" s="62" t="s">
        <v>50</v>
      </c>
      <c r="V47" s="62" t="s">
        <v>50</v>
      </c>
      <c r="W47" s="62">
        <v>0</v>
      </c>
      <c r="X47" s="62" t="s">
        <v>152</v>
      </c>
      <c r="Y47" s="64"/>
      <c r="AB47" s="6" t="str">
        <f>IF(AND($K$3="Robot Hand",Tabulka2[[#This Row],[Robot]]&lt;&gt;"R"),"NOK","OK")</f>
        <v>OK</v>
      </c>
      <c r="AC47" s="6" t="str">
        <f>IF($W$6&lt;=Tabulka2[[#This Row],[Clamping Force]],"OK","NOK")</f>
        <v>OK</v>
      </c>
      <c r="AD47" s="6" t="str">
        <f>IF(OR(($G$3&lt;Tabulka2[[#This Row],[Max
Width]]),(AND($G$4&lt;Tabulka2[[#This Row],[Max
Width]],$G$5&lt;Tabulka2[[#This Row],[Max
Height]]))),"OK","NOK")</f>
        <v>OK</v>
      </c>
      <c r="AE47" s="6" t="str">
        <f>IF(IF($G$4+$K$4&lt;=Tabulka2[[#This Row],[Max Opening]],"OK","NOK")&amp;IF($G$4&lt;=Tabulka2[[#This Row],[Max Length]],"OK","NOK")="OKOK","OK","NOK")</f>
        <v>OK</v>
      </c>
      <c r="AF47" s="54">
        <f>$W$7/Tabulka2[[#This Row],[V '[cm3']]]</f>
        <v>0.75004093983624054</v>
      </c>
      <c r="AG47" s="55">
        <f>(Tabulka2[[#This Row],[V '[cm3']]]*2.2*$W$3)/($W$7*60)</f>
        <v>43.410963683007701</v>
      </c>
      <c r="AH47" s="73">
        <f>IF(Tabulka2[[#This Row],[V '[cm3']]]/$W$7&lt;1,"-",Tabulka2[[#This Row],[V '[cm3']]]/$W$7)</f>
        <v>1.3332605553749293</v>
      </c>
      <c r="AI4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48" spans="2:35" s="6" customFormat="1" x14ac:dyDescent="0.2">
      <c r="B48" s="62" t="s">
        <v>143</v>
      </c>
      <c r="C48" s="62">
        <v>25</v>
      </c>
      <c r="D48" s="62" t="s">
        <v>106</v>
      </c>
      <c r="E48" s="62" t="s">
        <v>108</v>
      </c>
      <c r="F48" s="62">
        <v>23</v>
      </c>
      <c r="G48" s="62"/>
      <c r="H48" s="62">
        <v>35</v>
      </c>
      <c r="I48" s="62">
        <v>150</v>
      </c>
      <c r="J48" s="62">
        <v>106</v>
      </c>
      <c r="K48" s="62">
        <v>97</v>
      </c>
      <c r="L48" s="62">
        <v>2500</v>
      </c>
      <c r="M48" s="62"/>
      <c r="N48" s="62">
        <v>950</v>
      </c>
      <c r="O48" s="62">
        <v>550</v>
      </c>
      <c r="P48" s="62">
        <v>250</v>
      </c>
      <c r="Q48" s="62">
        <v>520</v>
      </c>
      <c r="R48" s="62">
        <v>520</v>
      </c>
      <c r="S48" s="62">
        <v>90</v>
      </c>
      <c r="T48" s="62">
        <v>50</v>
      </c>
      <c r="U48" s="62" t="s">
        <v>50</v>
      </c>
      <c r="V48" s="62" t="s">
        <v>50</v>
      </c>
      <c r="W48" s="62">
        <v>0</v>
      </c>
      <c r="X48" s="62" t="s">
        <v>152</v>
      </c>
      <c r="Y48" s="64"/>
      <c r="AB48" s="6" t="str">
        <f>IF(AND($K$3="Robot Hand",Tabulka2[[#This Row],[Robot]]&lt;&gt;"R"),"NOK","OK")</f>
        <v>OK</v>
      </c>
      <c r="AC48" s="6" t="str">
        <f>IF($W$6&lt;=Tabulka2[[#This Row],[Clamping Force]],"OK","NOK")</f>
        <v>OK</v>
      </c>
      <c r="AD48" s="6" t="str">
        <f>IF(OR(($G$3&lt;Tabulka2[[#This Row],[Max
Width]]),(AND($G$4&lt;Tabulka2[[#This Row],[Max
Width]],$G$5&lt;Tabulka2[[#This Row],[Max
Height]]))),"OK","NOK")</f>
        <v>OK</v>
      </c>
      <c r="AE48" s="6" t="str">
        <f>IF(IF($G$4+$K$4&lt;=Tabulka2[[#This Row],[Max Opening]],"OK","NOK")&amp;IF($G$4&lt;=Tabulka2[[#This Row],[Max Length]],"OK","NOK")="OKOK","OK","NOK")</f>
        <v>OK</v>
      </c>
      <c r="AF48" s="54">
        <f>$W$7/Tabulka2[[#This Row],[V '[cm3']]]</f>
        <v>0.75004093983624054</v>
      </c>
      <c r="AG48" s="55">
        <f>(Tabulka2[[#This Row],[V '[cm3']]]*2.2*$W$3)/($W$7*60)</f>
        <v>43.410963683007701</v>
      </c>
      <c r="AH48" s="73">
        <f>IF(Tabulka2[[#This Row],[V '[cm3']]]/$W$7&lt;1,"-",Tabulka2[[#This Row],[V '[cm3']]]/$W$7)</f>
        <v>1.3332605553749293</v>
      </c>
      <c r="AI4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49" spans="2:35" s="6" customFormat="1" x14ac:dyDescent="0.2">
      <c r="B49" s="62" t="s">
        <v>143</v>
      </c>
      <c r="C49" s="62">
        <v>26</v>
      </c>
      <c r="D49" s="62" t="s">
        <v>109</v>
      </c>
      <c r="E49" s="62" t="s">
        <v>110</v>
      </c>
      <c r="F49" s="62">
        <v>25</v>
      </c>
      <c r="G49" s="62"/>
      <c r="H49" s="62">
        <v>20</v>
      </c>
      <c r="I49" s="62">
        <v>60</v>
      </c>
      <c r="J49" s="62">
        <v>31</v>
      </c>
      <c r="K49" s="62">
        <v>29</v>
      </c>
      <c r="L49" s="62">
        <v>2500</v>
      </c>
      <c r="M49" s="62"/>
      <c r="N49" s="62">
        <v>600</v>
      </c>
      <c r="O49" s="62">
        <v>0</v>
      </c>
      <c r="P49" s="62">
        <v>250</v>
      </c>
      <c r="Q49" s="62">
        <v>370</v>
      </c>
      <c r="R49" s="62">
        <v>370</v>
      </c>
      <c r="S49" s="62">
        <v>60</v>
      </c>
      <c r="T49" s="62">
        <v>40</v>
      </c>
      <c r="U49" s="62" t="s">
        <v>50</v>
      </c>
      <c r="V49" s="62" t="s">
        <v>50</v>
      </c>
      <c r="W49" s="62">
        <v>0</v>
      </c>
      <c r="X49" s="62" t="s">
        <v>152</v>
      </c>
      <c r="Y49" s="64"/>
      <c r="AB49" s="6" t="str">
        <f>IF(AND($K$3="Robot Hand",Tabulka2[[#This Row],[Robot]]&lt;&gt;"R"),"NOK","OK")</f>
        <v>OK</v>
      </c>
      <c r="AC49" s="6" t="str">
        <f>IF($W$6&lt;=Tabulka2[[#This Row],[Clamping Force]],"OK","NOK")</f>
        <v>OK</v>
      </c>
      <c r="AD49" s="6" t="str">
        <f>IF(OR(($G$3&lt;Tabulka2[[#This Row],[Max
Width]]),(AND($G$4&lt;Tabulka2[[#This Row],[Max
Width]],$G$5&lt;Tabulka2[[#This Row],[Max
Height]]))),"OK","NOK")</f>
        <v>NOK</v>
      </c>
      <c r="AE49" s="6" t="str">
        <f>IF(IF($G$4+$K$4&lt;=Tabulka2[[#This Row],[Max Opening]],"OK","NOK")&amp;IF($G$4&lt;=Tabulka2[[#This Row],[Max Length]],"OK","NOK")="OKOK","OK","NOK")</f>
        <v>NOK</v>
      </c>
      <c r="AF49" s="54">
        <f>$W$7/Tabulka2[[#This Row],[V '[cm3']]]</f>
        <v>2.5646561168594029</v>
      </c>
      <c r="AG49" s="55">
        <f>(Tabulka2[[#This Row],[V '[cm3']]]*2.2*$W$3)/($W$7*60)</f>
        <v>12.695659190313574</v>
      </c>
      <c r="AH49" s="73" t="str">
        <f>IF(Tabulka2[[#This Row],[V '[cm3']]]/$W$7&lt;1,"-",Tabulka2[[#This Row],[V '[cm3']]]/$W$7)</f>
        <v>-</v>
      </c>
      <c r="AI4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0" spans="2:35" s="6" customFormat="1" x14ac:dyDescent="0.2">
      <c r="B50" s="62" t="s">
        <v>143</v>
      </c>
      <c r="C50" s="62">
        <v>27</v>
      </c>
      <c r="D50" s="62" t="s">
        <v>111</v>
      </c>
      <c r="E50" s="62" t="s">
        <v>112</v>
      </c>
      <c r="F50" s="62">
        <v>24</v>
      </c>
      <c r="G50" s="62"/>
      <c r="H50" s="62">
        <v>25</v>
      </c>
      <c r="I50" s="62">
        <v>100</v>
      </c>
      <c r="J50" s="62">
        <v>59</v>
      </c>
      <c r="K50" s="62">
        <v>54</v>
      </c>
      <c r="L50" s="62">
        <v>2500</v>
      </c>
      <c r="M50" s="62"/>
      <c r="N50" s="62">
        <v>750</v>
      </c>
      <c r="O50" s="62">
        <v>0</v>
      </c>
      <c r="P50" s="62">
        <v>250</v>
      </c>
      <c r="Q50" s="62">
        <v>470</v>
      </c>
      <c r="R50" s="62">
        <v>470</v>
      </c>
      <c r="S50" s="62">
        <v>60</v>
      </c>
      <c r="T50" s="62">
        <v>40</v>
      </c>
      <c r="U50" s="62" t="s">
        <v>50</v>
      </c>
      <c r="V50" s="62" t="s">
        <v>50</v>
      </c>
      <c r="W50" s="62">
        <v>0</v>
      </c>
      <c r="X50" s="62" t="s">
        <v>152</v>
      </c>
      <c r="Y50" s="64"/>
      <c r="AB50" s="6" t="str">
        <f>IF(AND($K$3="Robot Hand",Tabulka2[[#This Row],[Robot]]&lt;&gt;"R"),"NOK","OK")</f>
        <v>OK</v>
      </c>
      <c r="AC50" s="6" t="str">
        <f>IF($W$6&lt;=Tabulka2[[#This Row],[Clamping Force]],"OK","NOK")</f>
        <v>OK</v>
      </c>
      <c r="AD50" s="6" t="str">
        <f>IF(OR(($G$3&lt;Tabulka2[[#This Row],[Max
Width]]),(AND($G$4&lt;Tabulka2[[#This Row],[Max
Width]],$G$5&lt;Tabulka2[[#This Row],[Max
Height]]))),"OK","NOK")</f>
        <v>OK</v>
      </c>
      <c r="AE50" s="6" t="str">
        <f>IF(IF($G$4+$K$4&lt;=Tabulka2[[#This Row],[Max Opening]],"OK","NOK")&amp;IF($G$4&lt;=Tabulka2[[#This Row],[Max Length]],"OK","NOK")="OKOK","OK","NOK")</f>
        <v>NOK</v>
      </c>
      <c r="AF50" s="54">
        <f>$W$7/Tabulka2[[#This Row],[V '[cm3']]]</f>
        <v>1.3475311800447711</v>
      </c>
      <c r="AG50" s="55">
        <f>(Tabulka2[[#This Row],[V '[cm3']]]*2.2*$W$3)/($W$7*60)</f>
        <v>24.162706200919381</v>
      </c>
      <c r="AH50" s="73" t="str">
        <f>IF(Tabulka2[[#This Row],[V '[cm3']]]/$W$7&lt;1,"-",Tabulka2[[#This Row],[V '[cm3']]]/$W$7)</f>
        <v>-</v>
      </c>
      <c r="AI5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1" spans="2:35" s="6" customFormat="1" x14ac:dyDescent="0.2">
      <c r="B51" s="62" t="s">
        <v>143</v>
      </c>
      <c r="C51" s="62">
        <v>28</v>
      </c>
      <c r="D51" s="62" t="s">
        <v>125</v>
      </c>
      <c r="E51" s="62" t="s">
        <v>121</v>
      </c>
      <c r="F51" s="62">
        <v>20</v>
      </c>
      <c r="G51" s="62"/>
      <c r="H51" s="62">
        <v>25</v>
      </c>
      <c r="I51" s="62">
        <v>60</v>
      </c>
      <c r="J51" s="62">
        <v>59</v>
      </c>
      <c r="K51" s="62">
        <v>54</v>
      </c>
      <c r="L51" s="62">
        <v>2500</v>
      </c>
      <c r="M51" s="62"/>
      <c r="N51" s="62">
        <v>700</v>
      </c>
      <c r="O51" s="62">
        <v>0</v>
      </c>
      <c r="P51" s="62">
        <v>300</v>
      </c>
      <c r="Q51" s="62">
        <v>370</v>
      </c>
      <c r="R51" s="62">
        <v>370</v>
      </c>
      <c r="S51" s="62">
        <v>50</v>
      </c>
      <c r="T51" s="62">
        <v>40</v>
      </c>
      <c r="U51" s="62" t="s">
        <v>50</v>
      </c>
      <c r="V51" s="62" t="s">
        <v>50</v>
      </c>
      <c r="W51" s="62">
        <v>1</v>
      </c>
      <c r="X51" s="62" t="s">
        <v>152</v>
      </c>
      <c r="Y51" s="64"/>
      <c r="AB51" s="6" t="str">
        <f>IF(AND($K$3="Robot Hand",Tabulka2[[#This Row],[Robot]]&lt;&gt;"R"),"NOK","OK")</f>
        <v>OK</v>
      </c>
      <c r="AC51" s="6" t="str">
        <f>IF($W$6&lt;=Tabulka2[[#This Row],[Clamping Force]],"OK","NOK")</f>
        <v>OK</v>
      </c>
      <c r="AD51" s="6" t="str">
        <f>IF(OR(($G$3&lt;Tabulka2[[#This Row],[Max
Width]]),(AND($G$4&lt;Tabulka2[[#This Row],[Max
Width]],$G$5&lt;Tabulka2[[#This Row],[Max
Height]]))),"OK","NOK")</f>
        <v>NOK</v>
      </c>
      <c r="AE51" s="6" t="str">
        <f>IF(IF($G$4+$K$4&lt;=Tabulka2[[#This Row],[Max Opening]],"OK","NOK")&amp;IF($G$4&lt;=Tabulka2[[#This Row],[Max Length]],"OK","NOK")="OKOK","OK","NOK")</f>
        <v>NOK</v>
      </c>
      <c r="AF51" s="54">
        <f>$W$7/Tabulka2[[#This Row],[V '[cm3']]]</f>
        <v>1.3475311800447711</v>
      </c>
      <c r="AG51" s="55">
        <f>(Tabulka2[[#This Row],[V '[cm3']]]*2.2*$W$3)/($W$7*60)</f>
        <v>24.162706200919381</v>
      </c>
      <c r="AH51" s="73" t="str">
        <f>IF(Tabulka2[[#This Row],[V '[cm3']]]/$W$7&lt;1,"-",Tabulka2[[#This Row],[V '[cm3']]]/$W$7)</f>
        <v>-</v>
      </c>
      <c r="AI5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2" spans="2:35" s="6" customFormat="1" x14ac:dyDescent="0.2">
      <c r="B52" s="62" t="s">
        <v>143</v>
      </c>
      <c r="C52" s="62">
        <v>29</v>
      </c>
      <c r="D52" s="62" t="s">
        <v>120</v>
      </c>
      <c r="E52" s="62" t="s">
        <v>122</v>
      </c>
      <c r="F52" s="62">
        <v>25</v>
      </c>
      <c r="G52" s="62"/>
      <c r="H52" s="62">
        <v>20</v>
      </c>
      <c r="I52" s="62">
        <v>60</v>
      </c>
      <c r="J52" s="62">
        <v>31</v>
      </c>
      <c r="K52" s="62">
        <v>29</v>
      </c>
      <c r="L52" s="62">
        <v>2500</v>
      </c>
      <c r="M52" s="62"/>
      <c r="N52" s="62">
        <v>700</v>
      </c>
      <c r="O52" s="62">
        <v>0</v>
      </c>
      <c r="P52" s="62">
        <v>300</v>
      </c>
      <c r="Q52" s="62">
        <v>370</v>
      </c>
      <c r="R52" s="62">
        <v>370</v>
      </c>
      <c r="S52" s="62">
        <v>50</v>
      </c>
      <c r="T52" s="62">
        <v>40</v>
      </c>
      <c r="U52" s="62" t="s">
        <v>50</v>
      </c>
      <c r="V52" s="62" t="s">
        <v>50</v>
      </c>
      <c r="W52" s="62">
        <v>1</v>
      </c>
      <c r="X52" s="62" t="s">
        <v>152</v>
      </c>
      <c r="Y52" s="64"/>
      <c r="AB52" s="6" t="str">
        <f>IF(AND($K$3="Robot Hand",Tabulka2[[#This Row],[Robot]]&lt;&gt;"R"),"NOK","OK")</f>
        <v>OK</v>
      </c>
      <c r="AC52" s="6" t="str">
        <f>IF($W$6&lt;=Tabulka2[[#This Row],[Clamping Force]],"OK","NOK")</f>
        <v>OK</v>
      </c>
      <c r="AD52" s="6" t="str">
        <f>IF(OR(($G$3&lt;Tabulka2[[#This Row],[Max
Width]]),(AND($G$4&lt;Tabulka2[[#This Row],[Max
Width]],$G$5&lt;Tabulka2[[#This Row],[Max
Height]]))),"OK","NOK")</f>
        <v>NOK</v>
      </c>
      <c r="AE52" s="6" t="str">
        <f>IF(IF($G$4+$K$4&lt;=Tabulka2[[#This Row],[Max Opening]],"OK","NOK")&amp;IF($G$4&lt;=Tabulka2[[#This Row],[Max Length]],"OK","NOK")="OKOK","OK","NOK")</f>
        <v>NOK</v>
      </c>
      <c r="AF52" s="54">
        <f>$W$7/Tabulka2[[#This Row],[V '[cm3']]]</f>
        <v>2.5646561168594029</v>
      </c>
      <c r="AG52" s="55">
        <f>(Tabulka2[[#This Row],[V '[cm3']]]*2.2*$W$3)/($W$7*60)</f>
        <v>12.695659190313574</v>
      </c>
      <c r="AH52" s="73" t="str">
        <f>IF(Tabulka2[[#This Row],[V '[cm3']]]/$W$7&lt;1,"-",Tabulka2[[#This Row],[V '[cm3']]]/$W$7)</f>
        <v>-</v>
      </c>
      <c r="AI5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3" spans="2:35" s="6" customFormat="1" x14ac:dyDescent="0.2">
      <c r="B53" s="62" t="s">
        <v>143</v>
      </c>
      <c r="C53" s="62">
        <v>30</v>
      </c>
      <c r="D53" s="62" t="s">
        <v>124</v>
      </c>
      <c r="E53" s="62" t="s">
        <v>123</v>
      </c>
      <c r="F53" s="62">
        <v>20</v>
      </c>
      <c r="G53" s="62"/>
      <c r="H53" s="62">
        <v>40</v>
      </c>
      <c r="I53" s="62">
        <v>100</v>
      </c>
      <c r="J53" s="62">
        <v>201</v>
      </c>
      <c r="K53" s="62">
        <v>184</v>
      </c>
      <c r="L53" s="62">
        <v>2200</v>
      </c>
      <c r="M53" s="62"/>
      <c r="N53" s="62">
        <v>750</v>
      </c>
      <c r="O53" s="62">
        <v>0</v>
      </c>
      <c r="P53" s="62">
        <v>250</v>
      </c>
      <c r="Q53" s="62">
        <v>470</v>
      </c>
      <c r="R53" s="62">
        <v>470</v>
      </c>
      <c r="S53" s="62">
        <v>60</v>
      </c>
      <c r="T53" s="62">
        <v>50</v>
      </c>
      <c r="U53" s="62" t="s">
        <v>50</v>
      </c>
      <c r="V53" s="62" t="s">
        <v>50</v>
      </c>
      <c r="W53" s="62">
        <v>1</v>
      </c>
      <c r="X53" s="62" t="s">
        <v>152</v>
      </c>
      <c r="Y53" s="64"/>
      <c r="AB53" s="6" t="str">
        <f>IF(AND($K$3="Robot Hand",Tabulka2[[#This Row],[Robot]]&lt;&gt;"R"),"NOK","OK")</f>
        <v>OK</v>
      </c>
      <c r="AC53" s="6" t="str">
        <f>IF($W$6&lt;=Tabulka2[[#This Row],[Clamping Force]],"OK","NOK")</f>
        <v>OK</v>
      </c>
      <c r="AD53" s="6" t="str">
        <f>IF(OR(($G$3&lt;Tabulka2[[#This Row],[Max
Width]]),(AND($G$4&lt;Tabulka2[[#This Row],[Max
Width]],$G$5&lt;Tabulka2[[#This Row],[Max
Height]]))),"OK","NOK")</f>
        <v>OK</v>
      </c>
      <c r="AE53" s="6" t="str">
        <f>IF(IF($G$4+$K$4&lt;=Tabulka2[[#This Row],[Max Opening]],"OK","NOK")&amp;IF($G$4&lt;=Tabulka2[[#This Row],[Max Length]],"OK","NOK")="OKOK","OK","NOK")</f>
        <v>NOK</v>
      </c>
      <c r="AF53" s="54">
        <f>$W$7/Tabulka2[[#This Row],[V '[cm3']]]</f>
        <v>0.39554397822209697</v>
      </c>
      <c r="AG53" s="55">
        <f>(Tabulka2[[#This Row],[V '[cm3']]]*2.2*$W$3)/($W$7*60)</f>
        <v>82.31701604042027</v>
      </c>
      <c r="AH53" s="73">
        <f>IF(Tabulka2[[#This Row],[V '[cm3']]]/$W$7&lt;1,"-",Tabulka2[[#This Row],[V '[cm3']]]/$W$7)</f>
        <v>2.5281638833052904</v>
      </c>
      <c r="AI5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4" spans="2:35" s="6" customFormat="1" x14ac:dyDescent="0.2">
      <c r="B54" s="62" t="s">
        <v>143</v>
      </c>
      <c r="C54" s="67">
        <v>31</v>
      </c>
      <c r="D54" s="67" t="s">
        <v>103</v>
      </c>
      <c r="E54" s="67" t="s">
        <v>263</v>
      </c>
      <c r="F54" s="67" t="s">
        <v>268</v>
      </c>
      <c r="G54" s="67" t="s">
        <v>266</v>
      </c>
      <c r="H54" s="67" t="s">
        <v>267</v>
      </c>
      <c r="I54" s="67">
        <v>160</v>
      </c>
      <c r="J54" s="67">
        <v>318</v>
      </c>
      <c r="K54" s="67">
        <v>291</v>
      </c>
      <c r="L54" s="67">
        <v>2470</v>
      </c>
      <c r="M54" s="62" t="s">
        <v>185</v>
      </c>
      <c r="N54" s="67">
        <v>1075</v>
      </c>
      <c r="O54" s="67">
        <v>0</v>
      </c>
      <c r="P54" s="67">
        <v>250</v>
      </c>
      <c r="Q54" s="67">
        <v>520</v>
      </c>
      <c r="R54" s="67">
        <v>520</v>
      </c>
      <c r="S54" s="67">
        <v>75</v>
      </c>
      <c r="T54" s="67">
        <v>50</v>
      </c>
      <c r="U54" s="67" t="s">
        <v>50</v>
      </c>
      <c r="V54" s="67" t="s">
        <v>50</v>
      </c>
      <c r="W54" s="67">
        <v>2</v>
      </c>
      <c r="X54" s="67" t="s">
        <v>152</v>
      </c>
      <c r="Y54" s="68"/>
      <c r="AB54" s="69" t="str">
        <f>IF(AND($K$3="Robot Hand",Tabulka2[[#This Row],[Robot]]&lt;&gt;"R"),"NOK","OK")</f>
        <v>OK</v>
      </c>
      <c r="AC54" s="69" t="str">
        <f>IF($W$6&lt;=Tabulka2[[#This Row],[Clamping Force]],"OK","NOK")</f>
        <v>OK</v>
      </c>
      <c r="AD54" s="69" t="str">
        <f>IF(OR(($G$3&lt;Tabulka2[[#This Row],[Max
Width]]),(AND($G$4&lt;Tabulka2[[#This Row],[Max
Width]],$G$5&lt;Tabulka2[[#This Row],[Max
Height]]))),"OK","NOK")</f>
        <v>OK</v>
      </c>
      <c r="AE54" s="69" t="str">
        <f>IF(IF($G$4+$K$4&lt;=Tabulka2[[#This Row],[Max Opening]],"OK","NOK")&amp;IF($G$4&lt;=Tabulka2[[#This Row],[Max Length]],"OK","NOK")="OKOK","OK","NOK")</f>
        <v>NOK</v>
      </c>
      <c r="AF54" s="54">
        <f>$W$7/Tabulka2[[#This Row],[V '[cm3']]]</f>
        <v>0.2500136466120802</v>
      </c>
      <c r="AG54" s="55">
        <f>(Tabulka2[[#This Row],[V '[cm3']]]*2.2*$W$3)/($W$7*60)</f>
        <v>130.2328910490231</v>
      </c>
      <c r="AH54" s="73">
        <f>IF(Tabulka2[[#This Row],[V '[cm3']]]/$W$7&lt;1,"-",Tabulka2[[#This Row],[V '[cm3']]]/$W$7)</f>
        <v>3.9997816661247878</v>
      </c>
      <c r="AI54" s="69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5" spans="2:35" s="6" customFormat="1" x14ac:dyDescent="0.2">
      <c r="B55" s="70" t="s">
        <v>143</v>
      </c>
      <c r="C55" s="67">
        <v>32</v>
      </c>
      <c r="D55" s="67" t="s">
        <v>265</v>
      </c>
      <c r="E55" s="67" t="s">
        <v>264</v>
      </c>
      <c r="F55" s="67">
        <v>20</v>
      </c>
      <c r="G55" s="67"/>
      <c r="H55" s="67">
        <v>60</v>
      </c>
      <c r="I55" s="67">
        <v>250</v>
      </c>
      <c r="J55" s="67">
        <v>763</v>
      </c>
      <c r="K55" s="67">
        <v>681</v>
      </c>
      <c r="L55" s="67">
        <v>1900</v>
      </c>
      <c r="M55" s="67">
        <v>675</v>
      </c>
      <c r="N55" s="67">
        <v>1385</v>
      </c>
      <c r="O55" s="67">
        <v>710</v>
      </c>
      <c r="P55" s="67">
        <v>330</v>
      </c>
      <c r="Q55" s="67">
        <v>630</v>
      </c>
      <c r="R55" s="67">
        <v>630</v>
      </c>
      <c r="S55" s="67">
        <v>90</v>
      </c>
      <c r="T55" s="67">
        <v>40</v>
      </c>
      <c r="U55" s="67">
        <v>200</v>
      </c>
      <c r="V55" s="67">
        <v>200</v>
      </c>
      <c r="W55" s="67">
        <v>2</v>
      </c>
      <c r="X55" s="67" t="s">
        <v>152</v>
      </c>
      <c r="Y55" s="68"/>
      <c r="AB55" s="69" t="str">
        <f>IF(AND($K$3="Robot Hand",Tabulka2[[#This Row],[Robot]]&lt;&gt;"R"),"NOK","OK")</f>
        <v>OK</v>
      </c>
      <c r="AC55" s="69" t="str">
        <f>IF($W$6&lt;=Tabulka2[[#This Row],[Clamping Force]],"OK","NOK")</f>
        <v>OK</v>
      </c>
      <c r="AD55" s="69" t="str">
        <f>IF(OR(($G$3&lt;Tabulka2[[#This Row],[Max
Width]]),(AND($G$4&lt;Tabulka2[[#This Row],[Max
Width]],$G$5&lt;Tabulka2[[#This Row],[Max
Height]]))),"OK","NOK")</f>
        <v>OK</v>
      </c>
      <c r="AE55" s="69" t="str">
        <f>IF(IF($G$4+$K$4&lt;=Tabulka2[[#This Row],[Max Opening]],"OK","NOK")&amp;IF($G$4&lt;=Tabulka2[[#This Row],[Max Length]],"OK","NOK")="OKOK","OK","NOK")</f>
        <v>OK</v>
      </c>
      <c r="AF55" s="54">
        <f>$W$7/Tabulka2[[#This Row],[V '[cm3']]]</f>
        <v>0.10419965874527064</v>
      </c>
      <c r="AG55" s="55">
        <f>(Tabulka2[[#This Row],[V '[cm3']]]*2.2*$W$3)/($W$7*60)</f>
        <v>312.47703103900824</v>
      </c>
      <c r="AH55" s="73">
        <f>IF(Tabulka2[[#This Row],[V '[cm3']]]/$W$7&lt;1,"-",Tabulka2[[#This Row],[V '[cm3']]]/$W$7)</f>
        <v>9.596960412745954</v>
      </c>
      <c r="AI55" s="69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6" spans="2:35" s="6" customFormat="1" x14ac:dyDescent="0.2">
      <c r="B56" s="67" t="s">
        <v>143</v>
      </c>
      <c r="C56" s="67">
        <v>33</v>
      </c>
      <c r="D56" s="67" t="s">
        <v>103</v>
      </c>
      <c r="E56" s="67" t="s">
        <v>270</v>
      </c>
      <c r="F56" s="67" t="s">
        <v>268</v>
      </c>
      <c r="G56" s="67" t="s">
        <v>266</v>
      </c>
      <c r="H56" s="67" t="s">
        <v>269</v>
      </c>
      <c r="I56" s="67">
        <v>160</v>
      </c>
      <c r="J56" s="67">
        <v>154</v>
      </c>
      <c r="K56" s="67">
        <v>141</v>
      </c>
      <c r="L56" s="67">
        <v>2500</v>
      </c>
      <c r="M56" s="67" t="s">
        <v>185</v>
      </c>
      <c r="N56" s="67">
        <v>1025</v>
      </c>
      <c r="O56" s="67">
        <v>0</v>
      </c>
      <c r="P56" s="67">
        <v>450</v>
      </c>
      <c r="Q56" s="67">
        <v>520</v>
      </c>
      <c r="R56" s="67">
        <v>520</v>
      </c>
      <c r="S56" s="67">
        <v>75</v>
      </c>
      <c r="T56" s="67">
        <v>50</v>
      </c>
      <c r="U56" s="67" t="s">
        <v>50</v>
      </c>
      <c r="V56" s="67" t="s">
        <v>50</v>
      </c>
      <c r="W56" s="67">
        <v>1</v>
      </c>
      <c r="X56" s="67" t="s">
        <v>154</v>
      </c>
      <c r="Y56" s="68"/>
      <c r="AB56" s="69" t="str">
        <f>IF(AND($K$3="Robot Hand",Tabulka2[[#This Row],[Robot]]&lt;&gt;"R"),"NOK","OK")</f>
        <v>NOK</v>
      </c>
      <c r="AC56" s="69" t="str">
        <f>IF($W$6&lt;=Tabulka2[[#This Row],[Clamping Force]],"OK","NOK")</f>
        <v>OK</v>
      </c>
      <c r="AD56" s="69" t="str">
        <f>IF(OR(($G$3&lt;Tabulka2[[#This Row],[Max
Width]]),(AND($G$4&lt;Tabulka2[[#This Row],[Max
Width]],$G$5&lt;Tabulka2[[#This Row],[Max
Height]]))),"OK","NOK")</f>
        <v>OK</v>
      </c>
      <c r="AE56" s="69" t="str">
        <f>IF(IF($G$4+$K$4&lt;=Tabulka2[[#This Row],[Max Opening]],"OK","NOK")&amp;IF($G$4&lt;=Tabulka2[[#This Row],[Max Length]],"OK","NOK")="OKOK","OK","NOK")</f>
        <v>NOK</v>
      </c>
      <c r="AF56" s="54">
        <f>$W$7/Tabulka2[[#This Row],[V '[cm3']]]</f>
        <v>0.51626194560156813</v>
      </c>
      <c r="AG56" s="55">
        <f>(Tabulka2[[#This Row],[V '[cm3']]]*2.2*$W$3)/($W$7*60)</f>
        <v>63.068758558331943</v>
      </c>
      <c r="AH56" s="73">
        <f>IF(Tabulka2[[#This Row],[V '[cm3']]]/$W$7&lt;1,"-",Tabulka2[[#This Row],[V '[cm3']]]/$W$7)</f>
        <v>1.9370011842239538</v>
      </c>
      <c r="AI56" s="69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7" spans="2:35" s="6" customFormat="1" x14ac:dyDescent="0.2">
      <c r="B57" s="62" t="s">
        <v>142</v>
      </c>
      <c r="C57" s="62">
        <v>1</v>
      </c>
      <c r="D57" s="62" t="s">
        <v>66</v>
      </c>
      <c r="E57" s="62" t="s">
        <v>0</v>
      </c>
      <c r="F57" s="62">
        <v>20</v>
      </c>
      <c r="G57" s="62"/>
      <c r="H57" s="62">
        <v>18</v>
      </c>
      <c r="I57" s="62">
        <v>35</v>
      </c>
      <c r="J57" s="62">
        <v>23</v>
      </c>
      <c r="K57" s="62">
        <v>20</v>
      </c>
      <c r="L57" s="62">
        <v>2400</v>
      </c>
      <c r="M57" s="63" t="s">
        <v>185</v>
      </c>
      <c r="N57" s="62">
        <v>530</v>
      </c>
      <c r="O57" s="62">
        <v>0</v>
      </c>
      <c r="P57" s="62">
        <v>180</v>
      </c>
      <c r="Q57" s="62">
        <v>280</v>
      </c>
      <c r="R57" s="62">
        <v>280</v>
      </c>
      <c r="S57" s="62">
        <v>40</v>
      </c>
      <c r="T57" s="62">
        <v>30</v>
      </c>
      <c r="U57" s="62">
        <v>110</v>
      </c>
      <c r="V57" s="62">
        <v>100</v>
      </c>
      <c r="W57" s="62">
        <v>0</v>
      </c>
      <c r="X57" s="62" t="s">
        <v>148</v>
      </c>
      <c r="Y57" s="64"/>
      <c r="AB57" s="6" t="str">
        <f>IF(AND($K$3="Robot Hand",Tabulka2[[#This Row],[Robot]]&lt;&gt;"R"),"NOK","OK")</f>
        <v>NOK</v>
      </c>
      <c r="AC57" s="6" t="str">
        <f>IF($W$6&lt;=Tabulka2[[#This Row],[Clamping Force]],"OK","NOK")</f>
        <v>NOK</v>
      </c>
      <c r="AD57" s="6" t="str">
        <f>IF(OR(($G$3&lt;Tabulka2[[#This Row],[Max
Width]]),(AND($G$4&lt;Tabulka2[[#This Row],[Max
Width]],$G$5&lt;Tabulka2[[#This Row],[Max
Height]]))),"OK","NOK")</f>
        <v>NOK</v>
      </c>
      <c r="AE57" s="6" t="str">
        <f>IF(IF($G$4+$K$4&lt;=Tabulka2[[#This Row],[Max Opening]],"OK","NOK")&amp;IF($G$4&lt;=Tabulka2[[#This Row],[Max Length]],"OK","NOK")="OKOK","OK","NOK")</f>
        <v>NOK</v>
      </c>
      <c r="AF57" s="54">
        <f>$W$7/Tabulka2[[#This Row],[V '[cm3']]]</f>
        <v>3.4567104183757174</v>
      </c>
      <c r="AG57" s="55">
        <f>(Tabulka2[[#This Row],[V '[cm3']]]*2.2*$W$3)/($W$7*60)</f>
        <v>9.4193600444261989</v>
      </c>
      <c r="AH57" s="73" t="str">
        <f>IF(Tabulka2[[#This Row],[V '[cm3']]]/$W$7&lt;1,"-",Tabulka2[[#This Row],[V '[cm3']]]/$W$7)</f>
        <v>-</v>
      </c>
      <c r="AI5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8" spans="2:35" s="6" customFormat="1" x14ac:dyDescent="0.2">
      <c r="B58" s="62" t="s">
        <v>142</v>
      </c>
      <c r="C58" s="62">
        <v>2</v>
      </c>
      <c r="D58" s="62" t="s">
        <v>57</v>
      </c>
      <c r="E58" s="62" t="s">
        <v>60</v>
      </c>
      <c r="F58" s="62">
        <v>24.5</v>
      </c>
      <c r="G58" s="62"/>
      <c r="H58" s="62">
        <v>18</v>
      </c>
      <c r="I58" s="62">
        <v>50</v>
      </c>
      <c r="J58" s="62">
        <v>20</v>
      </c>
      <c r="K58" s="62">
        <v>18</v>
      </c>
      <c r="L58" s="62">
        <v>2500</v>
      </c>
      <c r="M58" s="63" t="s">
        <v>185</v>
      </c>
      <c r="N58" s="62">
        <v>575</v>
      </c>
      <c r="O58" s="62">
        <v>0</v>
      </c>
      <c r="P58" s="62">
        <v>225</v>
      </c>
      <c r="Q58" s="62">
        <v>320</v>
      </c>
      <c r="R58" s="62">
        <v>320</v>
      </c>
      <c r="S58" s="62">
        <v>45</v>
      </c>
      <c r="T58" s="62">
        <v>40</v>
      </c>
      <c r="U58" s="62" t="s">
        <v>50</v>
      </c>
      <c r="V58" s="62" t="s">
        <v>50</v>
      </c>
      <c r="W58" s="62">
        <v>1</v>
      </c>
      <c r="X58" s="62" t="s">
        <v>148</v>
      </c>
      <c r="Y58" s="64"/>
      <c r="AB58" s="6" t="str">
        <f>IF(AND($K$3="Robot Hand",Tabulka2[[#This Row],[Robot]]&lt;&gt;"R"),"NOK","OK")</f>
        <v>NOK</v>
      </c>
      <c r="AC58" s="6" t="str">
        <f>IF($W$6&lt;=Tabulka2[[#This Row],[Clamping Force]],"OK","NOK")</f>
        <v>OK</v>
      </c>
      <c r="AD58" s="6" t="str">
        <f>IF(OR(($G$3&lt;Tabulka2[[#This Row],[Max
Width]]),(AND($G$4&lt;Tabulka2[[#This Row],[Max
Width]],$G$5&lt;Tabulka2[[#This Row],[Max
Height]]))),"OK","NOK")</f>
        <v>NOK</v>
      </c>
      <c r="AE58" s="6" t="str">
        <f>IF(IF($G$4+$K$4&lt;=Tabulka2[[#This Row],[Max Opening]],"OK","NOK")&amp;IF($G$4&lt;=Tabulka2[[#This Row],[Max Length]],"OK","NOK")="OKOK","OK","NOK")</f>
        <v>NOK</v>
      </c>
      <c r="AF58" s="54">
        <f>$W$7/Tabulka2[[#This Row],[V '[cm3']]]</f>
        <v>3.9752169811320748</v>
      </c>
      <c r="AG58" s="55">
        <f>(Tabulka2[[#This Row],[V '[cm3']]]*2.2*$W$3)/($W$7*60)</f>
        <v>8.1907478647184337</v>
      </c>
      <c r="AH58" s="73" t="str">
        <f>IF(Tabulka2[[#This Row],[V '[cm3']]]/$W$7&lt;1,"-",Tabulka2[[#This Row],[V '[cm3']]]/$W$7)</f>
        <v>-</v>
      </c>
      <c r="AI5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59" spans="2:35" s="6" customFormat="1" x14ac:dyDescent="0.2">
      <c r="B59" s="62" t="s">
        <v>142</v>
      </c>
      <c r="C59" s="62">
        <v>3</v>
      </c>
      <c r="D59" s="62" t="s">
        <v>56</v>
      </c>
      <c r="E59" s="62" t="s">
        <v>61</v>
      </c>
      <c r="F59" s="62">
        <v>24</v>
      </c>
      <c r="G59" s="62"/>
      <c r="H59" s="62">
        <v>25</v>
      </c>
      <c r="I59" s="62">
        <v>50</v>
      </c>
      <c r="J59" s="62">
        <v>54</v>
      </c>
      <c r="K59" s="62">
        <v>49</v>
      </c>
      <c r="L59" s="62">
        <v>2500</v>
      </c>
      <c r="M59" s="63" t="s">
        <v>185</v>
      </c>
      <c r="N59" s="62">
        <v>575</v>
      </c>
      <c r="O59" s="62">
        <v>0</v>
      </c>
      <c r="P59" s="62">
        <v>225</v>
      </c>
      <c r="Q59" s="62">
        <v>320</v>
      </c>
      <c r="R59" s="62">
        <v>320</v>
      </c>
      <c r="S59" s="62">
        <v>45</v>
      </c>
      <c r="T59" s="62">
        <v>40</v>
      </c>
      <c r="U59" s="62" t="s">
        <v>50</v>
      </c>
      <c r="V59" s="62" t="s">
        <v>50</v>
      </c>
      <c r="W59" s="62">
        <v>1</v>
      </c>
      <c r="X59" s="62" t="s">
        <v>148</v>
      </c>
      <c r="Y59" s="64"/>
      <c r="AB59" s="6" t="str">
        <f>IF(AND($K$3="Robot Hand",Tabulka2[[#This Row],[Robot]]&lt;&gt;"R"),"NOK","OK")</f>
        <v>NOK</v>
      </c>
      <c r="AC59" s="6" t="str">
        <f>IF($W$6&lt;=Tabulka2[[#This Row],[Clamping Force]],"OK","NOK")</f>
        <v>OK</v>
      </c>
      <c r="AD59" s="6" t="str">
        <f>IF(OR(($G$3&lt;Tabulka2[[#This Row],[Max
Width]]),(AND($G$4&lt;Tabulka2[[#This Row],[Max
Width]],$G$5&lt;Tabulka2[[#This Row],[Max
Height]]))),"OK","NOK")</f>
        <v>NOK</v>
      </c>
      <c r="AE59" s="6" t="str">
        <f>IF(IF($G$4+$K$4&lt;=Tabulka2[[#This Row],[Max Opening]],"OK","NOK")&amp;IF($G$4&lt;=Tabulka2[[#This Row],[Max Length]],"OK","NOK")="OKOK","OK","NOK")</f>
        <v>NOK</v>
      </c>
      <c r="AF59" s="54">
        <f>$W$7/Tabulka2[[#This Row],[V '[cm3']]]</f>
        <v>1.4723025856044722</v>
      </c>
      <c r="AG59" s="55">
        <f>(Tabulka2[[#This Row],[V '[cm3']]]*2.2*$W$3)/($W$7*60)</f>
        <v>22.115019234739773</v>
      </c>
      <c r="AH59" s="73" t="str">
        <f>IF(Tabulka2[[#This Row],[V '[cm3']]]/$W$7&lt;1,"-",Tabulka2[[#This Row],[V '[cm3']]]/$W$7)</f>
        <v>-</v>
      </c>
      <c r="AI5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0" spans="2:35" s="6" customFormat="1" x14ac:dyDescent="0.2">
      <c r="B60" s="62" t="s">
        <v>142</v>
      </c>
      <c r="C60" s="62">
        <v>4</v>
      </c>
      <c r="D60" s="62" t="s">
        <v>56</v>
      </c>
      <c r="E60" s="62" t="s">
        <v>62</v>
      </c>
      <c r="F60" s="62">
        <v>24</v>
      </c>
      <c r="G60" s="62"/>
      <c r="H60" s="62">
        <v>25</v>
      </c>
      <c r="I60" s="62">
        <v>50</v>
      </c>
      <c r="J60" s="62">
        <v>54</v>
      </c>
      <c r="K60" s="62">
        <v>49</v>
      </c>
      <c r="L60" s="62">
        <v>2500</v>
      </c>
      <c r="M60" s="63" t="s">
        <v>185</v>
      </c>
      <c r="N60" s="62">
        <v>575</v>
      </c>
      <c r="O60" s="62">
        <v>0</v>
      </c>
      <c r="P60" s="62">
        <v>225</v>
      </c>
      <c r="Q60" s="62">
        <v>320</v>
      </c>
      <c r="R60" s="62">
        <v>320</v>
      </c>
      <c r="S60" s="62">
        <v>45</v>
      </c>
      <c r="T60" s="62">
        <v>40</v>
      </c>
      <c r="U60" s="62" t="s">
        <v>50</v>
      </c>
      <c r="V60" s="62" t="s">
        <v>50</v>
      </c>
      <c r="W60" s="62">
        <v>0</v>
      </c>
      <c r="X60" s="62" t="s">
        <v>148</v>
      </c>
      <c r="Y60" s="64"/>
      <c r="AB60" s="6" t="str">
        <f>IF(AND($K$3="Robot Hand",Tabulka2[[#This Row],[Robot]]&lt;&gt;"R"),"NOK","OK")</f>
        <v>NOK</v>
      </c>
      <c r="AC60" s="6" t="str">
        <f>IF($W$6&lt;=Tabulka2[[#This Row],[Clamping Force]],"OK","NOK")</f>
        <v>OK</v>
      </c>
      <c r="AD60" s="6" t="str">
        <f>IF(OR(($G$3&lt;Tabulka2[[#This Row],[Max
Width]]),(AND($G$4&lt;Tabulka2[[#This Row],[Max
Width]],$G$5&lt;Tabulka2[[#This Row],[Max
Height]]))),"OK","NOK")</f>
        <v>NOK</v>
      </c>
      <c r="AE60" s="6" t="str">
        <f>IF(IF($G$4+$K$4&lt;=Tabulka2[[#This Row],[Max Opening]],"OK","NOK")&amp;IF($G$4&lt;=Tabulka2[[#This Row],[Max Length]],"OK","NOK")="OKOK","OK","NOK")</f>
        <v>NOK</v>
      </c>
      <c r="AF60" s="54">
        <f>$W$7/Tabulka2[[#This Row],[V '[cm3']]]</f>
        <v>1.4723025856044722</v>
      </c>
      <c r="AG60" s="55">
        <f>(Tabulka2[[#This Row],[V '[cm3']]]*2.2*$W$3)/($W$7*60)</f>
        <v>22.115019234739773</v>
      </c>
      <c r="AH60" s="73" t="str">
        <f>IF(Tabulka2[[#This Row],[V '[cm3']]]/$W$7&lt;1,"-",Tabulka2[[#This Row],[V '[cm3']]]/$W$7)</f>
        <v>-</v>
      </c>
      <c r="AI6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1" spans="2:35" s="6" customFormat="1" x14ac:dyDescent="0.2">
      <c r="B61" s="62" t="s">
        <v>142</v>
      </c>
      <c r="C61" s="62">
        <v>5</v>
      </c>
      <c r="D61" s="62" t="s">
        <v>67</v>
      </c>
      <c r="E61" s="62" t="s">
        <v>1</v>
      </c>
      <c r="F61" s="62">
        <v>20</v>
      </c>
      <c r="G61" s="62"/>
      <c r="H61" s="62">
        <v>30</v>
      </c>
      <c r="I61" s="62">
        <v>50</v>
      </c>
      <c r="J61" s="62">
        <v>106</v>
      </c>
      <c r="K61" s="62">
        <v>94</v>
      </c>
      <c r="L61" s="62">
        <v>1990</v>
      </c>
      <c r="M61" s="63" t="s">
        <v>185</v>
      </c>
      <c r="N61" s="62">
        <v>610</v>
      </c>
      <c r="O61" s="62">
        <v>0</v>
      </c>
      <c r="P61" s="62">
        <v>210</v>
      </c>
      <c r="Q61" s="62">
        <v>355</v>
      </c>
      <c r="R61" s="62">
        <v>355</v>
      </c>
      <c r="S61" s="62">
        <v>50</v>
      </c>
      <c r="T61" s="62">
        <v>40</v>
      </c>
      <c r="U61" s="62" t="s">
        <v>50</v>
      </c>
      <c r="V61" s="62" t="s">
        <v>50</v>
      </c>
      <c r="W61" s="62">
        <v>0</v>
      </c>
      <c r="X61" s="62" t="s">
        <v>148</v>
      </c>
      <c r="Y61" s="64"/>
      <c r="AB61" s="6" t="str">
        <f>IF(AND($K$3="Robot Hand",Tabulka2[[#This Row],[Robot]]&lt;&gt;"R"),"NOK","OK")</f>
        <v>NOK</v>
      </c>
      <c r="AC61" s="6" t="str">
        <f>IF($W$6&lt;=Tabulka2[[#This Row],[Clamping Force]],"OK","NOK")</f>
        <v>OK</v>
      </c>
      <c r="AD61" s="6" t="str">
        <f>IF(OR(($G$3&lt;Tabulka2[[#This Row],[Max
Width]]),(AND($G$4&lt;Tabulka2[[#This Row],[Max
Width]],$G$5&lt;Tabulka2[[#This Row],[Max
Height]]))),"OK","NOK")</f>
        <v>NOK</v>
      </c>
      <c r="AE61" s="6" t="str">
        <f>IF(IF($G$4+$K$4&lt;=Tabulka2[[#This Row],[Max Opening]],"OK","NOK")&amp;IF($G$4&lt;=Tabulka2[[#This Row],[Max Length]],"OK","NOK")="OKOK","OK","NOK")</f>
        <v>NOK</v>
      </c>
      <c r="AF61" s="54">
        <f>$W$7/Tabulka2[[#This Row],[V '[cm3']]]</f>
        <v>0.75004093983624054</v>
      </c>
      <c r="AG61" s="55">
        <f>(Tabulka2[[#This Row],[V '[cm3']]]*2.2*$W$3)/($W$7*60)</f>
        <v>43.410963683007701</v>
      </c>
      <c r="AH61" s="73">
        <f>IF(Tabulka2[[#This Row],[V '[cm3']]]/$W$7&lt;1,"-",Tabulka2[[#This Row],[V '[cm3']]]/$W$7)</f>
        <v>1.3332605553749293</v>
      </c>
      <c r="AI6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2" spans="2:35" s="6" customFormat="1" x14ac:dyDescent="0.2">
      <c r="B62" s="62" t="s">
        <v>142</v>
      </c>
      <c r="C62" s="62">
        <v>6</v>
      </c>
      <c r="D62" s="62" t="s">
        <v>67</v>
      </c>
      <c r="E62" s="62" t="s">
        <v>2</v>
      </c>
      <c r="F62" s="62">
        <v>20</v>
      </c>
      <c r="G62" s="62"/>
      <c r="H62" s="62">
        <v>30</v>
      </c>
      <c r="I62" s="62">
        <v>50</v>
      </c>
      <c r="J62" s="62">
        <v>106</v>
      </c>
      <c r="K62" s="62">
        <v>94</v>
      </c>
      <c r="L62" s="62">
        <v>1990</v>
      </c>
      <c r="M62" s="63" t="s">
        <v>185</v>
      </c>
      <c r="N62" s="62">
        <v>610</v>
      </c>
      <c r="O62" s="62">
        <v>0</v>
      </c>
      <c r="P62" s="62">
        <v>210</v>
      </c>
      <c r="Q62" s="62">
        <v>355</v>
      </c>
      <c r="R62" s="62">
        <v>355</v>
      </c>
      <c r="S62" s="62">
        <v>50</v>
      </c>
      <c r="T62" s="62">
        <v>40</v>
      </c>
      <c r="U62" s="62" t="s">
        <v>50</v>
      </c>
      <c r="V62" s="62" t="s">
        <v>50</v>
      </c>
      <c r="W62" s="62">
        <v>0</v>
      </c>
      <c r="X62" s="62" t="s">
        <v>148</v>
      </c>
      <c r="Y62" s="64"/>
      <c r="AB62" s="6" t="str">
        <f>IF(AND($K$3="Robot Hand",Tabulka2[[#This Row],[Robot]]&lt;&gt;"R"),"NOK","OK")</f>
        <v>NOK</v>
      </c>
      <c r="AC62" s="6" t="str">
        <f>IF($W$6&lt;=Tabulka2[[#This Row],[Clamping Force]],"OK","NOK")</f>
        <v>OK</v>
      </c>
      <c r="AD62" s="6" t="str">
        <f>IF(OR(($G$3&lt;Tabulka2[[#This Row],[Max
Width]]),(AND($G$4&lt;Tabulka2[[#This Row],[Max
Width]],$G$5&lt;Tabulka2[[#This Row],[Max
Height]]))),"OK","NOK")</f>
        <v>NOK</v>
      </c>
      <c r="AE62" s="6" t="str">
        <f>IF(IF($G$4+$K$4&lt;=Tabulka2[[#This Row],[Max Opening]],"OK","NOK")&amp;IF($G$4&lt;=Tabulka2[[#This Row],[Max Length]],"OK","NOK")="OKOK","OK","NOK")</f>
        <v>NOK</v>
      </c>
      <c r="AF62" s="54">
        <f>$W$7/Tabulka2[[#This Row],[V '[cm3']]]</f>
        <v>0.75004093983624054</v>
      </c>
      <c r="AG62" s="55">
        <f>(Tabulka2[[#This Row],[V '[cm3']]]*2.2*$W$3)/($W$7*60)</f>
        <v>43.410963683007701</v>
      </c>
      <c r="AH62" s="73">
        <f>IF(Tabulka2[[#This Row],[V '[cm3']]]/$W$7&lt;1,"-",Tabulka2[[#This Row],[V '[cm3']]]/$W$7)</f>
        <v>1.3332605553749293</v>
      </c>
      <c r="AI6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3" spans="2:35" s="6" customFormat="1" x14ac:dyDescent="0.2">
      <c r="B63" s="62" t="s">
        <v>142</v>
      </c>
      <c r="C63" s="62">
        <v>7</v>
      </c>
      <c r="D63" s="62" t="s">
        <v>67</v>
      </c>
      <c r="E63" s="62" t="s">
        <v>3</v>
      </c>
      <c r="F63" s="62">
        <v>20</v>
      </c>
      <c r="G63" s="62"/>
      <c r="H63" s="62">
        <v>30</v>
      </c>
      <c r="I63" s="62">
        <v>50</v>
      </c>
      <c r="J63" s="62">
        <v>106</v>
      </c>
      <c r="K63" s="62">
        <v>94</v>
      </c>
      <c r="L63" s="62">
        <v>1990</v>
      </c>
      <c r="M63" s="63" t="s">
        <v>185</v>
      </c>
      <c r="N63" s="62">
        <v>610</v>
      </c>
      <c r="O63" s="62">
        <v>0</v>
      </c>
      <c r="P63" s="62">
        <v>210</v>
      </c>
      <c r="Q63" s="62">
        <v>355</v>
      </c>
      <c r="R63" s="62">
        <v>355</v>
      </c>
      <c r="S63" s="62">
        <v>50</v>
      </c>
      <c r="T63" s="62">
        <v>40</v>
      </c>
      <c r="U63" s="62" t="s">
        <v>50</v>
      </c>
      <c r="V63" s="62" t="s">
        <v>50</v>
      </c>
      <c r="W63" s="62">
        <v>0</v>
      </c>
      <c r="X63" s="62" t="s">
        <v>148</v>
      </c>
      <c r="Y63" s="64"/>
      <c r="AB63" s="6" t="str">
        <f>IF(AND($K$3="Robot Hand",Tabulka2[[#This Row],[Robot]]&lt;&gt;"R"),"NOK","OK")</f>
        <v>NOK</v>
      </c>
      <c r="AC63" s="6" t="str">
        <f>IF($W$6&lt;=Tabulka2[[#This Row],[Clamping Force]],"OK","NOK")</f>
        <v>OK</v>
      </c>
      <c r="AD63" s="6" t="str">
        <f>IF(OR(($G$3&lt;Tabulka2[[#This Row],[Max
Width]]),(AND($G$4&lt;Tabulka2[[#This Row],[Max
Width]],$G$5&lt;Tabulka2[[#This Row],[Max
Height]]))),"OK","NOK")</f>
        <v>NOK</v>
      </c>
      <c r="AE63" s="6" t="str">
        <f>IF(IF($G$4+$K$4&lt;=Tabulka2[[#This Row],[Max Opening]],"OK","NOK")&amp;IF($G$4&lt;=Tabulka2[[#This Row],[Max Length]],"OK","NOK")="OKOK","OK","NOK")</f>
        <v>NOK</v>
      </c>
      <c r="AF63" s="54">
        <f>$W$7/Tabulka2[[#This Row],[V '[cm3']]]</f>
        <v>0.75004093983624054</v>
      </c>
      <c r="AG63" s="55">
        <f>(Tabulka2[[#This Row],[V '[cm3']]]*2.2*$W$3)/($W$7*60)</f>
        <v>43.410963683007701</v>
      </c>
      <c r="AH63" s="73">
        <f>IF(Tabulka2[[#This Row],[V '[cm3']]]/$W$7&lt;1,"-",Tabulka2[[#This Row],[V '[cm3']]]/$W$7)</f>
        <v>1.3332605553749293</v>
      </c>
      <c r="AI6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4" spans="2:35" s="6" customFormat="1" x14ac:dyDescent="0.2">
      <c r="B64" s="62" t="s">
        <v>142</v>
      </c>
      <c r="C64" s="62">
        <v>8</v>
      </c>
      <c r="D64" s="62" t="s">
        <v>67</v>
      </c>
      <c r="E64" s="62" t="s">
        <v>4</v>
      </c>
      <c r="F64" s="62">
        <v>20</v>
      </c>
      <c r="G64" s="62"/>
      <c r="H64" s="62">
        <v>30</v>
      </c>
      <c r="I64" s="62">
        <v>50</v>
      </c>
      <c r="J64" s="62">
        <v>106</v>
      </c>
      <c r="K64" s="62">
        <v>94</v>
      </c>
      <c r="L64" s="62">
        <v>1990</v>
      </c>
      <c r="M64" s="63" t="s">
        <v>185</v>
      </c>
      <c r="N64" s="62">
        <v>610</v>
      </c>
      <c r="O64" s="62">
        <v>0</v>
      </c>
      <c r="P64" s="62">
        <v>210</v>
      </c>
      <c r="Q64" s="62">
        <v>355</v>
      </c>
      <c r="R64" s="62">
        <v>355</v>
      </c>
      <c r="S64" s="62">
        <v>50</v>
      </c>
      <c r="T64" s="62">
        <v>40</v>
      </c>
      <c r="U64" s="62" t="s">
        <v>50</v>
      </c>
      <c r="V64" s="62" t="s">
        <v>50</v>
      </c>
      <c r="W64" s="62">
        <v>1</v>
      </c>
      <c r="X64" s="62" t="s">
        <v>148</v>
      </c>
      <c r="Y64" s="64"/>
      <c r="AB64" s="6" t="str">
        <f>IF(AND($K$3="Robot Hand",Tabulka2[[#This Row],[Robot]]&lt;&gt;"R"),"NOK","OK")</f>
        <v>NOK</v>
      </c>
      <c r="AC64" s="6" t="str">
        <f>IF($W$6&lt;=Tabulka2[[#This Row],[Clamping Force]],"OK","NOK")</f>
        <v>OK</v>
      </c>
      <c r="AD64" s="6" t="str">
        <f>IF(OR(($G$3&lt;Tabulka2[[#This Row],[Max
Width]]),(AND($G$4&lt;Tabulka2[[#This Row],[Max
Width]],$G$5&lt;Tabulka2[[#This Row],[Max
Height]]))),"OK","NOK")</f>
        <v>NOK</v>
      </c>
      <c r="AE64" s="6" t="str">
        <f>IF(IF($G$4+$K$4&lt;=Tabulka2[[#This Row],[Max Opening]],"OK","NOK")&amp;IF($G$4&lt;=Tabulka2[[#This Row],[Max Length]],"OK","NOK")="OKOK","OK","NOK")</f>
        <v>NOK</v>
      </c>
      <c r="AF64" s="54">
        <f>$W$7/Tabulka2[[#This Row],[V '[cm3']]]</f>
        <v>0.75004093983624054</v>
      </c>
      <c r="AG64" s="55">
        <f>(Tabulka2[[#This Row],[V '[cm3']]]*2.2*$W$3)/($W$7*60)</f>
        <v>43.410963683007701</v>
      </c>
      <c r="AH64" s="73">
        <f>IF(Tabulka2[[#This Row],[V '[cm3']]]/$W$7&lt;1,"-",Tabulka2[[#This Row],[V '[cm3']]]/$W$7)</f>
        <v>1.3332605553749293</v>
      </c>
      <c r="AI6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5" spans="2:35" s="6" customFormat="1" x14ac:dyDescent="0.2">
      <c r="B65" s="62" t="s">
        <v>142</v>
      </c>
      <c r="C65" s="62">
        <v>9</v>
      </c>
      <c r="D65" s="62" t="s">
        <v>68</v>
      </c>
      <c r="E65" s="62" t="s">
        <v>28</v>
      </c>
      <c r="F65" s="62">
        <v>20</v>
      </c>
      <c r="G65" s="62"/>
      <c r="H65" s="62">
        <v>30</v>
      </c>
      <c r="I65" s="62">
        <v>50</v>
      </c>
      <c r="J65" s="62">
        <v>106</v>
      </c>
      <c r="K65" s="62">
        <v>94</v>
      </c>
      <c r="L65" s="62">
        <v>2750</v>
      </c>
      <c r="M65" s="63" t="s">
        <v>185</v>
      </c>
      <c r="N65" s="62">
        <v>610</v>
      </c>
      <c r="O65" s="62">
        <v>0</v>
      </c>
      <c r="P65" s="62">
        <v>210</v>
      </c>
      <c r="Q65" s="62">
        <v>370</v>
      </c>
      <c r="R65" s="62">
        <v>370</v>
      </c>
      <c r="S65" s="62">
        <v>50</v>
      </c>
      <c r="T65" s="62">
        <v>40</v>
      </c>
      <c r="U65" s="62" t="s">
        <v>50</v>
      </c>
      <c r="V65" s="62" t="s">
        <v>50</v>
      </c>
      <c r="W65" s="62">
        <v>0</v>
      </c>
      <c r="X65" s="62" t="s">
        <v>148</v>
      </c>
      <c r="Y65" s="64"/>
      <c r="AB65" s="6" t="str">
        <f>IF(AND($K$3="Robot Hand",Tabulka2[[#This Row],[Robot]]&lt;&gt;"R"),"NOK","OK")</f>
        <v>NOK</v>
      </c>
      <c r="AC65" s="6" t="str">
        <f>IF($W$6&lt;=Tabulka2[[#This Row],[Clamping Force]],"OK","NOK")</f>
        <v>OK</v>
      </c>
      <c r="AD65" s="6" t="str">
        <f>IF(OR(($G$3&lt;Tabulka2[[#This Row],[Max
Width]]),(AND($G$4&lt;Tabulka2[[#This Row],[Max
Width]],$G$5&lt;Tabulka2[[#This Row],[Max
Height]]))),"OK","NOK")</f>
        <v>NOK</v>
      </c>
      <c r="AE65" s="6" t="str">
        <f>IF(IF($G$4+$K$4&lt;=Tabulka2[[#This Row],[Max Opening]],"OK","NOK")&amp;IF($G$4&lt;=Tabulka2[[#This Row],[Max Length]],"OK","NOK")="OKOK","OK","NOK")</f>
        <v>NOK</v>
      </c>
      <c r="AF65" s="54">
        <f>$W$7/Tabulka2[[#This Row],[V '[cm3']]]</f>
        <v>0.75004093983624054</v>
      </c>
      <c r="AG65" s="55">
        <f>(Tabulka2[[#This Row],[V '[cm3']]]*2.2*$W$3)/($W$7*60)</f>
        <v>43.410963683007701</v>
      </c>
      <c r="AH65" s="73">
        <f>IF(Tabulka2[[#This Row],[V '[cm3']]]/$W$7&lt;1,"-",Tabulka2[[#This Row],[V '[cm3']]]/$W$7)</f>
        <v>1.3332605553749293</v>
      </c>
      <c r="AI6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6" spans="2:35" s="6" customFormat="1" x14ac:dyDescent="0.2">
      <c r="B66" s="62" t="s">
        <v>142</v>
      </c>
      <c r="C66" s="62">
        <v>10</v>
      </c>
      <c r="D66" s="62" t="s">
        <v>68</v>
      </c>
      <c r="E66" s="62" t="s">
        <v>29</v>
      </c>
      <c r="F66" s="62">
        <v>20</v>
      </c>
      <c r="G66" s="62"/>
      <c r="H66" s="62">
        <v>30</v>
      </c>
      <c r="I66" s="62">
        <v>50</v>
      </c>
      <c r="J66" s="62">
        <v>106</v>
      </c>
      <c r="K66" s="62">
        <v>94</v>
      </c>
      <c r="L66" s="62">
        <v>2750</v>
      </c>
      <c r="M66" s="63" t="s">
        <v>185</v>
      </c>
      <c r="N66" s="62">
        <v>610</v>
      </c>
      <c r="O66" s="62">
        <v>0</v>
      </c>
      <c r="P66" s="62">
        <v>210</v>
      </c>
      <c r="Q66" s="62">
        <v>370</v>
      </c>
      <c r="R66" s="62">
        <v>370</v>
      </c>
      <c r="S66" s="62">
        <v>50</v>
      </c>
      <c r="T66" s="62">
        <v>40</v>
      </c>
      <c r="U66" s="62" t="s">
        <v>50</v>
      </c>
      <c r="V66" s="62" t="s">
        <v>50</v>
      </c>
      <c r="W66" s="62">
        <v>0</v>
      </c>
      <c r="X66" s="62" t="s">
        <v>148</v>
      </c>
      <c r="Y66" s="64"/>
      <c r="AB66" s="6" t="str">
        <f>IF(AND($K$3="Robot Hand",Tabulka2[[#This Row],[Robot]]&lt;&gt;"R"),"NOK","OK")</f>
        <v>NOK</v>
      </c>
      <c r="AC66" s="6" t="str">
        <f>IF($W$6&lt;=Tabulka2[[#This Row],[Clamping Force]],"OK","NOK")</f>
        <v>OK</v>
      </c>
      <c r="AD66" s="6" t="str">
        <f>IF(OR(($G$3&lt;Tabulka2[[#This Row],[Max
Width]]),(AND($G$4&lt;Tabulka2[[#This Row],[Max
Width]],$G$5&lt;Tabulka2[[#This Row],[Max
Height]]))),"OK","NOK")</f>
        <v>NOK</v>
      </c>
      <c r="AE66" s="6" t="str">
        <f>IF(IF($G$4+$K$4&lt;=Tabulka2[[#This Row],[Max Opening]],"OK","NOK")&amp;IF($G$4&lt;=Tabulka2[[#This Row],[Max Length]],"OK","NOK")="OKOK","OK","NOK")</f>
        <v>NOK</v>
      </c>
      <c r="AF66" s="54">
        <f>$W$7/Tabulka2[[#This Row],[V '[cm3']]]</f>
        <v>0.75004093983624054</v>
      </c>
      <c r="AG66" s="55">
        <f>(Tabulka2[[#This Row],[V '[cm3']]]*2.2*$W$3)/($W$7*60)</f>
        <v>43.410963683007701</v>
      </c>
      <c r="AH66" s="73">
        <f>IF(Tabulka2[[#This Row],[V '[cm3']]]/$W$7&lt;1,"-",Tabulka2[[#This Row],[V '[cm3']]]/$W$7)</f>
        <v>1.3332605553749293</v>
      </c>
      <c r="AI6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7" spans="2:35" s="6" customFormat="1" x14ac:dyDescent="0.2">
      <c r="B67" s="62" t="s">
        <v>142</v>
      </c>
      <c r="C67" s="62">
        <v>11</v>
      </c>
      <c r="D67" s="62" t="s">
        <v>68</v>
      </c>
      <c r="E67" s="62" t="s">
        <v>30</v>
      </c>
      <c r="F67" s="62">
        <v>20</v>
      </c>
      <c r="G67" s="62"/>
      <c r="H67" s="62">
        <v>30</v>
      </c>
      <c r="I67" s="62">
        <v>50</v>
      </c>
      <c r="J67" s="62">
        <v>106</v>
      </c>
      <c r="K67" s="62">
        <v>94</v>
      </c>
      <c r="L67" s="62">
        <v>2750</v>
      </c>
      <c r="M67" s="63" t="s">
        <v>185</v>
      </c>
      <c r="N67" s="62">
        <v>610</v>
      </c>
      <c r="O67" s="62">
        <v>0</v>
      </c>
      <c r="P67" s="62">
        <v>210</v>
      </c>
      <c r="Q67" s="62">
        <v>370</v>
      </c>
      <c r="R67" s="62">
        <v>370</v>
      </c>
      <c r="S67" s="62">
        <v>50</v>
      </c>
      <c r="T67" s="62">
        <v>40</v>
      </c>
      <c r="U67" s="62" t="s">
        <v>50</v>
      </c>
      <c r="V67" s="62" t="s">
        <v>50</v>
      </c>
      <c r="W67" s="62">
        <v>0</v>
      </c>
      <c r="X67" s="62" t="s">
        <v>148</v>
      </c>
      <c r="Y67" s="64"/>
      <c r="AB67" s="6" t="str">
        <f>IF(AND($K$3="Robot Hand",Tabulka2[[#This Row],[Robot]]&lt;&gt;"R"),"NOK","OK")</f>
        <v>NOK</v>
      </c>
      <c r="AC67" s="6" t="str">
        <f>IF($W$6&lt;=Tabulka2[[#This Row],[Clamping Force]],"OK","NOK")</f>
        <v>OK</v>
      </c>
      <c r="AD67" s="6" t="str">
        <f>IF(OR(($G$3&lt;Tabulka2[[#This Row],[Max
Width]]),(AND($G$4&lt;Tabulka2[[#This Row],[Max
Width]],$G$5&lt;Tabulka2[[#This Row],[Max
Height]]))),"OK","NOK")</f>
        <v>NOK</v>
      </c>
      <c r="AE67" s="6" t="str">
        <f>IF(IF($G$4+$K$4&lt;=Tabulka2[[#This Row],[Max Opening]],"OK","NOK")&amp;IF($G$4&lt;=Tabulka2[[#This Row],[Max Length]],"OK","NOK")="OKOK","OK","NOK")</f>
        <v>NOK</v>
      </c>
      <c r="AF67" s="54">
        <f>$W$7/Tabulka2[[#This Row],[V '[cm3']]]</f>
        <v>0.75004093983624054</v>
      </c>
      <c r="AG67" s="55">
        <f>(Tabulka2[[#This Row],[V '[cm3']]]*2.2*$W$3)/($W$7*60)</f>
        <v>43.410963683007701</v>
      </c>
      <c r="AH67" s="73">
        <f>IF(Tabulka2[[#This Row],[V '[cm3']]]/$W$7&lt;1,"-",Tabulka2[[#This Row],[V '[cm3']]]/$W$7)</f>
        <v>1.3332605553749293</v>
      </c>
      <c r="AI6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8" spans="2:35" s="6" customFormat="1" x14ac:dyDescent="0.2">
      <c r="B68" s="62" t="s">
        <v>142</v>
      </c>
      <c r="C68" s="62">
        <v>12</v>
      </c>
      <c r="D68" s="62" t="s">
        <v>64</v>
      </c>
      <c r="E68" s="62" t="s">
        <v>5</v>
      </c>
      <c r="F68" s="62">
        <v>23.3</v>
      </c>
      <c r="G68" s="62"/>
      <c r="H68" s="62">
        <v>30</v>
      </c>
      <c r="I68" s="62">
        <v>60</v>
      </c>
      <c r="J68" s="62">
        <v>106</v>
      </c>
      <c r="K68" s="62">
        <v>89</v>
      </c>
      <c r="L68" s="62">
        <v>2350</v>
      </c>
      <c r="M68" s="63" t="s">
        <v>185</v>
      </c>
      <c r="N68" s="62">
        <v>750</v>
      </c>
      <c r="O68" s="62">
        <v>0</v>
      </c>
      <c r="P68" s="62">
        <v>250</v>
      </c>
      <c r="Q68" s="62">
        <v>370</v>
      </c>
      <c r="R68" s="62">
        <v>370</v>
      </c>
      <c r="S68" s="62">
        <v>60</v>
      </c>
      <c r="T68" s="62">
        <v>40</v>
      </c>
      <c r="U68" s="62" t="s">
        <v>50</v>
      </c>
      <c r="V68" s="62" t="s">
        <v>50</v>
      </c>
      <c r="W68" s="62">
        <v>0</v>
      </c>
      <c r="X68" s="62" t="s">
        <v>152</v>
      </c>
      <c r="Y68" s="64"/>
      <c r="AB68" s="6" t="str">
        <f>IF(AND($K$3="Robot Hand",Tabulka2[[#This Row],[Robot]]&lt;&gt;"R"),"NOK","OK")</f>
        <v>OK</v>
      </c>
      <c r="AC68" s="6" t="str">
        <f>IF($W$6&lt;=Tabulka2[[#This Row],[Clamping Force]],"OK","NOK")</f>
        <v>OK</v>
      </c>
      <c r="AD68" s="6" t="str">
        <f>IF(OR(($G$3&lt;Tabulka2[[#This Row],[Max
Width]]),(AND($G$4&lt;Tabulka2[[#This Row],[Max
Width]],$G$5&lt;Tabulka2[[#This Row],[Max
Height]]))),"OK","NOK")</f>
        <v>NOK</v>
      </c>
      <c r="AE68" s="6" t="str">
        <f>IF(IF($G$4+$K$4&lt;=Tabulka2[[#This Row],[Max Opening]],"OK","NOK")&amp;IF($G$4&lt;=Tabulka2[[#This Row],[Max Length]],"OK","NOK")="OKOK","OK","NOK")</f>
        <v>NOK</v>
      </c>
      <c r="AF68" s="54">
        <f>$W$7/Tabulka2[[#This Row],[V '[cm3']]]</f>
        <v>0.75004093983624054</v>
      </c>
      <c r="AG68" s="55">
        <f>(Tabulka2[[#This Row],[V '[cm3']]]*2.2*$W$3)/($W$7*60)</f>
        <v>43.410963683007701</v>
      </c>
      <c r="AH68" s="73">
        <f>IF(Tabulka2[[#This Row],[V '[cm3']]]/$W$7&lt;1,"-",Tabulka2[[#This Row],[V '[cm3']]]/$W$7)</f>
        <v>1.3332605553749293</v>
      </c>
      <c r="AI6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69" spans="2:35" s="6" customFormat="1" x14ac:dyDescent="0.2">
      <c r="B69" s="62" t="s">
        <v>142</v>
      </c>
      <c r="C69" s="62">
        <v>13</v>
      </c>
      <c r="D69" s="62" t="s">
        <v>64</v>
      </c>
      <c r="E69" s="62" t="s">
        <v>6</v>
      </c>
      <c r="F69" s="62">
        <v>20</v>
      </c>
      <c r="G69" s="62"/>
      <c r="H69" s="62">
        <v>35</v>
      </c>
      <c r="I69" s="62">
        <v>60</v>
      </c>
      <c r="J69" s="62">
        <v>144</v>
      </c>
      <c r="K69" s="62">
        <v>121</v>
      </c>
      <c r="L69" s="62">
        <v>1750</v>
      </c>
      <c r="M69" s="63" t="s">
        <v>185</v>
      </c>
      <c r="N69" s="62">
        <v>750</v>
      </c>
      <c r="O69" s="62">
        <v>0</v>
      </c>
      <c r="P69" s="62">
        <v>250</v>
      </c>
      <c r="Q69" s="62">
        <v>370</v>
      </c>
      <c r="R69" s="62">
        <v>370</v>
      </c>
      <c r="S69" s="62">
        <v>60</v>
      </c>
      <c r="T69" s="62">
        <v>40</v>
      </c>
      <c r="U69" s="62" t="s">
        <v>50</v>
      </c>
      <c r="V69" s="62" t="s">
        <v>50</v>
      </c>
      <c r="W69" s="62">
        <v>0</v>
      </c>
      <c r="X69" s="62" t="s">
        <v>148</v>
      </c>
      <c r="Y69" s="64"/>
      <c r="AB69" s="6" t="str">
        <f>IF(AND($K$3="Robot Hand",Tabulka2[[#This Row],[Robot]]&lt;&gt;"R"),"NOK","OK")</f>
        <v>NOK</v>
      </c>
      <c r="AC69" s="6" t="str">
        <f>IF($W$6&lt;=Tabulka2[[#This Row],[Clamping Force]],"OK","NOK")</f>
        <v>OK</v>
      </c>
      <c r="AD69" s="6" t="str">
        <f>IF(OR(($G$3&lt;Tabulka2[[#This Row],[Max
Width]]),(AND($G$4&lt;Tabulka2[[#This Row],[Max
Width]],$G$5&lt;Tabulka2[[#This Row],[Max
Height]]))),"OK","NOK")</f>
        <v>NOK</v>
      </c>
      <c r="AE69" s="6" t="str">
        <f>IF(IF($G$4+$K$4&lt;=Tabulka2[[#This Row],[Max Opening]],"OK","NOK")&amp;IF($G$4&lt;=Tabulka2[[#This Row],[Max Length]],"OK","NOK")="OKOK","OK","NOK")</f>
        <v>NOK</v>
      </c>
      <c r="AF69" s="54">
        <f>$W$7/Tabulka2[[#This Row],[V '[cm3']]]</f>
        <v>0.55211346960167706</v>
      </c>
      <c r="AG69" s="55">
        <f>(Tabulka2[[#This Row],[V '[cm3']]]*2.2*$W$3)/($W$7*60)</f>
        <v>58.973384625972727</v>
      </c>
      <c r="AH69" s="73">
        <f>IF(Tabulka2[[#This Row],[V '[cm3']]]/$W$7&lt;1,"-",Tabulka2[[#This Row],[V '[cm3']]]/$W$7)</f>
        <v>1.8112218865470737</v>
      </c>
      <c r="AI6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0" spans="2:35" s="6" customFormat="1" x14ac:dyDescent="0.2">
      <c r="B70" s="62" t="s">
        <v>142</v>
      </c>
      <c r="C70" s="62">
        <v>14</v>
      </c>
      <c r="D70" s="62" t="s">
        <v>64</v>
      </c>
      <c r="E70" s="62" t="s">
        <v>7</v>
      </c>
      <c r="F70" s="62">
        <v>20</v>
      </c>
      <c r="G70" s="62"/>
      <c r="H70" s="62">
        <v>35</v>
      </c>
      <c r="I70" s="62">
        <v>60</v>
      </c>
      <c r="J70" s="62">
        <v>144</v>
      </c>
      <c r="K70" s="62">
        <v>121</v>
      </c>
      <c r="L70" s="62">
        <v>1750</v>
      </c>
      <c r="M70" s="63" t="s">
        <v>185</v>
      </c>
      <c r="N70" s="62">
        <v>750</v>
      </c>
      <c r="O70" s="62">
        <v>0</v>
      </c>
      <c r="P70" s="62">
        <v>250</v>
      </c>
      <c r="Q70" s="62">
        <v>370</v>
      </c>
      <c r="R70" s="62">
        <v>370</v>
      </c>
      <c r="S70" s="62">
        <v>60</v>
      </c>
      <c r="T70" s="62">
        <v>40</v>
      </c>
      <c r="U70" s="62" t="s">
        <v>50</v>
      </c>
      <c r="V70" s="62" t="s">
        <v>50</v>
      </c>
      <c r="W70" s="62">
        <v>0</v>
      </c>
      <c r="X70" s="62" t="s">
        <v>148</v>
      </c>
      <c r="Y70" s="64"/>
      <c r="AB70" s="6" t="str">
        <f>IF(AND($K$3="Robot Hand",Tabulka2[[#This Row],[Robot]]&lt;&gt;"R"),"NOK","OK")</f>
        <v>NOK</v>
      </c>
      <c r="AC70" s="6" t="str">
        <f>IF($W$6&lt;=Tabulka2[[#This Row],[Clamping Force]],"OK","NOK")</f>
        <v>OK</v>
      </c>
      <c r="AD70" s="6" t="str">
        <f>IF(OR(($G$3&lt;Tabulka2[[#This Row],[Max
Width]]),(AND($G$4&lt;Tabulka2[[#This Row],[Max
Width]],$G$5&lt;Tabulka2[[#This Row],[Max
Height]]))),"OK","NOK")</f>
        <v>NOK</v>
      </c>
      <c r="AE70" s="6" t="str">
        <f>IF(IF($G$4+$K$4&lt;=Tabulka2[[#This Row],[Max Opening]],"OK","NOK")&amp;IF($G$4&lt;=Tabulka2[[#This Row],[Max Length]],"OK","NOK")="OKOK","OK","NOK")</f>
        <v>NOK</v>
      </c>
      <c r="AF70" s="54">
        <f>$W$7/Tabulka2[[#This Row],[V '[cm3']]]</f>
        <v>0.55211346960167706</v>
      </c>
      <c r="AG70" s="55">
        <f>(Tabulka2[[#This Row],[V '[cm3']]]*2.2*$W$3)/($W$7*60)</f>
        <v>58.973384625972727</v>
      </c>
      <c r="AH70" s="73">
        <f>IF(Tabulka2[[#This Row],[V '[cm3']]]/$W$7&lt;1,"-",Tabulka2[[#This Row],[V '[cm3']]]/$W$7)</f>
        <v>1.8112218865470737</v>
      </c>
      <c r="AI7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1" spans="2:35" s="6" customFormat="1" x14ac:dyDescent="0.2">
      <c r="B71" s="62" t="s">
        <v>142</v>
      </c>
      <c r="C71" s="62">
        <v>15</v>
      </c>
      <c r="D71" s="62" t="s">
        <v>64</v>
      </c>
      <c r="E71" s="62" t="s">
        <v>8</v>
      </c>
      <c r="F71" s="62">
        <v>20</v>
      </c>
      <c r="G71" s="62"/>
      <c r="H71" s="62">
        <v>35</v>
      </c>
      <c r="I71" s="62">
        <v>60</v>
      </c>
      <c r="J71" s="62">
        <v>144</v>
      </c>
      <c r="K71" s="62">
        <v>121</v>
      </c>
      <c r="L71" s="62">
        <v>1750</v>
      </c>
      <c r="M71" s="63" t="s">
        <v>185</v>
      </c>
      <c r="N71" s="62">
        <v>750</v>
      </c>
      <c r="O71" s="62">
        <v>0</v>
      </c>
      <c r="P71" s="62">
        <v>250</v>
      </c>
      <c r="Q71" s="62">
        <v>370</v>
      </c>
      <c r="R71" s="62">
        <v>370</v>
      </c>
      <c r="S71" s="62">
        <v>60</v>
      </c>
      <c r="T71" s="62">
        <v>40</v>
      </c>
      <c r="U71" s="62" t="s">
        <v>50</v>
      </c>
      <c r="V71" s="62" t="s">
        <v>50</v>
      </c>
      <c r="W71" s="62">
        <v>0</v>
      </c>
      <c r="X71" s="62" t="s">
        <v>148</v>
      </c>
      <c r="Y71" s="64"/>
      <c r="AB71" s="6" t="str">
        <f>IF(AND($K$3="Robot Hand",Tabulka2[[#This Row],[Robot]]&lt;&gt;"R"),"NOK","OK")</f>
        <v>NOK</v>
      </c>
      <c r="AC71" s="6" t="str">
        <f>IF($W$6&lt;=Tabulka2[[#This Row],[Clamping Force]],"OK","NOK")</f>
        <v>OK</v>
      </c>
      <c r="AD71" s="6" t="str">
        <f>IF(OR(($G$3&lt;Tabulka2[[#This Row],[Max
Width]]),(AND($G$4&lt;Tabulka2[[#This Row],[Max
Width]],$G$5&lt;Tabulka2[[#This Row],[Max
Height]]))),"OK","NOK")</f>
        <v>NOK</v>
      </c>
      <c r="AE71" s="6" t="str">
        <f>IF(IF($G$4+$K$4&lt;=Tabulka2[[#This Row],[Max Opening]],"OK","NOK")&amp;IF($G$4&lt;=Tabulka2[[#This Row],[Max Length]],"OK","NOK")="OKOK","OK","NOK")</f>
        <v>NOK</v>
      </c>
      <c r="AF71" s="54">
        <f>$W$7/Tabulka2[[#This Row],[V '[cm3']]]</f>
        <v>0.55211346960167706</v>
      </c>
      <c r="AG71" s="55">
        <f>(Tabulka2[[#This Row],[V '[cm3']]]*2.2*$W$3)/($W$7*60)</f>
        <v>58.973384625972727</v>
      </c>
      <c r="AH71" s="73">
        <f>IF(Tabulka2[[#This Row],[V '[cm3']]]/$W$7&lt;1,"-",Tabulka2[[#This Row],[V '[cm3']]]/$W$7)</f>
        <v>1.8112218865470737</v>
      </c>
      <c r="AI7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2" spans="2:35" s="6" customFormat="1" x14ac:dyDescent="0.2">
      <c r="B72" s="62" t="s">
        <v>142</v>
      </c>
      <c r="C72" s="62">
        <v>16</v>
      </c>
      <c r="D72" s="62" t="s">
        <v>64</v>
      </c>
      <c r="E72" s="62" t="s">
        <v>9</v>
      </c>
      <c r="F72" s="62">
        <v>20</v>
      </c>
      <c r="G72" s="62"/>
      <c r="H72" s="62">
        <v>35</v>
      </c>
      <c r="I72" s="62">
        <v>60</v>
      </c>
      <c r="J72" s="62">
        <v>144</v>
      </c>
      <c r="K72" s="62">
        <v>121</v>
      </c>
      <c r="L72" s="62">
        <v>1750</v>
      </c>
      <c r="M72" s="63" t="s">
        <v>185</v>
      </c>
      <c r="N72" s="62">
        <v>750</v>
      </c>
      <c r="O72" s="62">
        <v>0</v>
      </c>
      <c r="P72" s="62">
        <v>250</v>
      </c>
      <c r="Q72" s="62">
        <v>370</v>
      </c>
      <c r="R72" s="62">
        <v>370</v>
      </c>
      <c r="S72" s="62">
        <v>60</v>
      </c>
      <c r="T72" s="62">
        <v>40</v>
      </c>
      <c r="U72" s="62" t="s">
        <v>50</v>
      </c>
      <c r="V72" s="62" t="s">
        <v>50</v>
      </c>
      <c r="W72" s="62">
        <v>0</v>
      </c>
      <c r="X72" s="62" t="s">
        <v>148</v>
      </c>
      <c r="Y72" s="64"/>
      <c r="AB72" s="6" t="str">
        <f>IF(AND($K$3="Robot Hand",Tabulka2[[#This Row],[Robot]]&lt;&gt;"R"),"NOK","OK")</f>
        <v>NOK</v>
      </c>
      <c r="AC72" s="6" t="str">
        <f>IF($W$6&lt;=Tabulka2[[#This Row],[Clamping Force]],"OK","NOK")</f>
        <v>OK</v>
      </c>
      <c r="AD72" s="6" t="str">
        <f>IF(OR(($G$3&lt;Tabulka2[[#This Row],[Max
Width]]),(AND($G$4&lt;Tabulka2[[#This Row],[Max
Width]],$G$5&lt;Tabulka2[[#This Row],[Max
Height]]))),"OK","NOK")</f>
        <v>NOK</v>
      </c>
      <c r="AE72" s="6" t="str">
        <f>IF(IF($G$4+$K$4&lt;=Tabulka2[[#This Row],[Max Opening]],"OK","NOK")&amp;IF($G$4&lt;=Tabulka2[[#This Row],[Max Length]],"OK","NOK")="OKOK","OK","NOK")</f>
        <v>NOK</v>
      </c>
      <c r="AF72" s="54">
        <f>$W$7/Tabulka2[[#This Row],[V '[cm3']]]</f>
        <v>0.55211346960167706</v>
      </c>
      <c r="AG72" s="55">
        <f>(Tabulka2[[#This Row],[V '[cm3']]]*2.2*$W$3)/($W$7*60)</f>
        <v>58.973384625972727</v>
      </c>
      <c r="AH72" s="73">
        <f>IF(Tabulka2[[#This Row],[V '[cm3']]]/$W$7&lt;1,"-",Tabulka2[[#This Row],[V '[cm3']]]/$W$7)</f>
        <v>1.8112218865470737</v>
      </c>
      <c r="AI7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3" spans="2:35" s="6" customFormat="1" x14ac:dyDescent="0.2">
      <c r="B73" s="62" t="s">
        <v>142</v>
      </c>
      <c r="C73" s="62">
        <v>17</v>
      </c>
      <c r="D73" s="62" t="s">
        <v>93</v>
      </c>
      <c r="E73" s="62" t="s">
        <v>92</v>
      </c>
      <c r="F73" s="62">
        <v>20</v>
      </c>
      <c r="G73" s="62"/>
      <c r="H73" s="62">
        <v>30</v>
      </c>
      <c r="I73" s="62">
        <v>60</v>
      </c>
      <c r="J73" s="62">
        <v>85</v>
      </c>
      <c r="K73" s="62">
        <v>77</v>
      </c>
      <c r="L73" s="62">
        <v>2000</v>
      </c>
      <c r="M73" s="62">
        <v>250</v>
      </c>
      <c r="N73" s="62">
        <v>650</v>
      </c>
      <c r="O73" s="62">
        <v>400</v>
      </c>
      <c r="P73" s="62">
        <v>200</v>
      </c>
      <c r="Q73" s="62">
        <v>370</v>
      </c>
      <c r="R73" s="62">
        <v>370</v>
      </c>
      <c r="S73" s="62">
        <v>60</v>
      </c>
      <c r="T73" s="62">
        <v>40</v>
      </c>
      <c r="U73" s="62" t="s">
        <v>50</v>
      </c>
      <c r="V73" s="62" t="s">
        <v>50</v>
      </c>
      <c r="W73" s="62">
        <v>0</v>
      </c>
      <c r="X73" s="62" t="s">
        <v>152</v>
      </c>
      <c r="Y73" s="64"/>
      <c r="AB73" s="6" t="str">
        <f>IF(AND($K$3="Robot Hand",Tabulka2[[#This Row],[Robot]]&lt;&gt;"R"),"NOK","OK")</f>
        <v>OK</v>
      </c>
      <c r="AC73" s="6" t="str">
        <f>IF($W$6&lt;=Tabulka2[[#This Row],[Clamping Force]],"OK","NOK")</f>
        <v>OK</v>
      </c>
      <c r="AD73" s="6" t="str">
        <f>IF(OR(($G$3&lt;Tabulka2[[#This Row],[Max
Width]]),(AND($G$4&lt;Tabulka2[[#This Row],[Max
Width]],$G$5&lt;Tabulka2[[#This Row],[Max
Height]]))),"OK","NOK")</f>
        <v>NOK</v>
      </c>
      <c r="AE73" s="6" t="str">
        <f>IF(IF($G$4+$K$4&lt;=Tabulka2[[#This Row],[Max Opening]],"OK","NOK")&amp;IF($G$4&lt;=Tabulka2[[#This Row],[Max Length]],"OK","NOK")="OKOK","OK","NOK")</f>
        <v>NOK</v>
      </c>
      <c r="AF73" s="54">
        <f>$W$7/Tabulka2[[#This Row],[V '[cm3']]]</f>
        <v>0.93534517203107637</v>
      </c>
      <c r="AG73" s="55">
        <f>(Tabulka2[[#This Row],[V '[cm3']]]*2.2*$W$3)/($W$7*60)</f>
        <v>34.810678425053354</v>
      </c>
      <c r="AH73" s="73">
        <f>IF(Tabulka2[[#This Row],[V '[cm3']]]/$W$7&lt;1,"-",Tabulka2[[#This Row],[V '[cm3']]]/$W$7)</f>
        <v>1.069124030253481</v>
      </c>
      <c r="AI7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4" spans="2:35" s="6" customFormat="1" x14ac:dyDescent="0.2">
      <c r="B74" s="62" t="s">
        <v>142</v>
      </c>
      <c r="C74" s="62">
        <v>18</v>
      </c>
      <c r="D74" s="62" t="s">
        <v>101</v>
      </c>
      <c r="E74" s="62" t="s">
        <v>96</v>
      </c>
      <c r="F74" s="62">
        <v>24</v>
      </c>
      <c r="G74" s="62"/>
      <c r="H74" s="62">
        <v>25</v>
      </c>
      <c r="I74" s="62">
        <v>60</v>
      </c>
      <c r="J74" s="62">
        <v>59</v>
      </c>
      <c r="K74" s="62">
        <v>54</v>
      </c>
      <c r="L74" s="62">
        <v>2500</v>
      </c>
      <c r="M74" s="63" t="s">
        <v>185</v>
      </c>
      <c r="N74" s="62">
        <v>700</v>
      </c>
      <c r="O74" s="62">
        <v>0</v>
      </c>
      <c r="P74" s="62">
        <v>300</v>
      </c>
      <c r="Q74" s="62">
        <v>370</v>
      </c>
      <c r="R74" s="62">
        <v>370</v>
      </c>
      <c r="S74" s="62">
        <v>60</v>
      </c>
      <c r="T74" s="62">
        <v>40</v>
      </c>
      <c r="U74" s="62" t="s">
        <v>50</v>
      </c>
      <c r="V74" s="62" t="s">
        <v>50</v>
      </c>
      <c r="W74" s="62">
        <v>1</v>
      </c>
      <c r="X74" s="62" t="s">
        <v>152</v>
      </c>
      <c r="Y74" s="64"/>
      <c r="AB74" s="6" t="str">
        <f>IF(AND($K$3="Robot Hand",Tabulka2[[#This Row],[Robot]]&lt;&gt;"R"),"NOK","OK")</f>
        <v>OK</v>
      </c>
      <c r="AC74" s="6" t="str">
        <f>IF($W$6&lt;=Tabulka2[[#This Row],[Clamping Force]],"OK","NOK")</f>
        <v>OK</v>
      </c>
      <c r="AD74" s="6" t="str">
        <f>IF(OR(($G$3&lt;Tabulka2[[#This Row],[Max
Width]]),(AND($G$4&lt;Tabulka2[[#This Row],[Max
Width]],$G$5&lt;Tabulka2[[#This Row],[Max
Height]]))),"OK","NOK")</f>
        <v>NOK</v>
      </c>
      <c r="AE74" s="6" t="str">
        <f>IF(IF($G$4+$K$4&lt;=Tabulka2[[#This Row],[Max Opening]],"OK","NOK")&amp;IF($G$4&lt;=Tabulka2[[#This Row],[Max Length]],"OK","NOK")="OKOK","OK","NOK")</f>
        <v>NOK</v>
      </c>
      <c r="AF74" s="54">
        <f>$W$7/Tabulka2[[#This Row],[V '[cm3']]]</f>
        <v>1.3475311800447711</v>
      </c>
      <c r="AG74" s="55">
        <f>(Tabulka2[[#This Row],[V '[cm3']]]*2.2*$W$3)/($W$7*60)</f>
        <v>24.162706200919381</v>
      </c>
      <c r="AH74" s="73" t="str">
        <f>IF(Tabulka2[[#This Row],[V '[cm3']]]/$W$7&lt;1,"-",Tabulka2[[#This Row],[V '[cm3']]]/$W$7)</f>
        <v>-</v>
      </c>
      <c r="AI7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5" spans="2:35" s="6" customFormat="1" x14ac:dyDescent="0.2">
      <c r="B75" s="62" t="s">
        <v>142</v>
      </c>
      <c r="C75" s="62">
        <v>19</v>
      </c>
      <c r="D75" s="62" t="s">
        <v>119</v>
      </c>
      <c r="E75" s="62" t="s">
        <v>117</v>
      </c>
      <c r="F75" s="62">
        <v>24</v>
      </c>
      <c r="G75" s="62"/>
      <c r="H75" s="62">
        <v>25</v>
      </c>
      <c r="I75" s="62">
        <v>70</v>
      </c>
      <c r="J75" s="62">
        <v>59</v>
      </c>
      <c r="K75" s="62">
        <v>54</v>
      </c>
      <c r="L75" s="62">
        <v>2500</v>
      </c>
      <c r="M75" s="63" t="s">
        <v>185</v>
      </c>
      <c r="N75" s="62">
        <v>700</v>
      </c>
      <c r="O75" s="62">
        <v>0</v>
      </c>
      <c r="P75" s="62">
        <v>300</v>
      </c>
      <c r="Q75" s="62">
        <v>370</v>
      </c>
      <c r="R75" s="62">
        <v>370</v>
      </c>
      <c r="S75" s="62">
        <v>60</v>
      </c>
      <c r="T75" s="62">
        <v>40</v>
      </c>
      <c r="U75" s="62" t="s">
        <v>50</v>
      </c>
      <c r="V75" s="62" t="s">
        <v>50</v>
      </c>
      <c r="W75" s="62">
        <v>1</v>
      </c>
      <c r="X75" s="62" t="s">
        <v>152</v>
      </c>
      <c r="Y75" s="64"/>
      <c r="AB75" s="6" t="str">
        <f>IF(AND($K$3="Robot Hand",Tabulka2[[#This Row],[Robot]]&lt;&gt;"R"),"NOK","OK")</f>
        <v>OK</v>
      </c>
      <c r="AC75" s="6" t="str">
        <f>IF($W$6&lt;=Tabulka2[[#This Row],[Clamping Force]],"OK","NOK")</f>
        <v>OK</v>
      </c>
      <c r="AD75" s="6" t="str">
        <f>IF(OR(($G$3&lt;Tabulka2[[#This Row],[Max
Width]]),(AND($G$4&lt;Tabulka2[[#This Row],[Max
Width]],$G$5&lt;Tabulka2[[#This Row],[Max
Height]]))),"OK","NOK")</f>
        <v>NOK</v>
      </c>
      <c r="AE75" s="6" t="str">
        <f>IF(IF($G$4+$K$4&lt;=Tabulka2[[#This Row],[Max Opening]],"OK","NOK")&amp;IF($G$4&lt;=Tabulka2[[#This Row],[Max Length]],"OK","NOK")="OKOK","OK","NOK")</f>
        <v>NOK</v>
      </c>
      <c r="AF75" s="54">
        <f>$W$7/Tabulka2[[#This Row],[V '[cm3']]]</f>
        <v>1.3475311800447711</v>
      </c>
      <c r="AG75" s="55">
        <f>(Tabulka2[[#This Row],[V '[cm3']]]*2.2*$W$3)/($W$7*60)</f>
        <v>24.162706200919381</v>
      </c>
      <c r="AH75" s="73" t="str">
        <f>IF(Tabulka2[[#This Row],[V '[cm3']]]/$W$7&lt;1,"-",Tabulka2[[#This Row],[V '[cm3']]]/$W$7)</f>
        <v>-</v>
      </c>
      <c r="AI7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6" spans="2:35" s="6" customFormat="1" x14ac:dyDescent="0.2">
      <c r="B76" s="62" t="s">
        <v>142</v>
      </c>
      <c r="C76" s="62">
        <v>20</v>
      </c>
      <c r="D76" s="62" t="s">
        <v>119</v>
      </c>
      <c r="E76" s="62" t="s">
        <v>118</v>
      </c>
      <c r="F76" s="62">
        <v>24</v>
      </c>
      <c r="G76" s="62"/>
      <c r="H76" s="62">
        <v>25</v>
      </c>
      <c r="I76" s="62">
        <v>70</v>
      </c>
      <c r="J76" s="62">
        <v>59</v>
      </c>
      <c r="K76" s="62">
        <v>54</v>
      </c>
      <c r="L76" s="62">
        <v>2500</v>
      </c>
      <c r="M76" s="63" t="s">
        <v>185</v>
      </c>
      <c r="N76" s="62">
        <v>700</v>
      </c>
      <c r="O76" s="62">
        <v>0</v>
      </c>
      <c r="P76" s="62">
        <v>300</v>
      </c>
      <c r="Q76" s="62">
        <v>370</v>
      </c>
      <c r="R76" s="62">
        <v>370</v>
      </c>
      <c r="S76" s="62">
        <v>60</v>
      </c>
      <c r="T76" s="62">
        <v>40</v>
      </c>
      <c r="U76" s="62" t="s">
        <v>50</v>
      </c>
      <c r="V76" s="62" t="s">
        <v>50</v>
      </c>
      <c r="W76" s="62">
        <v>1</v>
      </c>
      <c r="X76" s="62" t="s">
        <v>152</v>
      </c>
      <c r="Y76" s="64"/>
      <c r="AB76" s="6" t="str">
        <f>IF(AND($K$3="Robot Hand",Tabulka2[[#This Row],[Robot]]&lt;&gt;"R"),"NOK","OK")</f>
        <v>OK</v>
      </c>
      <c r="AC76" s="6" t="str">
        <f>IF($W$6&lt;=Tabulka2[[#This Row],[Clamping Force]],"OK","NOK")</f>
        <v>OK</v>
      </c>
      <c r="AD76" s="6" t="str">
        <f>IF(OR(($G$3&lt;Tabulka2[[#This Row],[Max
Width]]),(AND($G$4&lt;Tabulka2[[#This Row],[Max
Width]],$G$5&lt;Tabulka2[[#This Row],[Max
Height]]))),"OK","NOK")</f>
        <v>NOK</v>
      </c>
      <c r="AE76" s="6" t="str">
        <f>IF(IF($G$4+$K$4&lt;=Tabulka2[[#This Row],[Max Opening]],"OK","NOK")&amp;IF($G$4&lt;=Tabulka2[[#This Row],[Max Length]],"OK","NOK")="OKOK","OK","NOK")</f>
        <v>NOK</v>
      </c>
      <c r="AF76" s="54">
        <f>$W$7/Tabulka2[[#This Row],[V '[cm3']]]</f>
        <v>1.3475311800447711</v>
      </c>
      <c r="AG76" s="55">
        <f>(Tabulka2[[#This Row],[V '[cm3']]]*2.2*$W$3)/($W$7*60)</f>
        <v>24.162706200919381</v>
      </c>
      <c r="AH76" s="73" t="str">
        <f>IF(Tabulka2[[#This Row],[V '[cm3']]]/$W$7&lt;1,"-",Tabulka2[[#This Row],[V '[cm3']]]/$W$7)</f>
        <v>-</v>
      </c>
      <c r="AI7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7" spans="2:35" s="6" customFormat="1" x14ac:dyDescent="0.2">
      <c r="B77" s="62" t="s">
        <v>142</v>
      </c>
      <c r="C77" s="62">
        <v>21</v>
      </c>
      <c r="D77" s="62" t="s">
        <v>132</v>
      </c>
      <c r="E77" s="62" t="s">
        <v>133</v>
      </c>
      <c r="F77" s="62">
        <v>24</v>
      </c>
      <c r="G77" s="62"/>
      <c r="H77" s="62">
        <v>25</v>
      </c>
      <c r="I77" s="62">
        <v>70</v>
      </c>
      <c r="J77" s="62">
        <v>59</v>
      </c>
      <c r="K77" s="62">
        <v>54</v>
      </c>
      <c r="L77" s="62">
        <v>2500</v>
      </c>
      <c r="M77" s="62">
        <v>300</v>
      </c>
      <c r="N77" s="62">
        <v>700</v>
      </c>
      <c r="O77" s="62">
        <v>400</v>
      </c>
      <c r="P77" s="62">
        <v>200</v>
      </c>
      <c r="Q77" s="62">
        <v>370</v>
      </c>
      <c r="R77" s="62">
        <v>370</v>
      </c>
      <c r="S77" s="62">
        <v>60</v>
      </c>
      <c r="T77" s="62">
        <v>40</v>
      </c>
      <c r="U77" s="62" t="s">
        <v>50</v>
      </c>
      <c r="V77" s="62" t="s">
        <v>50</v>
      </c>
      <c r="W77" s="62">
        <v>1</v>
      </c>
      <c r="X77" s="62" t="s">
        <v>152</v>
      </c>
      <c r="Y77" s="64"/>
      <c r="AB77" s="6" t="str">
        <f>IF(AND($K$3="Robot Hand",Tabulka2[[#This Row],[Robot]]&lt;&gt;"R"),"NOK","OK")</f>
        <v>OK</v>
      </c>
      <c r="AC77" s="6" t="str">
        <f>IF($W$6&lt;=Tabulka2[[#This Row],[Clamping Force]],"OK","NOK")</f>
        <v>OK</v>
      </c>
      <c r="AD77" s="6" t="str">
        <f>IF(OR(($G$3&lt;Tabulka2[[#This Row],[Max
Width]]),(AND($G$4&lt;Tabulka2[[#This Row],[Max
Width]],$G$5&lt;Tabulka2[[#This Row],[Max
Height]]))),"OK","NOK")</f>
        <v>NOK</v>
      </c>
      <c r="AE77" s="6" t="str">
        <f>IF(IF($G$4+$K$4&lt;=Tabulka2[[#This Row],[Max Opening]],"OK","NOK")&amp;IF($G$4&lt;=Tabulka2[[#This Row],[Max Length]],"OK","NOK")="OKOK","OK","NOK")</f>
        <v>NOK</v>
      </c>
      <c r="AF77" s="54">
        <f>$W$7/Tabulka2[[#This Row],[V '[cm3']]]</f>
        <v>1.3475311800447711</v>
      </c>
      <c r="AG77" s="55">
        <f>(Tabulka2[[#This Row],[V '[cm3']]]*2.2*$W$3)/($W$7*60)</f>
        <v>24.162706200919381</v>
      </c>
      <c r="AH77" s="73" t="str">
        <f>IF(Tabulka2[[#This Row],[V '[cm3']]]/$W$7&lt;1,"-",Tabulka2[[#This Row],[V '[cm3']]]/$W$7)</f>
        <v>-</v>
      </c>
      <c r="AI7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8" spans="2:35" s="6" customFormat="1" x14ac:dyDescent="0.2">
      <c r="B78" s="62" t="s">
        <v>142</v>
      </c>
      <c r="C78" s="62">
        <v>22</v>
      </c>
      <c r="D78" s="62" t="s">
        <v>132</v>
      </c>
      <c r="E78" s="62" t="s">
        <v>134</v>
      </c>
      <c r="F78" s="62">
        <v>24</v>
      </c>
      <c r="G78" s="62"/>
      <c r="H78" s="62">
        <v>25</v>
      </c>
      <c r="I78" s="62">
        <v>70</v>
      </c>
      <c r="J78" s="62">
        <v>59</v>
      </c>
      <c r="K78" s="62">
        <v>54</v>
      </c>
      <c r="L78" s="62">
        <v>2500</v>
      </c>
      <c r="M78" s="62">
        <v>300</v>
      </c>
      <c r="N78" s="62">
        <v>700</v>
      </c>
      <c r="O78" s="62">
        <v>400</v>
      </c>
      <c r="P78" s="62">
        <v>200</v>
      </c>
      <c r="Q78" s="62">
        <v>370</v>
      </c>
      <c r="R78" s="62">
        <v>370</v>
      </c>
      <c r="S78" s="62">
        <v>60</v>
      </c>
      <c r="T78" s="62">
        <v>40</v>
      </c>
      <c r="U78" s="62" t="s">
        <v>50</v>
      </c>
      <c r="V78" s="62" t="s">
        <v>50</v>
      </c>
      <c r="W78" s="62">
        <v>1</v>
      </c>
      <c r="X78" s="62" t="s">
        <v>152</v>
      </c>
      <c r="Y78" s="64"/>
      <c r="AB78" s="6" t="str">
        <f>IF(AND($K$3="Robot Hand",Tabulka2[[#This Row],[Robot]]&lt;&gt;"R"),"NOK","OK")</f>
        <v>OK</v>
      </c>
      <c r="AC78" s="6" t="str">
        <f>IF($W$6&lt;=Tabulka2[[#This Row],[Clamping Force]],"OK","NOK")</f>
        <v>OK</v>
      </c>
      <c r="AD78" s="6" t="str">
        <f>IF(OR(($G$3&lt;Tabulka2[[#This Row],[Max
Width]]),(AND($G$4&lt;Tabulka2[[#This Row],[Max
Width]],$G$5&lt;Tabulka2[[#This Row],[Max
Height]]))),"OK","NOK")</f>
        <v>NOK</v>
      </c>
      <c r="AE78" s="6" t="str">
        <f>IF(IF($G$4+$K$4&lt;=Tabulka2[[#This Row],[Max Opening]],"OK","NOK")&amp;IF($G$4&lt;=Tabulka2[[#This Row],[Max Length]],"OK","NOK")="OKOK","OK","NOK")</f>
        <v>NOK</v>
      </c>
      <c r="AF78" s="54">
        <f>$W$7/Tabulka2[[#This Row],[V '[cm3']]]</f>
        <v>1.3475311800447711</v>
      </c>
      <c r="AG78" s="55">
        <f>(Tabulka2[[#This Row],[V '[cm3']]]*2.2*$W$3)/($W$7*60)</f>
        <v>24.162706200919381</v>
      </c>
      <c r="AH78" s="73" t="str">
        <f>IF(Tabulka2[[#This Row],[V '[cm3']]]/$W$7&lt;1,"-",Tabulka2[[#This Row],[V '[cm3']]]/$W$7)</f>
        <v>-</v>
      </c>
      <c r="AI7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79" spans="2:35" s="6" customFormat="1" x14ac:dyDescent="0.2">
      <c r="B79" s="62" t="s">
        <v>142</v>
      </c>
      <c r="C79" s="62">
        <v>23</v>
      </c>
      <c r="D79" s="62" t="s">
        <v>132</v>
      </c>
      <c r="E79" s="62" t="s">
        <v>135</v>
      </c>
      <c r="F79" s="62">
        <v>24</v>
      </c>
      <c r="G79" s="62"/>
      <c r="H79" s="62">
        <v>25</v>
      </c>
      <c r="I79" s="62">
        <v>70</v>
      </c>
      <c r="J79" s="62">
        <v>59</v>
      </c>
      <c r="K79" s="62">
        <v>54</v>
      </c>
      <c r="L79" s="62">
        <v>2500</v>
      </c>
      <c r="M79" s="62">
        <v>300</v>
      </c>
      <c r="N79" s="62">
        <v>700</v>
      </c>
      <c r="O79" s="62">
        <v>400</v>
      </c>
      <c r="P79" s="62">
        <v>200</v>
      </c>
      <c r="Q79" s="62">
        <v>370</v>
      </c>
      <c r="R79" s="62">
        <v>370</v>
      </c>
      <c r="S79" s="62">
        <v>60</v>
      </c>
      <c r="T79" s="62">
        <v>40</v>
      </c>
      <c r="U79" s="62" t="s">
        <v>50</v>
      </c>
      <c r="V79" s="62" t="s">
        <v>50</v>
      </c>
      <c r="W79" s="62">
        <v>1</v>
      </c>
      <c r="X79" s="62" t="s">
        <v>152</v>
      </c>
      <c r="Y79" s="64"/>
      <c r="AB79" s="6" t="str">
        <f>IF(AND($K$3="Robot Hand",Tabulka2[[#This Row],[Robot]]&lt;&gt;"R"),"NOK","OK")</f>
        <v>OK</v>
      </c>
      <c r="AC79" s="6" t="str">
        <f>IF($W$6&lt;=Tabulka2[[#This Row],[Clamping Force]],"OK","NOK")</f>
        <v>OK</v>
      </c>
      <c r="AD79" s="6" t="str">
        <f>IF(OR(($G$3&lt;Tabulka2[[#This Row],[Max
Width]]),(AND($G$4&lt;Tabulka2[[#This Row],[Max
Width]],$G$5&lt;Tabulka2[[#This Row],[Max
Height]]))),"OK","NOK")</f>
        <v>NOK</v>
      </c>
      <c r="AE79" s="6" t="str">
        <f>IF(IF($G$4+$K$4&lt;=Tabulka2[[#This Row],[Max Opening]],"OK","NOK")&amp;IF($G$4&lt;=Tabulka2[[#This Row],[Max Length]],"OK","NOK")="OKOK","OK","NOK")</f>
        <v>NOK</v>
      </c>
      <c r="AF79" s="54">
        <f>$W$7/Tabulka2[[#This Row],[V '[cm3']]]</f>
        <v>1.3475311800447711</v>
      </c>
      <c r="AG79" s="55">
        <f>(Tabulka2[[#This Row],[V '[cm3']]]*2.2*$W$3)/($W$7*60)</f>
        <v>24.162706200919381</v>
      </c>
      <c r="AH79" s="73" t="str">
        <f>IF(Tabulka2[[#This Row],[V '[cm3']]]/$W$7&lt;1,"-",Tabulka2[[#This Row],[V '[cm3']]]/$W$7)</f>
        <v>-</v>
      </c>
      <c r="AI7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0" spans="2:35" s="6" customFormat="1" x14ac:dyDescent="0.2">
      <c r="B80" s="62" t="s">
        <v>142</v>
      </c>
      <c r="C80" s="62">
        <v>23</v>
      </c>
      <c r="D80" s="62" t="s">
        <v>132</v>
      </c>
      <c r="E80" s="62" t="s">
        <v>300</v>
      </c>
      <c r="F80" s="62">
        <v>24</v>
      </c>
      <c r="G80" s="62"/>
      <c r="H80" s="62">
        <v>25</v>
      </c>
      <c r="I80" s="62">
        <v>70</v>
      </c>
      <c r="J80" s="62">
        <v>59</v>
      </c>
      <c r="K80" s="62">
        <v>54</v>
      </c>
      <c r="L80" s="62">
        <v>2500</v>
      </c>
      <c r="M80" s="62">
        <v>300</v>
      </c>
      <c r="N80" s="62">
        <v>800</v>
      </c>
      <c r="O80" s="62">
        <v>500</v>
      </c>
      <c r="P80" s="62">
        <v>200</v>
      </c>
      <c r="Q80" s="62">
        <v>370</v>
      </c>
      <c r="R80" s="62">
        <v>370</v>
      </c>
      <c r="S80" s="62">
        <v>60</v>
      </c>
      <c r="T80" s="62">
        <v>40</v>
      </c>
      <c r="U80" s="62" t="s">
        <v>50</v>
      </c>
      <c r="V80" s="62" t="s">
        <v>50</v>
      </c>
      <c r="W80" s="62">
        <v>1</v>
      </c>
      <c r="X80" s="62" t="s">
        <v>152</v>
      </c>
      <c r="Y80" s="64"/>
      <c r="Z80" s="6" t="s">
        <v>299</v>
      </c>
      <c r="AA80" s="6" t="s">
        <v>299</v>
      </c>
      <c r="AB80" s="6" t="str">
        <f>IF(AND($K$3="Robot Hand",Tabulka2[[#This Row],[Robot]]&lt;&gt;"R"),"NOK","OK")</f>
        <v>OK</v>
      </c>
      <c r="AC80" s="6" t="str">
        <f>IF($W$6&lt;=Tabulka2[[#This Row],[Clamping Force]],"OK","NOK")</f>
        <v>OK</v>
      </c>
      <c r="AD80" s="6" t="str">
        <f>IF(OR(($G$3&lt;Tabulka2[[#This Row],[Max
Width]]),(AND($G$4&lt;Tabulka2[[#This Row],[Max
Width]],$G$5&lt;Tabulka2[[#This Row],[Max
Height]]))),"OK","NOK")</f>
        <v>NOK</v>
      </c>
      <c r="AE80" s="6" t="str">
        <f>IF(IF($G$4+$K$4&lt;=Tabulka2[[#This Row],[Max Opening]],"OK","NOK")&amp;IF($G$4&lt;=Tabulka2[[#This Row],[Max Length]],"OK","NOK")="OKOK","OK","NOK")</f>
        <v>OK</v>
      </c>
      <c r="AF80" s="54">
        <f>$W$7/Tabulka2[[#This Row],[V '[cm3']]]</f>
        <v>1.3475311800447711</v>
      </c>
      <c r="AG80" s="55">
        <f>(Tabulka2[[#This Row],[V '[cm3']]]*2.2*$W$3)/($W$7*60)</f>
        <v>24.162706200919381</v>
      </c>
      <c r="AH80" s="73" t="str">
        <f>IF(Tabulka2[[#This Row],[V '[cm3']]]/$W$7&lt;1,"-",Tabulka2[[#This Row],[V '[cm3']]]/$W$7)</f>
        <v>-</v>
      </c>
      <c r="AI8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1" spans="2:35" s="6" customFormat="1" x14ac:dyDescent="0.2">
      <c r="B81" s="62" t="s">
        <v>142</v>
      </c>
      <c r="C81" s="62">
        <v>23</v>
      </c>
      <c r="D81" s="62" t="s">
        <v>132</v>
      </c>
      <c r="E81" s="62" t="s">
        <v>301</v>
      </c>
      <c r="F81" s="62">
        <v>24</v>
      </c>
      <c r="G81" s="62"/>
      <c r="H81" s="62">
        <v>25</v>
      </c>
      <c r="I81" s="62">
        <v>70</v>
      </c>
      <c r="J81" s="62">
        <v>59</v>
      </c>
      <c r="K81" s="62">
        <v>54</v>
      </c>
      <c r="L81" s="62">
        <v>2500</v>
      </c>
      <c r="M81" s="62">
        <v>300</v>
      </c>
      <c r="N81" s="62">
        <v>800</v>
      </c>
      <c r="O81" s="62">
        <v>500</v>
      </c>
      <c r="P81" s="62">
        <v>200</v>
      </c>
      <c r="Q81" s="62">
        <v>370</v>
      </c>
      <c r="R81" s="62">
        <v>370</v>
      </c>
      <c r="S81" s="62">
        <v>60</v>
      </c>
      <c r="T81" s="62">
        <v>40</v>
      </c>
      <c r="U81" s="62" t="s">
        <v>50</v>
      </c>
      <c r="V81" s="62" t="s">
        <v>50</v>
      </c>
      <c r="W81" s="62">
        <v>1</v>
      </c>
      <c r="X81" s="62" t="s">
        <v>152</v>
      </c>
      <c r="Y81" s="64"/>
      <c r="Z81" s="6" t="s">
        <v>299</v>
      </c>
      <c r="AA81" s="6" t="s">
        <v>299</v>
      </c>
      <c r="AB81" s="6" t="str">
        <f>IF(AND($K$3="Robot Hand",Tabulka2[[#This Row],[Robot]]&lt;&gt;"R"),"NOK","OK")</f>
        <v>OK</v>
      </c>
      <c r="AC81" s="6" t="str">
        <f>IF($W$6&lt;=Tabulka2[[#This Row],[Clamping Force]],"OK","NOK")</f>
        <v>OK</v>
      </c>
      <c r="AD81" s="6" t="str">
        <f>IF(OR(($G$3&lt;Tabulka2[[#This Row],[Max
Width]]),(AND($G$4&lt;Tabulka2[[#This Row],[Max
Width]],$G$5&lt;Tabulka2[[#This Row],[Max
Height]]))),"OK","NOK")</f>
        <v>NOK</v>
      </c>
      <c r="AE81" s="6" t="str">
        <f>IF(IF($G$4+$K$4&lt;=Tabulka2[[#This Row],[Max Opening]],"OK","NOK")&amp;IF($G$4&lt;=Tabulka2[[#This Row],[Max Length]],"OK","NOK")="OKOK","OK","NOK")</f>
        <v>OK</v>
      </c>
      <c r="AF81" s="54">
        <f>$W$7/Tabulka2[[#This Row],[V '[cm3']]]</f>
        <v>1.3475311800447711</v>
      </c>
      <c r="AG81" s="55">
        <f>(Tabulka2[[#This Row],[V '[cm3']]]*2.2*$W$3)/($W$7*60)</f>
        <v>24.162706200919381</v>
      </c>
      <c r="AH81" s="73" t="str">
        <f>IF(Tabulka2[[#This Row],[V '[cm3']]]/$W$7&lt;1,"-",Tabulka2[[#This Row],[V '[cm3']]]/$W$7)</f>
        <v>-</v>
      </c>
      <c r="AI8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2" spans="2:35" s="6" customFormat="1" x14ac:dyDescent="0.2">
      <c r="B82" s="62" t="s">
        <v>142</v>
      </c>
      <c r="C82" s="62">
        <v>24</v>
      </c>
      <c r="D82" s="62" t="s">
        <v>65</v>
      </c>
      <c r="E82" s="62" t="s">
        <v>10</v>
      </c>
      <c r="F82" s="62">
        <v>20</v>
      </c>
      <c r="G82" s="62"/>
      <c r="H82" s="62">
        <v>35</v>
      </c>
      <c r="I82" s="62">
        <v>80</v>
      </c>
      <c r="J82" s="62">
        <v>144</v>
      </c>
      <c r="K82" s="62">
        <v>121</v>
      </c>
      <c r="L82" s="62">
        <v>1750</v>
      </c>
      <c r="M82" s="63" t="s">
        <v>185</v>
      </c>
      <c r="N82" s="62">
        <v>750</v>
      </c>
      <c r="O82" s="62">
        <v>0</v>
      </c>
      <c r="P82" s="62">
        <v>250</v>
      </c>
      <c r="Q82" s="62">
        <v>420</v>
      </c>
      <c r="R82" s="62">
        <v>420</v>
      </c>
      <c r="S82" s="62">
        <v>60</v>
      </c>
      <c r="T82" s="62">
        <v>40</v>
      </c>
      <c r="U82" s="62" t="s">
        <v>50</v>
      </c>
      <c r="V82" s="62" t="s">
        <v>50</v>
      </c>
      <c r="W82" s="62">
        <v>0</v>
      </c>
      <c r="X82" s="62" t="s">
        <v>148</v>
      </c>
      <c r="Y82" s="64"/>
      <c r="AB82" s="6" t="str">
        <f>IF(AND($K$3="Robot Hand",Tabulka2[[#This Row],[Robot]]&lt;&gt;"R"),"NOK","OK")</f>
        <v>NOK</v>
      </c>
      <c r="AC82" s="6" t="str">
        <f>IF($W$6&lt;=Tabulka2[[#This Row],[Clamping Force]],"OK","NOK")</f>
        <v>OK</v>
      </c>
      <c r="AD82" s="6" t="str">
        <f>IF(OR(($G$3&lt;Tabulka2[[#This Row],[Max
Width]]),(AND($G$4&lt;Tabulka2[[#This Row],[Max
Width]],$G$5&lt;Tabulka2[[#This Row],[Max
Height]]))),"OK","NOK")</f>
        <v>NOK</v>
      </c>
      <c r="AE82" s="6" t="str">
        <f>IF(IF($G$4+$K$4&lt;=Tabulka2[[#This Row],[Max Opening]],"OK","NOK")&amp;IF($G$4&lt;=Tabulka2[[#This Row],[Max Length]],"OK","NOK")="OKOK","OK","NOK")</f>
        <v>NOK</v>
      </c>
      <c r="AF82" s="54">
        <f>$W$7/Tabulka2[[#This Row],[V '[cm3']]]</f>
        <v>0.55211346960167706</v>
      </c>
      <c r="AG82" s="55">
        <f>(Tabulka2[[#This Row],[V '[cm3']]]*2.2*$W$3)/($W$7*60)</f>
        <v>58.973384625972727</v>
      </c>
      <c r="AH82" s="73">
        <f>IF(Tabulka2[[#This Row],[V '[cm3']]]/$W$7&lt;1,"-",Tabulka2[[#This Row],[V '[cm3']]]/$W$7)</f>
        <v>1.8112218865470737</v>
      </c>
      <c r="AI8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3" spans="2:35" s="6" customFormat="1" x14ac:dyDescent="0.2">
      <c r="B83" s="62" t="s">
        <v>142</v>
      </c>
      <c r="C83" s="62">
        <v>25</v>
      </c>
      <c r="D83" s="62" t="s">
        <v>65</v>
      </c>
      <c r="E83" s="62" t="s">
        <v>11</v>
      </c>
      <c r="F83" s="62">
        <v>20</v>
      </c>
      <c r="G83" s="62"/>
      <c r="H83" s="62">
        <v>35</v>
      </c>
      <c r="I83" s="62">
        <v>80</v>
      </c>
      <c r="J83" s="62">
        <v>144</v>
      </c>
      <c r="K83" s="62">
        <v>121</v>
      </c>
      <c r="L83" s="62">
        <v>1750</v>
      </c>
      <c r="M83" s="63" t="s">
        <v>185</v>
      </c>
      <c r="N83" s="62">
        <v>750</v>
      </c>
      <c r="O83" s="62">
        <v>0</v>
      </c>
      <c r="P83" s="62">
        <v>250</v>
      </c>
      <c r="Q83" s="62">
        <v>420</v>
      </c>
      <c r="R83" s="62">
        <v>420</v>
      </c>
      <c r="S83" s="62">
        <v>60</v>
      </c>
      <c r="T83" s="62">
        <v>40</v>
      </c>
      <c r="U83" s="62" t="s">
        <v>50</v>
      </c>
      <c r="V83" s="62" t="s">
        <v>50</v>
      </c>
      <c r="W83" s="62">
        <v>0</v>
      </c>
      <c r="X83" s="62" t="s">
        <v>148</v>
      </c>
      <c r="Y83" s="64"/>
      <c r="AB83" s="6" t="str">
        <f>IF(AND($K$3="Robot Hand",Tabulka2[[#This Row],[Robot]]&lt;&gt;"R"),"NOK","OK")</f>
        <v>NOK</v>
      </c>
      <c r="AC83" s="6" t="str">
        <f>IF($W$6&lt;=Tabulka2[[#This Row],[Clamping Force]],"OK","NOK")</f>
        <v>OK</v>
      </c>
      <c r="AD83" s="6" t="str">
        <f>IF(OR(($G$3&lt;Tabulka2[[#This Row],[Max
Width]]),(AND($G$4&lt;Tabulka2[[#This Row],[Max
Width]],$G$5&lt;Tabulka2[[#This Row],[Max
Height]]))),"OK","NOK")</f>
        <v>NOK</v>
      </c>
      <c r="AE83" s="6" t="str">
        <f>IF(IF($G$4+$K$4&lt;=Tabulka2[[#This Row],[Max Opening]],"OK","NOK")&amp;IF($G$4&lt;=Tabulka2[[#This Row],[Max Length]],"OK","NOK")="OKOK","OK","NOK")</f>
        <v>NOK</v>
      </c>
      <c r="AF83" s="54">
        <f>$W$7/Tabulka2[[#This Row],[V '[cm3']]]</f>
        <v>0.55211346960167706</v>
      </c>
      <c r="AG83" s="55">
        <f>(Tabulka2[[#This Row],[V '[cm3']]]*2.2*$W$3)/($W$7*60)</f>
        <v>58.973384625972727</v>
      </c>
      <c r="AH83" s="73">
        <f>IF(Tabulka2[[#This Row],[V '[cm3']]]/$W$7&lt;1,"-",Tabulka2[[#This Row],[V '[cm3']]]/$W$7)</f>
        <v>1.8112218865470737</v>
      </c>
      <c r="AI8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4" spans="2:35" s="6" customFormat="1" x14ac:dyDescent="0.2">
      <c r="B84" s="62" t="s">
        <v>142</v>
      </c>
      <c r="C84" s="62">
        <v>26</v>
      </c>
      <c r="D84" s="62" t="s">
        <v>65</v>
      </c>
      <c r="E84" s="62" t="s">
        <v>12</v>
      </c>
      <c r="F84" s="62">
        <v>20</v>
      </c>
      <c r="G84" s="62"/>
      <c r="H84" s="62">
        <v>35</v>
      </c>
      <c r="I84" s="62">
        <v>80</v>
      </c>
      <c r="J84" s="62">
        <v>144</v>
      </c>
      <c r="K84" s="62">
        <v>121</v>
      </c>
      <c r="L84" s="62">
        <v>1750</v>
      </c>
      <c r="M84" s="63" t="s">
        <v>185</v>
      </c>
      <c r="N84" s="62">
        <v>750</v>
      </c>
      <c r="O84" s="62">
        <v>0</v>
      </c>
      <c r="P84" s="62">
        <v>250</v>
      </c>
      <c r="Q84" s="62">
        <v>420</v>
      </c>
      <c r="R84" s="62">
        <v>420</v>
      </c>
      <c r="S84" s="62">
        <v>60</v>
      </c>
      <c r="T84" s="62">
        <v>40</v>
      </c>
      <c r="U84" s="62" t="s">
        <v>50</v>
      </c>
      <c r="V84" s="62" t="s">
        <v>50</v>
      </c>
      <c r="W84" s="62">
        <v>0</v>
      </c>
      <c r="X84" s="62" t="s">
        <v>148</v>
      </c>
      <c r="Y84" s="64"/>
      <c r="AB84" s="6" t="str">
        <f>IF(AND($K$3="Robot Hand",Tabulka2[[#This Row],[Robot]]&lt;&gt;"R"),"NOK","OK")</f>
        <v>NOK</v>
      </c>
      <c r="AC84" s="6" t="str">
        <f>IF($W$6&lt;=Tabulka2[[#This Row],[Clamping Force]],"OK","NOK")</f>
        <v>OK</v>
      </c>
      <c r="AD84" s="6" t="str">
        <f>IF(OR(($G$3&lt;Tabulka2[[#This Row],[Max
Width]]),(AND($G$4&lt;Tabulka2[[#This Row],[Max
Width]],$G$5&lt;Tabulka2[[#This Row],[Max
Height]]))),"OK","NOK")</f>
        <v>NOK</v>
      </c>
      <c r="AE84" s="6" t="str">
        <f>IF(IF($G$4+$K$4&lt;=Tabulka2[[#This Row],[Max Opening]],"OK","NOK")&amp;IF($G$4&lt;=Tabulka2[[#This Row],[Max Length]],"OK","NOK")="OKOK","OK","NOK")</f>
        <v>NOK</v>
      </c>
      <c r="AF84" s="54">
        <f>$W$7/Tabulka2[[#This Row],[V '[cm3']]]</f>
        <v>0.55211346960167706</v>
      </c>
      <c r="AG84" s="55">
        <f>(Tabulka2[[#This Row],[V '[cm3']]]*2.2*$W$3)/($W$7*60)</f>
        <v>58.973384625972727</v>
      </c>
      <c r="AH84" s="73">
        <f>IF(Tabulka2[[#This Row],[V '[cm3']]]/$W$7&lt;1,"-",Tabulka2[[#This Row],[V '[cm3']]]/$W$7)</f>
        <v>1.8112218865470737</v>
      </c>
      <c r="AI8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5" spans="2:35" s="6" customFormat="1" x14ac:dyDescent="0.2">
      <c r="B85" s="62" t="s">
        <v>142</v>
      </c>
      <c r="C85" s="62">
        <v>27</v>
      </c>
      <c r="D85" s="62" t="s">
        <v>53</v>
      </c>
      <c r="E85" s="62" t="s">
        <v>25</v>
      </c>
      <c r="F85" s="62">
        <v>20</v>
      </c>
      <c r="G85" s="63" t="s">
        <v>186</v>
      </c>
      <c r="H85" s="62">
        <v>40</v>
      </c>
      <c r="I85" s="62">
        <v>100</v>
      </c>
      <c r="J85" s="62">
        <v>182</v>
      </c>
      <c r="K85" s="62">
        <v>166</v>
      </c>
      <c r="L85" s="62">
        <v>2120</v>
      </c>
      <c r="M85" s="63" t="s">
        <v>185</v>
      </c>
      <c r="N85" s="62">
        <v>750</v>
      </c>
      <c r="O85" s="62">
        <v>0</v>
      </c>
      <c r="P85" s="62">
        <v>250</v>
      </c>
      <c r="Q85" s="62">
        <v>420</v>
      </c>
      <c r="R85" s="62">
        <v>420</v>
      </c>
      <c r="S85" s="62">
        <v>60</v>
      </c>
      <c r="T85" s="62">
        <v>50</v>
      </c>
      <c r="U85" s="62" t="s">
        <v>50</v>
      </c>
      <c r="V85" s="62" t="s">
        <v>50</v>
      </c>
      <c r="W85" s="62">
        <v>0</v>
      </c>
      <c r="X85" s="62" t="s">
        <v>152</v>
      </c>
      <c r="Y85" s="64"/>
      <c r="AB85" s="6" t="str">
        <f>IF(AND($K$3="Robot Hand",Tabulka2[[#This Row],[Robot]]&lt;&gt;"R"),"NOK","OK")</f>
        <v>OK</v>
      </c>
      <c r="AC85" s="6" t="str">
        <f>IF($W$6&lt;=Tabulka2[[#This Row],[Clamping Force]],"OK","NOK")</f>
        <v>OK</v>
      </c>
      <c r="AD85" s="6" t="str">
        <f>IF(OR(($G$3&lt;Tabulka2[[#This Row],[Max
Width]]),(AND($G$4&lt;Tabulka2[[#This Row],[Max
Width]],$G$5&lt;Tabulka2[[#This Row],[Max
Height]]))),"OK","NOK")</f>
        <v>NOK</v>
      </c>
      <c r="AE85" s="6" t="str">
        <f>IF(IF($G$4+$K$4&lt;=Tabulka2[[#This Row],[Max Opening]],"OK","NOK")&amp;IF($G$4&lt;=Tabulka2[[#This Row],[Max Length]],"OK","NOK")="OKOK","OK","NOK")</f>
        <v>NOK</v>
      </c>
      <c r="AF85" s="54">
        <f>$W$7/Tabulka2[[#This Row],[V '[cm3']]]</f>
        <v>0.43683703089363457</v>
      </c>
      <c r="AG85" s="55">
        <f>(Tabulka2[[#This Row],[V '[cm3']]]*2.2*$W$3)/($W$7*60)</f>
        <v>74.535805568937747</v>
      </c>
      <c r="AH85" s="73">
        <f>IF(Tabulka2[[#This Row],[V '[cm3']]]/$W$7&lt;1,"-",Tabulka2[[#This Row],[V '[cm3']]]/$W$7)</f>
        <v>2.2891832177192182</v>
      </c>
      <c r="AI8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6" spans="2:35" s="6" customFormat="1" x14ac:dyDescent="0.2">
      <c r="B86" s="62" t="s">
        <v>142</v>
      </c>
      <c r="C86" s="62">
        <v>28</v>
      </c>
      <c r="D86" s="62" t="s">
        <v>53</v>
      </c>
      <c r="E86" s="62" t="s">
        <v>26</v>
      </c>
      <c r="F86" s="62">
        <v>20</v>
      </c>
      <c r="G86" s="62" t="s">
        <v>84</v>
      </c>
      <c r="H86" s="62">
        <v>40</v>
      </c>
      <c r="I86" s="62">
        <v>100</v>
      </c>
      <c r="J86" s="62">
        <v>182</v>
      </c>
      <c r="K86" s="62">
        <v>166</v>
      </c>
      <c r="L86" s="62">
        <v>2120</v>
      </c>
      <c r="M86" s="63" t="s">
        <v>185</v>
      </c>
      <c r="N86" s="62">
        <v>750</v>
      </c>
      <c r="O86" s="62">
        <v>0</v>
      </c>
      <c r="P86" s="62">
        <v>250</v>
      </c>
      <c r="Q86" s="62">
        <v>420</v>
      </c>
      <c r="R86" s="62">
        <v>420</v>
      </c>
      <c r="S86" s="62">
        <v>60</v>
      </c>
      <c r="T86" s="62">
        <v>50</v>
      </c>
      <c r="U86" s="62" t="s">
        <v>50</v>
      </c>
      <c r="V86" s="62" t="s">
        <v>50</v>
      </c>
      <c r="W86" s="62">
        <v>0</v>
      </c>
      <c r="X86" s="62" t="s">
        <v>152</v>
      </c>
      <c r="Y86" s="64"/>
      <c r="AB86" s="6" t="str">
        <f>IF(AND($K$3="Robot Hand",Tabulka2[[#This Row],[Robot]]&lt;&gt;"R"),"NOK","OK")</f>
        <v>OK</v>
      </c>
      <c r="AC86" s="6" t="str">
        <f>IF($W$6&lt;=Tabulka2[[#This Row],[Clamping Force]],"OK","NOK")</f>
        <v>OK</v>
      </c>
      <c r="AD86" s="6" t="str">
        <f>IF(OR(($G$3&lt;Tabulka2[[#This Row],[Max
Width]]),(AND($G$4&lt;Tabulka2[[#This Row],[Max
Width]],$G$5&lt;Tabulka2[[#This Row],[Max
Height]]))),"OK","NOK")</f>
        <v>NOK</v>
      </c>
      <c r="AE86" s="6" t="str">
        <f>IF(IF($G$4+$K$4&lt;=Tabulka2[[#This Row],[Max Opening]],"OK","NOK")&amp;IF($G$4&lt;=Tabulka2[[#This Row],[Max Length]],"OK","NOK")="OKOK","OK","NOK")</f>
        <v>NOK</v>
      </c>
      <c r="AF86" s="54">
        <f>$W$7/Tabulka2[[#This Row],[V '[cm3']]]</f>
        <v>0.43683703089363457</v>
      </c>
      <c r="AG86" s="55">
        <f>(Tabulka2[[#This Row],[V '[cm3']]]*2.2*$W$3)/($W$7*60)</f>
        <v>74.535805568937747</v>
      </c>
      <c r="AH86" s="73">
        <f>IF(Tabulka2[[#This Row],[V '[cm3']]]/$W$7&lt;1,"-",Tabulka2[[#This Row],[V '[cm3']]]/$W$7)</f>
        <v>2.2891832177192182</v>
      </c>
      <c r="AI8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7" spans="2:35" s="6" customFormat="1" x14ac:dyDescent="0.2">
      <c r="B87" s="62" t="s">
        <v>142</v>
      </c>
      <c r="C87" s="62">
        <v>29</v>
      </c>
      <c r="D87" s="62" t="s">
        <v>53</v>
      </c>
      <c r="E87" s="62" t="s">
        <v>27</v>
      </c>
      <c r="F87" s="62">
        <v>23</v>
      </c>
      <c r="G87" s="62"/>
      <c r="H87" s="62">
        <v>35</v>
      </c>
      <c r="I87" s="62">
        <v>100</v>
      </c>
      <c r="J87" s="62">
        <v>139</v>
      </c>
      <c r="K87" s="62">
        <v>127</v>
      </c>
      <c r="L87" s="62">
        <v>2500</v>
      </c>
      <c r="M87" s="63" t="s">
        <v>185</v>
      </c>
      <c r="N87" s="62">
        <v>750</v>
      </c>
      <c r="O87" s="62">
        <v>0</v>
      </c>
      <c r="P87" s="62">
        <v>250</v>
      </c>
      <c r="Q87" s="62">
        <v>420</v>
      </c>
      <c r="R87" s="62">
        <v>420</v>
      </c>
      <c r="S87" s="62">
        <v>60</v>
      </c>
      <c r="T87" s="62">
        <v>50</v>
      </c>
      <c r="U87" s="62" t="s">
        <v>50</v>
      </c>
      <c r="V87" s="62" t="s">
        <v>50</v>
      </c>
      <c r="W87" s="62">
        <v>1</v>
      </c>
      <c r="X87" s="62" t="s">
        <v>148</v>
      </c>
      <c r="Y87" s="64"/>
      <c r="AB87" s="6" t="str">
        <f>IF(AND($K$3="Robot Hand",Tabulka2[[#This Row],[Robot]]&lt;&gt;"R"),"NOK","OK")</f>
        <v>NOK</v>
      </c>
      <c r="AC87" s="6" t="str">
        <f>IF($W$6&lt;=Tabulka2[[#This Row],[Clamping Force]],"OK","NOK")</f>
        <v>OK</v>
      </c>
      <c r="AD87" s="6" t="str">
        <f>IF(OR(($G$3&lt;Tabulka2[[#This Row],[Max
Width]]),(AND($G$4&lt;Tabulka2[[#This Row],[Max
Width]],$G$5&lt;Tabulka2[[#This Row],[Max
Height]]))),"OK","NOK")</f>
        <v>NOK</v>
      </c>
      <c r="AE87" s="6" t="str">
        <f>IF(IF($G$4+$K$4&lt;=Tabulka2[[#This Row],[Max Opening]],"OK","NOK")&amp;IF($G$4&lt;=Tabulka2[[#This Row],[Max Length]],"OK","NOK")="OKOK","OK","NOK")</f>
        <v>NOK</v>
      </c>
      <c r="AF87" s="54">
        <f>$W$7/Tabulka2[[#This Row],[V '[cm3']]]</f>
        <v>0.57197366634993885</v>
      </c>
      <c r="AG87" s="55">
        <f>(Tabulka2[[#This Row],[V '[cm3']]]*2.2*$W$3)/($W$7*60)</f>
        <v>56.925697659793123</v>
      </c>
      <c r="AH87" s="73">
        <f>IF(Tabulka2[[#This Row],[V '[cm3']]]/$W$7&lt;1,"-",Tabulka2[[#This Row],[V '[cm3']]]/$W$7)</f>
        <v>1.7483322377086337</v>
      </c>
      <c r="AI8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8" spans="2:35" s="6" customFormat="1" x14ac:dyDescent="0.2">
      <c r="B88" s="62" t="s">
        <v>142</v>
      </c>
      <c r="C88" s="62">
        <v>30</v>
      </c>
      <c r="D88" s="62" t="s">
        <v>53</v>
      </c>
      <c r="E88" s="62" t="s">
        <v>58</v>
      </c>
      <c r="F88" s="62">
        <v>20</v>
      </c>
      <c r="G88" s="62"/>
      <c r="H88" s="62">
        <v>40</v>
      </c>
      <c r="I88" s="62">
        <v>100</v>
      </c>
      <c r="J88" s="62">
        <v>182</v>
      </c>
      <c r="K88" s="62">
        <v>166</v>
      </c>
      <c r="L88" s="62">
        <v>2120</v>
      </c>
      <c r="M88" s="63" t="s">
        <v>185</v>
      </c>
      <c r="N88" s="62">
        <v>750</v>
      </c>
      <c r="O88" s="62">
        <v>0</v>
      </c>
      <c r="P88" s="62">
        <v>250</v>
      </c>
      <c r="Q88" s="62">
        <v>420</v>
      </c>
      <c r="R88" s="62">
        <v>420</v>
      </c>
      <c r="S88" s="62">
        <v>60</v>
      </c>
      <c r="T88" s="62">
        <v>50</v>
      </c>
      <c r="U88" s="62" t="s">
        <v>50</v>
      </c>
      <c r="V88" s="62" t="s">
        <v>50</v>
      </c>
      <c r="W88" s="62">
        <v>1</v>
      </c>
      <c r="X88" s="62" t="s">
        <v>152</v>
      </c>
      <c r="Y88" s="64"/>
      <c r="AB88" s="6" t="str">
        <f>IF(AND($K$3="Robot Hand",Tabulka2[[#This Row],[Robot]]&lt;&gt;"R"),"NOK","OK")</f>
        <v>OK</v>
      </c>
      <c r="AC88" s="6" t="str">
        <f>IF($W$6&lt;=Tabulka2[[#This Row],[Clamping Force]],"OK","NOK")</f>
        <v>OK</v>
      </c>
      <c r="AD88" s="6" t="str">
        <f>IF(OR(($G$3&lt;Tabulka2[[#This Row],[Max
Width]]),(AND($G$4&lt;Tabulka2[[#This Row],[Max
Width]],$G$5&lt;Tabulka2[[#This Row],[Max
Height]]))),"OK","NOK")</f>
        <v>NOK</v>
      </c>
      <c r="AE88" s="6" t="str">
        <f>IF(IF($G$4+$K$4&lt;=Tabulka2[[#This Row],[Max Opening]],"OK","NOK")&amp;IF($G$4&lt;=Tabulka2[[#This Row],[Max Length]],"OK","NOK")="OKOK","OK","NOK")</f>
        <v>NOK</v>
      </c>
      <c r="AF88" s="54">
        <f>$W$7/Tabulka2[[#This Row],[V '[cm3']]]</f>
        <v>0.43683703089363457</v>
      </c>
      <c r="AG88" s="55">
        <f>(Tabulka2[[#This Row],[V '[cm3']]]*2.2*$W$3)/($W$7*60)</f>
        <v>74.535805568937747</v>
      </c>
      <c r="AH88" s="73">
        <f>IF(Tabulka2[[#This Row],[V '[cm3']]]/$W$7&lt;1,"-",Tabulka2[[#This Row],[V '[cm3']]]/$W$7)</f>
        <v>2.2891832177192182</v>
      </c>
      <c r="AI8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89" spans="2:35" s="6" customFormat="1" x14ac:dyDescent="0.2">
      <c r="B89" s="62" t="s">
        <v>142</v>
      </c>
      <c r="C89" s="62">
        <v>31</v>
      </c>
      <c r="D89" s="62" t="s">
        <v>53</v>
      </c>
      <c r="E89" s="62" t="s">
        <v>59</v>
      </c>
      <c r="F89" s="62">
        <v>20</v>
      </c>
      <c r="G89" s="62"/>
      <c r="H89" s="62">
        <v>40</v>
      </c>
      <c r="I89" s="62">
        <v>100</v>
      </c>
      <c r="J89" s="62">
        <v>182</v>
      </c>
      <c r="K89" s="62">
        <v>166</v>
      </c>
      <c r="L89" s="62">
        <v>2120</v>
      </c>
      <c r="M89" s="63" t="s">
        <v>185</v>
      </c>
      <c r="N89" s="62">
        <v>750</v>
      </c>
      <c r="O89" s="62">
        <v>0</v>
      </c>
      <c r="P89" s="62">
        <v>250</v>
      </c>
      <c r="Q89" s="62">
        <v>420</v>
      </c>
      <c r="R89" s="62">
        <v>420</v>
      </c>
      <c r="S89" s="62">
        <v>60</v>
      </c>
      <c r="T89" s="62">
        <v>50</v>
      </c>
      <c r="U89" s="62" t="s">
        <v>50</v>
      </c>
      <c r="V89" s="62" t="s">
        <v>50</v>
      </c>
      <c r="W89" s="62">
        <v>0</v>
      </c>
      <c r="X89" s="62" t="s">
        <v>152</v>
      </c>
      <c r="Y89" s="64"/>
      <c r="AB89" s="6" t="str">
        <f>IF(AND($K$3="Robot Hand",Tabulka2[[#This Row],[Robot]]&lt;&gt;"R"),"NOK","OK")</f>
        <v>OK</v>
      </c>
      <c r="AC89" s="6" t="str">
        <f>IF($W$6&lt;=Tabulka2[[#This Row],[Clamping Force]],"OK","NOK")</f>
        <v>OK</v>
      </c>
      <c r="AD89" s="6" t="str">
        <f>IF(OR(($G$3&lt;Tabulka2[[#This Row],[Max
Width]]),(AND($G$4&lt;Tabulka2[[#This Row],[Max
Width]],$G$5&lt;Tabulka2[[#This Row],[Max
Height]]))),"OK","NOK")</f>
        <v>NOK</v>
      </c>
      <c r="AE89" s="6" t="str">
        <f>IF(IF($G$4+$K$4&lt;=Tabulka2[[#This Row],[Max Opening]],"OK","NOK")&amp;IF($G$4&lt;=Tabulka2[[#This Row],[Max Length]],"OK","NOK")="OKOK","OK","NOK")</f>
        <v>NOK</v>
      </c>
      <c r="AF89" s="54">
        <f>$W$7/Tabulka2[[#This Row],[V '[cm3']]]</f>
        <v>0.43683703089363457</v>
      </c>
      <c r="AG89" s="55">
        <f>(Tabulka2[[#This Row],[V '[cm3']]]*2.2*$W$3)/($W$7*60)</f>
        <v>74.535805568937747</v>
      </c>
      <c r="AH89" s="73">
        <f>IF(Tabulka2[[#This Row],[V '[cm3']]]/$W$7&lt;1,"-",Tabulka2[[#This Row],[V '[cm3']]]/$W$7)</f>
        <v>2.2891832177192182</v>
      </c>
      <c r="AI8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90" spans="2:35" s="6" customFormat="1" x14ac:dyDescent="0.2">
      <c r="B90" s="62" t="s">
        <v>142</v>
      </c>
      <c r="C90" s="62">
        <v>32</v>
      </c>
      <c r="D90" s="62" t="s">
        <v>94</v>
      </c>
      <c r="E90" s="62" t="s">
        <v>90</v>
      </c>
      <c r="F90" s="62">
        <v>20</v>
      </c>
      <c r="G90" s="62"/>
      <c r="H90" s="62">
        <v>40</v>
      </c>
      <c r="I90" s="62">
        <v>100</v>
      </c>
      <c r="J90" s="62">
        <v>201</v>
      </c>
      <c r="K90" s="62">
        <v>184</v>
      </c>
      <c r="L90" s="62">
        <v>2000</v>
      </c>
      <c r="M90" s="62">
        <v>350</v>
      </c>
      <c r="N90" s="62">
        <v>850</v>
      </c>
      <c r="O90" s="62">
        <v>500</v>
      </c>
      <c r="P90" s="62">
        <v>250</v>
      </c>
      <c r="Q90" s="62">
        <v>470</v>
      </c>
      <c r="R90" s="62">
        <v>470</v>
      </c>
      <c r="S90" s="62">
        <v>60</v>
      </c>
      <c r="T90" s="62">
        <v>50</v>
      </c>
      <c r="U90" s="62" t="s">
        <v>50</v>
      </c>
      <c r="V90" s="62" t="s">
        <v>50</v>
      </c>
      <c r="W90" s="62">
        <v>0</v>
      </c>
      <c r="X90" s="62" t="s">
        <v>152</v>
      </c>
      <c r="Y90" s="64"/>
      <c r="AB90" s="6" t="str">
        <f>IF(AND($K$3="Robot Hand",Tabulka2[[#This Row],[Robot]]&lt;&gt;"R"),"NOK","OK")</f>
        <v>OK</v>
      </c>
      <c r="AC90" s="6" t="str">
        <f>IF($W$6&lt;=Tabulka2[[#This Row],[Clamping Force]],"OK","NOK")</f>
        <v>OK</v>
      </c>
      <c r="AD90" s="6" t="str">
        <f>IF(OR(($G$3&lt;Tabulka2[[#This Row],[Max
Width]]),(AND($G$4&lt;Tabulka2[[#This Row],[Max
Width]],$G$5&lt;Tabulka2[[#This Row],[Max
Height]]))),"OK","NOK")</f>
        <v>OK</v>
      </c>
      <c r="AE90" s="6" t="str">
        <f>IF(IF($G$4+$K$4&lt;=Tabulka2[[#This Row],[Max Opening]],"OK","NOK")&amp;IF($G$4&lt;=Tabulka2[[#This Row],[Max Length]],"OK","NOK")="OKOK","OK","NOK")</f>
        <v>OK</v>
      </c>
      <c r="AF90" s="54">
        <f>$W$7/Tabulka2[[#This Row],[V '[cm3']]]</f>
        <v>0.39554397822209697</v>
      </c>
      <c r="AG90" s="55">
        <f>(Tabulka2[[#This Row],[V '[cm3']]]*2.2*$W$3)/($W$7*60)</f>
        <v>82.31701604042027</v>
      </c>
      <c r="AH90" s="73">
        <f>IF(Tabulka2[[#This Row],[V '[cm3']]]/$W$7&lt;1,"-",Tabulka2[[#This Row],[V '[cm3']]]/$W$7)</f>
        <v>2.5281638833052904</v>
      </c>
      <c r="AI9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91" spans="2:35" s="6" customFormat="1" x14ac:dyDescent="0.2">
      <c r="B91" s="62" t="s">
        <v>142</v>
      </c>
      <c r="C91" s="62">
        <v>33</v>
      </c>
      <c r="D91" s="62" t="s">
        <v>94</v>
      </c>
      <c r="E91" s="62" t="s">
        <v>91</v>
      </c>
      <c r="F91" s="62">
        <v>20</v>
      </c>
      <c r="G91" s="62"/>
      <c r="H91" s="62">
        <v>40</v>
      </c>
      <c r="I91" s="62">
        <v>100</v>
      </c>
      <c r="J91" s="62">
        <v>201</v>
      </c>
      <c r="K91" s="62">
        <v>184</v>
      </c>
      <c r="L91" s="62">
        <v>2000</v>
      </c>
      <c r="M91" s="62">
        <v>350</v>
      </c>
      <c r="N91" s="62">
        <v>850</v>
      </c>
      <c r="O91" s="62">
        <v>500</v>
      </c>
      <c r="P91" s="62">
        <v>250</v>
      </c>
      <c r="Q91" s="62">
        <v>470</v>
      </c>
      <c r="R91" s="62">
        <v>470</v>
      </c>
      <c r="S91" s="62">
        <v>60</v>
      </c>
      <c r="T91" s="62">
        <v>50</v>
      </c>
      <c r="U91" s="62" t="s">
        <v>50</v>
      </c>
      <c r="V91" s="62" t="s">
        <v>50</v>
      </c>
      <c r="W91" s="62">
        <v>1</v>
      </c>
      <c r="X91" s="62" t="s">
        <v>152</v>
      </c>
      <c r="Y91" s="64"/>
      <c r="AB91" s="6" t="str">
        <f>IF(AND($K$3="Robot Hand",Tabulka2[[#This Row],[Robot]]&lt;&gt;"R"),"NOK","OK")</f>
        <v>OK</v>
      </c>
      <c r="AC91" s="6" t="str">
        <f>IF($W$6&lt;=Tabulka2[[#This Row],[Clamping Force]],"OK","NOK")</f>
        <v>OK</v>
      </c>
      <c r="AD91" s="6" t="str">
        <f>IF(OR(($G$3&lt;Tabulka2[[#This Row],[Max
Width]]),(AND($G$4&lt;Tabulka2[[#This Row],[Max
Width]],$G$5&lt;Tabulka2[[#This Row],[Max
Height]]))),"OK","NOK")</f>
        <v>OK</v>
      </c>
      <c r="AE91" s="6" t="str">
        <f>IF(IF($G$4+$K$4&lt;=Tabulka2[[#This Row],[Max Opening]],"OK","NOK")&amp;IF($G$4&lt;=Tabulka2[[#This Row],[Max Length]],"OK","NOK")="OKOK","OK","NOK")</f>
        <v>OK</v>
      </c>
      <c r="AF91" s="54">
        <f>$W$7/Tabulka2[[#This Row],[V '[cm3']]]</f>
        <v>0.39554397822209697</v>
      </c>
      <c r="AG91" s="55">
        <f>(Tabulka2[[#This Row],[V '[cm3']]]*2.2*$W$3)/($W$7*60)</f>
        <v>82.31701604042027</v>
      </c>
      <c r="AH91" s="73">
        <f>IF(Tabulka2[[#This Row],[V '[cm3']]]/$W$7&lt;1,"-",Tabulka2[[#This Row],[V '[cm3']]]/$W$7)</f>
        <v>2.5281638833052904</v>
      </c>
      <c r="AI9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92" spans="2:35" s="6" customFormat="1" x14ac:dyDescent="0.2">
      <c r="B92" s="62" t="s">
        <v>142</v>
      </c>
      <c r="C92" s="62">
        <v>34</v>
      </c>
      <c r="D92" s="62" t="s">
        <v>94</v>
      </c>
      <c r="E92" s="62" t="s">
        <v>97</v>
      </c>
      <c r="F92" s="62">
        <v>20</v>
      </c>
      <c r="G92" s="62"/>
      <c r="H92" s="62">
        <v>40</v>
      </c>
      <c r="I92" s="62">
        <v>100</v>
      </c>
      <c r="J92" s="62">
        <v>201</v>
      </c>
      <c r="K92" s="62">
        <v>184</v>
      </c>
      <c r="L92" s="62">
        <v>2200</v>
      </c>
      <c r="M92" s="62">
        <v>350</v>
      </c>
      <c r="N92" s="62">
        <v>850</v>
      </c>
      <c r="O92" s="62">
        <v>500</v>
      </c>
      <c r="P92" s="62">
        <v>250</v>
      </c>
      <c r="Q92" s="62">
        <v>470</v>
      </c>
      <c r="R92" s="62">
        <v>470</v>
      </c>
      <c r="S92" s="62">
        <v>60</v>
      </c>
      <c r="T92" s="62">
        <v>50</v>
      </c>
      <c r="U92" s="62" t="s">
        <v>50</v>
      </c>
      <c r="V92" s="62" t="s">
        <v>50</v>
      </c>
      <c r="W92" s="62">
        <v>0</v>
      </c>
      <c r="X92" s="62" t="s">
        <v>152</v>
      </c>
      <c r="Y92" s="64"/>
      <c r="AB92" s="6" t="str">
        <f>IF(AND($K$3="Robot Hand",Tabulka2[[#This Row],[Robot]]&lt;&gt;"R"),"NOK","OK")</f>
        <v>OK</v>
      </c>
      <c r="AC92" s="6" t="str">
        <f>IF($W$6&lt;=Tabulka2[[#This Row],[Clamping Force]],"OK","NOK")</f>
        <v>OK</v>
      </c>
      <c r="AD92" s="6" t="str">
        <f>IF(OR(($G$3&lt;Tabulka2[[#This Row],[Max
Width]]),(AND($G$4&lt;Tabulka2[[#This Row],[Max
Width]],$G$5&lt;Tabulka2[[#This Row],[Max
Height]]))),"OK","NOK")</f>
        <v>OK</v>
      </c>
      <c r="AE92" s="6" t="str">
        <f>IF(IF($G$4+$K$4&lt;=Tabulka2[[#This Row],[Max Opening]],"OK","NOK")&amp;IF($G$4&lt;=Tabulka2[[#This Row],[Max Length]],"OK","NOK")="OKOK","OK","NOK")</f>
        <v>OK</v>
      </c>
      <c r="AF92" s="54">
        <f>$W$7/Tabulka2[[#This Row],[V '[cm3']]]</f>
        <v>0.39554397822209697</v>
      </c>
      <c r="AG92" s="55">
        <f>(Tabulka2[[#This Row],[V '[cm3']]]*2.2*$W$3)/($W$7*60)</f>
        <v>82.31701604042027</v>
      </c>
      <c r="AH92" s="73">
        <f>IF(Tabulka2[[#This Row],[V '[cm3']]]/$W$7&lt;1,"-",Tabulka2[[#This Row],[V '[cm3']]]/$W$7)</f>
        <v>2.5281638833052904</v>
      </c>
      <c r="AI9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93" spans="2:35" s="6" customFormat="1" x14ac:dyDescent="0.2">
      <c r="B93" s="62" t="s">
        <v>142</v>
      </c>
      <c r="C93" s="62">
        <v>35</v>
      </c>
      <c r="D93" s="62" t="s">
        <v>94</v>
      </c>
      <c r="E93" s="62" t="s">
        <v>98</v>
      </c>
      <c r="F93" s="62">
        <v>20</v>
      </c>
      <c r="G93" s="62"/>
      <c r="H93" s="62">
        <v>40</v>
      </c>
      <c r="I93" s="62">
        <v>100</v>
      </c>
      <c r="J93" s="62">
        <v>201</v>
      </c>
      <c r="K93" s="62">
        <v>184</v>
      </c>
      <c r="L93" s="62">
        <v>2200</v>
      </c>
      <c r="M93" s="62">
        <v>350</v>
      </c>
      <c r="N93" s="62">
        <v>850</v>
      </c>
      <c r="O93" s="62">
        <v>500</v>
      </c>
      <c r="P93" s="62">
        <v>250</v>
      </c>
      <c r="Q93" s="62">
        <v>470</v>
      </c>
      <c r="R93" s="62">
        <v>470</v>
      </c>
      <c r="S93" s="62">
        <v>60</v>
      </c>
      <c r="T93" s="62">
        <v>50</v>
      </c>
      <c r="U93" s="62" t="s">
        <v>50</v>
      </c>
      <c r="V93" s="62" t="s">
        <v>50</v>
      </c>
      <c r="W93" s="62">
        <v>1</v>
      </c>
      <c r="X93" s="62" t="s">
        <v>152</v>
      </c>
      <c r="Y93" s="64"/>
      <c r="AB93" s="6" t="str">
        <f>IF(AND($K$3="Robot Hand",Tabulka2[[#This Row],[Robot]]&lt;&gt;"R"),"NOK","OK")</f>
        <v>OK</v>
      </c>
      <c r="AC93" s="6" t="str">
        <f>IF($W$6&lt;=Tabulka2[[#This Row],[Clamping Force]],"OK","NOK")</f>
        <v>OK</v>
      </c>
      <c r="AD93" s="6" t="str">
        <f>IF(OR(($G$3&lt;Tabulka2[[#This Row],[Max
Width]]),(AND($G$4&lt;Tabulka2[[#This Row],[Max
Width]],$G$5&lt;Tabulka2[[#This Row],[Max
Height]]))),"OK","NOK")</f>
        <v>OK</v>
      </c>
      <c r="AE93" s="6" t="str">
        <f>IF(IF($G$4+$K$4&lt;=Tabulka2[[#This Row],[Max Opening]],"OK","NOK")&amp;IF($G$4&lt;=Tabulka2[[#This Row],[Max Length]],"OK","NOK")="OKOK","OK","NOK")</f>
        <v>OK</v>
      </c>
      <c r="AF93" s="54">
        <f>$W$7/Tabulka2[[#This Row],[V '[cm3']]]</f>
        <v>0.39554397822209697</v>
      </c>
      <c r="AG93" s="55">
        <f>(Tabulka2[[#This Row],[V '[cm3']]]*2.2*$W$3)/($W$7*60)</f>
        <v>82.31701604042027</v>
      </c>
      <c r="AH93" s="73">
        <f>IF(Tabulka2[[#This Row],[V '[cm3']]]/$W$7&lt;1,"-",Tabulka2[[#This Row],[V '[cm3']]]/$W$7)</f>
        <v>2.5281638833052904</v>
      </c>
      <c r="AI9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94" spans="2:35" s="6" customFormat="1" x14ac:dyDescent="0.2">
      <c r="B94" s="62" t="s">
        <v>142</v>
      </c>
      <c r="C94" s="62">
        <v>36</v>
      </c>
      <c r="D94" s="62" t="s">
        <v>115</v>
      </c>
      <c r="E94" s="62" t="s">
        <v>116</v>
      </c>
      <c r="F94" s="62">
        <v>23</v>
      </c>
      <c r="G94" s="62"/>
      <c r="H94" s="62">
        <v>35</v>
      </c>
      <c r="I94" s="62">
        <v>110</v>
      </c>
      <c r="J94" s="62">
        <v>154</v>
      </c>
      <c r="K94" s="62">
        <v>141</v>
      </c>
      <c r="L94" s="62">
        <v>2500</v>
      </c>
      <c r="M94" s="63" t="s">
        <v>185</v>
      </c>
      <c r="N94" s="62">
        <v>850</v>
      </c>
      <c r="O94" s="62">
        <v>0</v>
      </c>
      <c r="P94" s="62">
        <v>350</v>
      </c>
      <c r="Q94" s="62">
        <v>470</v>
      </c>
      <c r="R94" s="62">
        <v>470</v>
      </c>
      <c r="S94" s="62">
        <v>60</v>
      </c>
      <c r="T94" s="62">
        <v>50</v>
      </c>
      <c r="U94" s="62" t="s">
        <v>50</v>
      </c>
      <c r="V94" s="62" t="s">
        <v>50</v>
      </c>
      <c r="W94" s="62">
        <v>1</v>
      </c>
      <c r="X94" s="62" t="s">
        <v>152</v>
      </c>
      <c r="Y94" s="64"/>
      <c r="AB94" s="6" t="str">
        <f>IF(AND($K$3="Robot Hand",Tabulka2[[#This Row],[Robot]]&lt;&gt;"R"),"NOK","OK")</f>
        <v>OK</v>
      </c>
      <c r="AC94" s="6" t="str">
        <f>IF($W$6&lt;=Tabulka2[[#This Row],[Clamping Force]],"OK","NOK")</f>
        <v>OK</v>
      </c>
      <c r="AD94" s="6" t="str">
        <f>IF(OR(($G$3&lt;Tabulka2[[#This Row],[Max
Width]]),(AND($G$4&lt;Tabulka2[[#This Row],[Max
Width]],$G$5&lt;Tabulka2[[#This Row],[Max
Height]]))),"OK","NOK")</f>
        <v>OK</v>
      </c>
      <c r="AE94" s="6" t="str">
        <f>IF(IF($G$4+$K$4&lt;=Tabulka2[[#This Row],[Max Opening]],"OK","NOK")&amp;IF($G$4&lt;=Tabulka2[[#This Row],[Max Length]],"OK","NOK")="OKOK","OK","NOK")</f>
        <v>NOK</v>
      </c>
      <c r="AF94" s="54">
        <f>$W$7/Tabulka2[[#This Row],[V '[cm3']]]</f>
        <v>0.51626194560156813</v>
      </c>
      <c r="AG94" s="55">
        <f>(Tabulka2[[#This Row],[V '[cm3']]]*2.2*$W$3)/($W$7*60)</f>
        <v>63.068758558331943</v>
      </c>
      <c r="AH94" s="73">
        <f>IF(Tabulka2[[#This Row],[V '[cm3']]]/$W$7&lt;1,"-",Tabulka2[[#This Row],[V '[cm3']]]/$W$7)</f>
        <v>1.9370011842239538</v>
      </c>
      <c r="AI9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95" spans="2:35" s="6" customFormat="1" x14ac:dyDescent="0.2">
      <c r="B95" s="62" t="s">
        <v>142</v>
      </c>
      <c r="C95" s="62">
        <v>37</v>
      </c>
      <c r="D95" s="62" t="s">
        <v>70</v>
      </c>
      <c r="E95" s="62" t="s">
        <v>13</v>
      </c>
      <c r="F95" s="62">
        <v>20</v>
      </c>
      <c r="G95" s="62"/>
      <c r="H95" s="62">
        <v>40</v>
      </c>
      <c r="I95" s="62">
        <v>100</v>
      </c>
      <c r="J95" s="62">
        <v>231</v>
      </c>
      <c r="K95" s="62">
        <v>205</v>
      </c>
      <c r="L95" s="62">
        <v>2020</v>
      </c>
      <c r="M95" s="63" t="s">
        <v>185</v>
      </c>
      <c r="N95" s="62">
        <v>750</v>
      </c>
      <c r="O95" s="62">
        <v>0</v>
      </c>
      <c r="P95" s="62">
        <v>250</v>
      </c>
      <c r="Q95" s="62">
        <v>400</v>
      </c>
      <c r="R95" s="62">
        <v>400</v>
      </c>
      <c r="S95" s="62">
        <v>60</v>
      </c>
      <c r="T95" s="62">
        <v>40</v>
      </c>
      <c r="U95" s="62" t="s">
        <v>50</v>
      </c>
      <c r="V95" s="62" t="s">
        <v>50</v>
      </c>
      <c r="W95" s="62">
        <v>1</v>
      </c>
      <c r="X95" s="62" t="s">
        <v>148</v>
      </c>
      <c r="Y95" s="64"/>
      <c r="AB95" s="6" t="str">
        <f>IF(AND($K$3="Robot Hand",Tabulka2[[#This Row],[Robot]]&lt;&gt;"R"),"NOK","OK")</f>
        <v>NOK</v>
      </c>
      <c r="AC95" s="6" t="str">
        <f>IF($W$6&lt;=Tabulka2[[#This Row],[Clamping Force]],"OK","NOK")</f>
        <v>OK</v>
      </c>
      <c r="AD95" s="6" t="str">
        <f>IF(OR(($G$3&lt;Tabulka2[[#This Row],[Max
Width]]),(AND($G$4&lt;Tabulka2[[#This Row],[Max
Width]],$G$5&lt;Tabulka2[[#This Row],[Max
Height]]))),"OK","NOK")</f>
        <v>NOK</v>
      </c>
      <c r="AE95" s="6" t="str">
        <f>IF(IF($G$4+$K$4&lt;=Tabulka2[[#This Row],[Max Opening]],"OK","NOK")&amp;IF($G$4&lt;=Tabulka2[[#This Row],[Max Length]],"OK","NOK")="OKOK","OK","NOK")</f>
        <v>NOK</v>
      </c>
      <c r="AF95" s="54">
        <f>$W$7/Tabulka2[[#This Row],[V '[cm3']]]</f>
        <v>0.34417463040104546</v>
      </c>
      <c r="AG95" s="55">
        <f>(Tabulka2[[#This Row],[V '[cm3']]]*2.2*$W$3)/($W$7*60)</f>
        <v>94.603137837497925</v>
      </c>
      <c r="AH95" s="73">
        <f>IF(Tabulka2[[#This Row],[V '[cm3']]]/$W$7&lt;1,"-",Tabulka2[[#This Row],[V '[cm3']]]/$W$7)</f>
        <v>2.9055017763359308</v>
      </c>
      <c r="AI9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96" spans="2:35" s="6" customFormat="1" x14ac:dyDescent="0.2">
      <c r="B96" s="62" t="s">
        <v>142</v>
      </c>
      <c r="C96" s="62">
        <v>38</v>
      </c>
      <c r="D96" s="62" t="s">
        <v>70</v>
      </c>
      <c r="E96" s="62" t="s">
        <v>14</v>
      </c>
      <c r="F96" s="62">
        <v>20</v>
      </c>
      <c r="G96" s="62"/>
      <c r="H96" s="62">
        <v>40</v>
      </c>
      <c r="I96" s="62">
        <v>100</v>
      </c>
      <c r="J96" s="62">
        <v>231</v>
      </c>
      <c r="K96" s="62">
        <v>205</v>
      </c>
      <c r="L96" s="62">
        <v>2020</v>
      </c>
      <c r="M96" s="63" t="s">
        <v>185</v>
      </c>
      <c r="N96" s="62">
        <v>750</v>
      </c>
      <c r="O96" s="62">
        <v>0</v>
      </c>
      <c r="P96" s="62">
        <v>250</v>
      </c>
      <c r="Q96" s="62">
        <v>400</v>
      </c>
      <c r="R96" s="62">
        <v>400</v>
      </c>
      <c r="S96" s="62">
        <v>60</v>
      </c>
      <c r="T96" s="62">
        <v>40</v>
      </c>
      <c r="U96" s="62" t="s">
        <v>50</v>
      </c>
      <c r="V96" s="62" t="s">
        <v>50</v>
      </c>
      <c r="W96" s="62">
        <v>0</v>
      </c>
      <c r="X96" s="62" t="s">
        <v>154</v>
      </c>
      <c r="Y96" s="64"/>
      <c r="AB96" s="6" t="str">
        <f>IF(AND($K$3="Robot Hand",Tabulka2[[#This Row],[Robot]]&lt;&gt;"R"),"NOK","OK")</f>
        <v>NOK</v>
      </c>
      <c r="AC96" s="6" t="str">
        <f>IF($W$6&lt;=Tabulka2[[#This Row],[Clamping Force]],"OK","NOK")</f>
        <v>OK</v>
      </c>
      <c r="AD96" s="6" t="str">
        <f>IF(OR(($G$3&lt;Tabulka2[[#This Row],[Max
Width]]),(AND($G$4&lt;Tabulka2[[#This Row],[Max
Width]],$G$5&lt;Tabulka2[[#This Row],[Max
Height]]))),"OK","NOK")</f>
        <v>NOK</v>
      </c>
      <c r="AE96" s="6" t="str">
        <f>IF(IF($G$4+$K$4&lt;=Tabulka2[[#This Row],[Max Opening]],"OK","NOK")&amp;IF($G$4&lt;=Tabulka2[[#This Row],[Max Length]],"OK","NOK")="OKOK","OK","NOK")</f>
        <v>NOK</v>
      </c>
      <c r="AF96" s="54">
        <f>$W$7/Tabulka2[[#This Row],[V '[cm3']]]</f>
        <v>0.34417463040104546</v>
      </c>
      <c r="AG96" s="55">
        <f>(Tabulka2[[#This Row],[V '[cm3']]]*2.2*$W$3)/($W$7*60)</f>
        <v>94.603137837497925</v>
      </c>
      <c r="AH96" s="73">
        <f>IF(Tabulka2[[#This Row],[V '[cm3']]]/$W$7&lt;1,"-",Tabulka2[[#This Row],[V '[cm3']]]/$W$7)</f>
        <v>2.9055017763359308</v>
      </c>
      <c r="AI9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97" spans="2:35" s="6" customFormat="1" x14ac:dyDescent="0.2">
      <c r="B97" s="62" t="s">
        <v>142</v>
      </c>
      <c r="C97" s="62">
        <v>39</v>
      </c>
      <c r="D97" s="62" t="s">
        <v>71</v>
      </c>
      <c r="E97" s="62" t="s">
        <v>15</v>
      </c>
      <c r="F97" s="62">
        <v>20</v>
      </c>
      <c r="G97" s="62"/>
      <c r="H97" s="62">
        <v>45</v>
      </c>
      <c r="I97" s="62">
        <v>150</v>
      </c>
      <c r="J97" s="62">
        <v>323</v>
      </c>
      <c r="K97" s="62">
        <v>288</v>
      </c>
      <c r="L97" s="62">
        <v>1973</v>
      </c>
      <c r="M97" s="62">
        <v>500</v>
      </c>
      <c r="N97" s="62">
        <v>1060</v>
      </c>
      <c r="O97" s="62">
        <v>560</v>
      </c>
      <c r="P97" s="62">
        <v>250</v>
      </c>
      <c r="Q97" s="62">
        <v>500</v>
      </c>
      <c r="R97" s="62">
        <v>500</v>
      </c>
      <c r="S97" s="62">
        <v>70</v>
      </c>
      <c r="T97" s="62">
        <v>40</v>
      </c>
      <c r="U97" s="62" t="s">
        <v>50</v>
      </c>
      <c r="V97" s="62">
        <v>160</v>
      </c>
      <c r="W97" s="62">
        <v>2</v>
      </c>
      <c r="X97" s="62" t="s">
        <v>154</v>
      </c>
      <c r="Y97" s="64"/>
      <c r="AB97" s="6" t="str">
        <f>IF(AND($K$3="Robot Hand",Tabulka2[[#This Row],[Robot]]&lt;&gt;"R"),"NOK","OK")</f>
        <v>NOK</v>
      </c>
      <c r="AC97" s="6" t="str">
        <f>IF($W$6&lt;=Tabulka2[[#This Row],[Clamping Force]],"OK","NOK")</f>
        <v>OK</v>
      </c>
      <c r="AD97" s="6" t="str">
        <f>IF(OR(($G$3&lt;Tabulka2[[#This Row],[Max
Width]]),(AND($G$4&lt;Tabulka2[[#This Row],[Max
Width]],$G$5&lt;Tabulka2[[#This Row],[Max
Height]]))),"OK","NOK")</f>
        <v>OK</v>
      </c>
      <c r="AE97" s="6" t="str">
        <f>IF(IF($G$4+$K$4&lt;=Tabulka2[[#This Row],[Max Opening]],"OK","NOK")&amp;IF($G$4&lt;=Tabulka2[[#This Row],[Max Length]],"OK","NOK")="OKOK","OK","NOK")</f>
        <v>OK</v>
      </c>
      <c r="AF97" s="54">
        <f>$W$7/Tabulka2[[#This Row],[V '[cm3']]]</f>
        <v>0.24614346632396747</v>
      </c>
      <c r="AG97" s="55">
        <f>(Tabulka2[[#This Row],[V '[cm3']]]*2.2*$W$3)/($W$7*60)</f>
        <v>132.28057801520271</v>
      </c>
      <c r="AH97" s="73">
        <f>IF(Tabulka2[[#This Row],[V '[cm3']]]/$W$7&lt;1,"-",Tabulka2[[#This Row],[V '[cm3']]]/$W$7)</f>
        <v>4.0626713149632279</v>
      </c>
      <c r="AI9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98" spans="2:35" s="6" customFormat="1" x14ac:dyDescent="0.2">
      <c r="B98" s="62" t="s">
        <v>142</v>
      </c>
      <c r="C98" s="62">
        <v>40</v>
      </c>
      <c r="D98" s="62" t="s">
        <v>71</v>
      </c>
      <c r="E98" s="62" t="s">
        <v>16</v>
      </c>
      <c r="F98" s="62">
        <v>20</v>
      </c>
      <c r="G98" s="62"/>
      <c r="H98" s="62">
        <v>45</v>
      </c>
      <c r="I98" s="62">
        <v>150</v>
      </c>
      <c r="J98" s="62">
        <v>323</v>
      </c>
      <c r="K98" s="62">
        <v>288</v>
      </c>
      <c r="L98" s="62">
        <v>1973</v>
      </c>
      <c r="M98" s="62">
        <v>500</v>
      </c>
      <c r="N98" s="62">
        <v>1060</v>
      </c>
      <c r="O98" s="62">
        <v>560</v>
      </c>
      <c r="P98" s="62">
        <v>250</v>
      </c>
      <c r="Q98" s="62">
        <v>500</v>
      </c>
      <c r="R98" s="62">
        <v>500</v>
      </c>
      <c r="S98" s="62">
        <v>70</v>
      </c>
      <c r="T98" s="62">
        <v>40</v>
      </c>
      <c r="U98" s="62" t="s">
        <v>50</v>
      </c>
      <c r="V98" s="62">
        <v>160</v>
      </c>
      <c r="W98" s="62">
        <v>2</v>
      </c>
      <c r="X98" s="62" t="s">
        <v>148</v>
      </c>
      <c r="Y98" s="64"/>
      <c r="AB98" s="6" t="str">
        <f>IF(AND($K$3="Robot Hand",Tabulka2[[#This Row],[Robot]]&lt;&gt;"R"),"NOK","OK")</f>
        <v>NOK</v>
      </c>
      <c r="AC98" s="6" t="str">
        <f>IF($W$6&lt;=Tabulka2[[#This Row],[Clamping Force]],"OK","NOK")</f>
        <v>OK</v>
      </c>
      <c r="AD98" s="6" t="str">
        <f>IF(OR(($G$3&lt;Tabulka2[[#This Row],[Max
Width]]),(AND($G$4&lt;Tabulka2[[#This Row],[Max
Width]],$G$5&lt;Tabulka2[[#This Row],[Max
Height]]))),"OK","NOK")</f>
        <v>OK</v>
      </c>
      <c r="AE98" s="6" t="str">
        <f>IF(IF($G$4+$K$4&lt;=Tabulka2[[#This Row],[Max Opening]],"OK","NOK")&amp;IF($G$4&lt;=Tabulka2[[#This Row],[Max Length]],"OK","NOK")="OKOK","OK","NOK")</f>
        <v>OK</v>
      </c>
      <c r="AF98" s="54">
        <f>$W$7/Tabulka2[[#This Row],[V '[cm3']]]</f>
        <v>0.24614346632396747</v>
      </c>
      <c r="AG98" s="55">
        <f>(Tabulka2[[#This Row],[V '[cm3']]]*2.2*$W$3)/($W$7*60)</f>
        <v>132.28057801520271</v>
      </c>
      <c r="AH98" s="73">
        <f>IF(Tabulka2[[#This Row],[V '[cm3']]]/$W$7&lt;1,"-",Tabulka2[[#This Row],[V '[cm3']]]/$W$7)</f>
        <v>4.0626713149632279</v>
      </c>
      <c r="AI9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99" spans="2:35" s="6" customFormat="1" x14ac:dyDescent="0.2">
      <c r="B99" s="62" t="s">
        <v>142</v>
      </c>
      <c r="C99" s="62">
        <v>41</v>
      </c>
      <c r="D99" s="62" t="s">
        <v>71</v>
      </c>
      <c r="E99" s="62" t="s">
        <v>17</v>
      </c>
      <c r="F99" s="62">
        <v>20</v>
      </c>
      <c r="G99" s="62"/>
      <c r="H99" s="62">
        <v>45</v>
      </c>
      <c r="I99" s="62">
        <v>150</v>
      </c>
      <c r="J99" s="62">
        <v>323</v>
      </c>
      <c r="K99" s="62">
        <v>288</v>
      </c>
      <c r="L99" s="62">
        <v>1973</v>
      </c>
      <c r="M99" s="62">
        <v>500</v>
      </c>
      <c r="N99" s="62">
        <v>1060</v>
      </c>
      <c r="O99" s="62">
        <v>560</v>
      </c>
      <c r="P99" s="62">
        <v>250</v>
      </c>
      <c r="Q99" s="62">
        <v>500</v>
      </c>
      <c r="R99" s="62">
        <v>500</v>
      </c>
      <c r="S99" s="62">
        <v>70</v>
      </c>
      <c r="T99" s="62">
        <v>40</v>
      </c>
      <c r="U99" s="62" t="s">
        <v>50</v>
      </c>
      <c r="V99" s="62">
        <v>160</v>
      </c>
      <c r="W99" s="62">
        <v>2</v>
      </c>
      <c r="X99" s="62" t="s">
        <v>154</v>
      </c>
      <c r="Y99" s="64"/>
      <c r="AB99" s="6" t="str">
        <f>IF(AND($K$3="Robot Hand",Tabulka2[[#This Row],[Robot]]&lt;&gt;"R"),"NOK","OK")</f>
        <v>NOK</v>
      </c>
      <c r="AC99" s="6" t="str">
        <f>IF($W$6&lt;=Tabulka2[[#This Row],[Clamping Force]],"OK","NOK")</f>
        <v>OK</v>
      </c>
      <c r="AD99" s="6" t="str">
        <f>IF(OR(($G$3&lt;Tabulka2[[#This Row],[Max
Width]]),(AND($G$4&lt;Tabulka2[[#This Row],[Max
Width]],$G$5&lt;Tabulka2[[#This Row],[Max
Height]]))),"OK","NOK")</f>
        <v>OK</v>
      </c>
      <c r="AE99" s="6" t="str">
        <f>IF(IF($G$4+$K$4&lt;=Tabulka2[[#This Row],[Max Opening]],"OK","NOK")&amp;IF($G$4&lt;=Tabulka2[[#This Row],[Max Length]],"OK","NOK")="OKOK","OK","NOK")</f>
        <v>OK</v>
      </c>
      <c r="AF99" s="54">
        <f>$W$7/Tabulka2[[#This Row],[V '[cm3']]]</f>
        <v>0.24614346632396747</v>
      </c>
      <c r="AG99" s="55">
        <f>(Tabulka2[[#This Row],[V '[cm3']]]*2.2*$W$3)/($W$7*60)</f>
        <v>132.28057801520271</v>
      </c>
      <c r="AH99" s="73">
        <f>IF(Tabulka2[[#This Row],[V '[cm3']]]/$W$7&lt;1,"-",Tabulka2[[#This Row],[V '[cm3']]]/$W$7)</f>
        <v>4.0626713149632279</v>
      </c>
      <c r="AI9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00" spans="2:35" s="6" customFormat="1" x14ac:dyDescent="0.2">
      <c r="B100" s="62" t="s">
        <v>142</v>
      </c>
      <c r="C100" s="62">
        <v>42</v>
      </c>
      <c r="D100" s="62" t="s">
        <v>71</v>
      </c>
      <c r="E100" s="62" t="s">
        <v>18</v>
      </c>
      <c r="F100" s="62">
        <v>20</v>
      </c>
      <c r="G100" s="62"/>
      <c r="H100" s="62">
        <v>45</v>
      </c>
      <c r="I100" s="62">
        <v>150</v>
      </c>
      <c r="J100" s="62">
        <v>323</v>
      </c>
      <c r="K100" s="62">
        <v>288</v>
      </c>
      <c r="L100" s="62">
        <v>1973</v>
      </c>
      <c r="M100" s="62">
        <v>500</v>
      </c>
      <c r="N100" s="62">
        <v>1060</v>
      </c>
      <c r="O100" s="62">
        <v>560</v>
      </c>
      <c r="P100" s="62">
        <v>250</v>
      </c>
      <c r="Q100" s="62">
        <v>500</v>
      </c>
      <c r="R100" s="62">
        <v>500</v>
      </c>
      <c r="S100" s="62">
        <v>70</v>
      </c>
      <c r="T100" s="62">
        <v>40</v>
      </c>
      <c r="U100" s="62" t="s">
        <v>50</v>
      </c>
      <c r="V100" s="62">
        <v>160</v>
      </c>
      <c r="W100" s="62">
        <v>2</v>
      </c>
      <c r="X100" s="62" t="s">
        <v>152</v>
      </c>
      <c r="Y100" s="64"/>
      <c r="AB100" s="6" t="str">
        <f>IF(AND($K$3="Robot Hand",Tabulka2[[#This Row],[Robot]]&lt;&gt;"R"),"NOK","OK")</f>
        <v>OK</v>
      </c>
      <c r="AC100" s="6" t="str">
        <f>IF($W$6&lt;=Tabulka2[[#This Row],[Clamping Force]],"OK","NOK")</f>
        <v>OK</v>
      </c>
      <c r="AD100" s="6" t="str">
        <f>IF(OR(($G$3&lt;Tabulka2[[#This Row],[Max
Width]]),(AND($G$4&lt;Tabulka2[[#This Row],[Max
Width]],$G$5&lt;Tabulka2[[#This Row],[Max
Height]]))),"OK","NOK")</f>
        <v>OK</v>
      </c>
      <c r="AE100" s="6" t="str">
        <f>IF(IF($G$4+$K$4&lt;=Tabulka2[[#This Row],[Max Opening]],"OK","NOK")&amp;IF($G$4&lt;=Tabulka2[[#This Row],[Max Length]],"OK","NOK")="OKOK","OK","NOK")</f>
        <v>OK</v>
      </c>
      <c r="AF100" s="54">
        <f>$W$7/Tabulka2[[#This Row],[V '[cm3']]]</f>
        <v>0.24614346632396747</v>
      </c>
      <c r="AG100" s="55">
        <f>(Tabulka2[[#This Row],[V '[cm3']]]*2.2*$W$3)/($W$7*60)</f>
        <v>132.28057801520271</v>
      </c>
      <c r="AH100" s="73">
        <f>IF(Tabulka2[[#This Row],[V '[cm3']]]/$W$7&lt;1,"-",Tabulka2[[#This Row],[V '[cm3']]]/$W$7)</f>
        <v>4.0626713149632279</v>
      </c>
      <c r="AI10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101" spans="2:35" s="6" customFormat="1" x14ac:dyDescent="0.2">
      <c r="B101" s="62" t="s">
        <v>142</v>
      </c>
      <c r="C101" s="62">
        <v>43</v>
      </c>
      <c r="D101" s="62" t="s">
        <v>136</v>
      </c>
      <c r="E101" s="62" t="s">
        <v>137</v>
      </c>
      <c r="F101" s="62">
        <v>23</v>
      </c>
      <c r="G101" s="62"/>
      <c r="H101" s="62">
        <v>35</v>
      </c>
      <c r="I101" s="62">
        <v>130</v>
      </c>
      <c r="J101" s="62">
        <v>154</v>
      </c>
      <c r="K101" s="62">
        <v>141</v>
      </c>
      <c r="L101" s="62">
        <v>2500</v>
      </c>
      <c r="M101" s="63" t="s">
        <v>185</v>
      </c>
      <c r="N101" s="62">
        <v>825</v>
      </c>
      <c r="O101" s="62">
        <v>0</v>
      </c>
      <c r="P101" s="62">
        <v>250</v>
      </c>
      <c r="Q101" s="62">
        <v>520</v>
      </c>
      <c r="R101" s="62">
        <v>520</v>
      </c>
      <c r="S101" s="62">
        <v>75</v>
      </c>
      <c r="T101" s="62">
        <v>50</v>
      </c>
      <c r="U101" s="62" t="s">
        <v>50</v>
      </c>
      <c r="V101" s="62" t="s">
        <v>50</v>
      </c>
      <c r="W101" s="62">
        <v>1</v>
      </c>
      <c r="X101" s="62" t="s">
        <v>152</v>
      </c>
      <c r="Y101" s="64"/>
      <c r="AB101" s="6" t="str">
        <f>IF(AND($K$3="Robot Hand",Tabulka2[[#This Row],[Robot]]&lt;&gt;"R"),"NOK","OK")</f>
        <v>OK</v>
      </c>
      <c r="AC101" s="6" t="str">
        <f>IF($W$6&lt;=Tabulka2[[#This Row],[Clamping Force]],"OK","NOK")</f>
        <v>OK</v>
      </c>
      <c r="AD101" s="6" t="str">
        <f>IF(OR(($G$3&lt;Tabulka2[[#This Row],[Max
Width]]),(AND($G$4&lt;Tabulka2[[#This Row],[Max
Width]],$G$5&lt;Tabulka2[[#This Row],[Max
Height]]))),"OK","NOK")</f>
        <v>OK</v>
      </c>
      <c r="AE101" s="6" t="str">
        <f>IF(IF($G$4+$K$4&lt;=Tabulka2[[#This Row],[Max Opening]],"OK","NOK")&amp;IF($G$4&lt;=Tabulka2[[#This Row],[Max Length]],"OK","NOK")="OKOK","OK","NOK")</f>
        <v>NOK</v>
      </c>
      <c r="AF101" s="54">
        <f>$W$7/Tabulka2[[#This Row],[V '[cm3']]]</f>
        <v>0.51626194560156813</v>
      </c>
      <c r="AG101" s="55">
        <f>(Tabulka2[[#This Row],[V '[cm3']]]*2.2*$W$3)/($W$7*60)</f>
        <v>63.068758558331943</v>
      </c>
      <c r="AH101" s="73">
        <f>IF(Tabulka2[[#This Row],[V '[cm3']]]/$W$7&lt;1,"-",Tabulka2[[#This Row],[V '[cm3']]]/$W$7)</f>
        <v>1.9370011842239538</v>
      </c>
      <c r="AI10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02" spans="2:35" s="6" customFormat="1" x14ac:dyDescent="0.2">
      <c r="B102" s="62" t="s">
        <v>142</v>
      </c>
      <c r="C102" s="62">
        <v>44</v>
      </c>
      <c r="D102" s="62" t="s">
        <v>102</v>
      </c>
      <c r="E102" s="62" t="s">
        <v>89</v>
      </c>
      <c r="F102" s="62">
        <v>23</v>
      </c>
      <c r="G102" s="62" t="s">
        <v>95</v>
      </c>
      <c r="H102" s="62">
        <v>35</v>
      </c>
      <c r="I102" s="62">
        <v>160</v>
      </c>
      <c r="J102" s="62">
        <v>154</v>
      </c>
      <c r="K102" s="62">
        <v>141</v>
      </c>
      <c r="L102" s="62">
        <v>2500</v>
      </c>
      <c r="M102" s="63" t="s">
        <v>185</v>
      </c>
      <c r="N102" s="62">
        <v>1025</v>
      </c>
      <c r="O102" s="62">
        <v>0</v>
      </c>
      <c r="P102" s="62">
        <v>450</v>
      </c>
      <c r="Q102" s="62">
        <v>520</v>
      </c>
      <c r="R102" s="62">
        <v>520</v>
      </c>
      <c r="S102" s="62">
        <v>75</v>
      </c>
      <c r="T102" s="62">
        <v>50</v>
      </c>
      <c r="U102" s="62" t="s">
        <v>50</v>
      </c>
      <c r="V102" s="62" t="s">
        <v>50</v>
      </c>
      <c r="W102" s="62">
        <v>1</v>
      </c>
      <c r="X102" s="62" t="s">
        <v>154</v>
      </c>
      <c r="Y102" s="64"/>
      <c r="AB102" s="6" t="str">
        <f>IF(AND($K$3="Robot Hand",Tabulka2[[#This Row],[Robot]]&lt;&gt;"R"),"NOK","OK")</f>
        <v>NOK</v>
      </c>
      <c r="AC102" s="6" t="str">
        <f>IF($W$6&lt;=Tabulka2[[#This Row],[Clamping Force]],"OK","NOK")</f>
        <v>OK</v>
      </c>
      <c r="AD102" s="6" t="str">
        <f>IF(OR(($G$3&lt;Tabulka2[[#This Row],[Max
Width]]),(AND($G$4&lt;Tabulka2[[#This Row],[Max
Width]],$G$5&lt;Tabulka2[[#This Row],[Max
Height]]))),"OK","NOK")</f>
        <v>OK</v>
      </c>
      <c r="AE102" s="6" t="str">
        <f>IF(IF($G$4+$K$4&lt;=Tabulka2[[#This Row],[Max Opening]],"OK","NOK")&amp;IF($G$4&lt;=Tabulka2[[#This Row],[Max Length]],"OK","NOK")="OKOK","OK","NOK")</f>
        <v>NOK</v>
      </c>
      <c r="AF102" s="54">
        <f>$W$7/Tabulka2[[#This Row],[V '[cm3']]]</f>
        <v>0.51626194560156813</v>
      </c>
      <c r="AG102" s="55">
        <f>(Tabulka2[[#This Row],[V '[cm3']]]*2.2*$W$3)/($W$7*60)</f>
        <v>63.068758558331943</v>
      </c>
      <c r="AH102" s="73">
        <f>IF(Tabulka2[[#This Row],[V '[cm3']]]/$W$7&lt;1,"-",Tabulka2[[#This Row],[V '[cm3']]]/$W$7)</f>
        <v>1.9370011842239538</v>
      </c>
      <c r="AI10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03" spans="2:35" s="6" customFormat="1" x14ac:dyDescent="0.2">
      <c r="B103" s="62" t="s">
        <v>142</v>
      </c>
      <c r="C103" s="62">
        <v>44</v>
      </c>
      <c r="D103" s="62" t="s">
        <v>102</v>
      </c>
      <c r="E103" s="62" t="s">
        <v>89</v>
      </c>
      <c r="F103" s="62">
        <v>20</v>
      </c>
      <c r="G103" s="62" t="s">
        <v>95</v>
      </c>
      <c r="H103" s="62">
        <v>22</v>
      </c>
      <c r="I103" s="62">
        <v>160</v>
      </c>
      <c r="J103" s="62">
        <v>34</v>
      </c>
      <c r="K103" s="62">
        <v>31</v>
      </c>
      <c r="L103" s="62">
        <v>2200</v>
      </c>
      <c r="M103" s="63" t="s">
        <v>185</v>
      </c>
      <c r="N103" s="62">
        <v>1025</v>
      </c>
      <c r="O103" s="62">
        <v>0</v>
      </c>
      <c r="P103" s="62">
        <v>450</v>
      </c>
      <c r="Q103" s="62">
        <v>520</v>
      </c>
      <c r="R103" s="62">
        <v>520</v>
      </c>
      <c r="S103" s="62">
        <v>75</v>
      </c>
      <c r="T103" s="62">
        <v>50</v>
      </c>
      <c r="U103" s="62" t="s">
        <v>50</v>
      </c>
      <c r="V103" s="62" t="s">
        <v>50</v>
      </c>
      <c r="W103" s="62">
        <v>1</v>
      </c>
      <c r="X103" s="62" t="s">
        <v>154</v>
      </c>
      <c r="Y103" s="64"/>
      <c r="AB103" s="6" t="str">
        <f>IF(AND($K$3="Robot Hand",Tabulka2[[#This Row],[Robot]]&lt;&gt;"R"),"NOK","OK")</f>
        <v>NOK</v>
      </c>
      <c r="AC103" s="6" t="str">
        <f>IF($W$6&lt;=Tabulka2[[#This Row],[Clamping Force]],"OK","NOK")</f>
        <v>OK</v>
      </c>
      <c r="AD103" s="6" t="str">
        <f>IF(OR(($G$3&lt;Tabulka2[[#This Row],[Max
Width]]),(AND($G$4&lt;Tabulka2[[#This Row],[Max
Width]],$G$5&lt;Tabulka2[[#This Row],[Max
Height]]))),"OK","NOK")</f>
        <v>OK</v>
      </c>
      <c r="AE103" s="6" t="str">
        <f>IF(IF($G$4+$K$4&lt;=Tabulka2[[#This Row],[Max Opening]],"OK","NOK")&amp;IF($G$4&lt;=Tabulka2[[#This Row],[Max Length]],"OK","NOK")="OKOK","OK","NOK")</f>
        <v>NOK</v>
      </c>
      <c r="AF103" s="54">
        <f>$W$7/Tabulka2[[#This Row],[V '[cm3']]]</f>
        <v>2.3383629300776909</v>
      </c>
      <c r="AG103" s="55">
        <f>(Tabulka2[[#This Row],[V '[cm3']]]*2.2*$W$3)/($W$7*60)</f>
        <v>13.924271370021339</v>
      </c>
      <c r="AH103" s="73" t="str">
        <f>IF(Tabulka2[[#This Row],[V '[cm3']]]/$W$7&lt;1,"-",Tabulka2[[#This Row],[V '[cm3']]]/$W$7)</f>
        <v>-</v>
      </c>
      <c r="AI10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04" spans="2:35" s="6" customFormat="1" x14ac:dyDescent="0.2">
      <c r="B104" s="62" t="s">
        <v>142</v>
      </c>
      <c r="C104" s="62">
        <v>45</v>
      </c>
      <c r="D104" s="62" t="s">
        <v>103</v>
      </c>
      <c r="E104" s="62" t="s">
        <v>99</v>
      </c>
      <c r="F104" s="62">
        <v>22</v>
      </c>
      <c r="G104" s="62" t="s">
        <v>95</v>
      </c>
      <c r="H104" s="62">
        <v>45</v>
      </c>
      <c r="I104" s="62">
        <v>160</v>
      </c>
      <c r="J104" s="62">
        <v>318</v>
      </c>
      <c r="K104" s="62">
        <v>291</v>
      </c>
      <c r="L104" s="62">
        <v>2500</v>
      </c>
      <c r="M104" s="63" t="s">
        <v>185</v>
      </c>
      <c r="N104" s="62">
        <v>1075</v>
      </c>
      <c r="O104" s="62">
        <v>0</v>
      </c>
      <c r="P104" s="62">
        <v>500</v>
      </c>
      <c r="Q104" s="62">
        <v>520</v>
      </c>
      <c r="R104" s="62">
        <v>520</v>
      </c>
      <c r="S104" s="62">
        <v>75</v>
      </c>
      <c r="T104" s="62">
        <v>50</v>
      </c>
      <c r="U104" s="62" t="s">
        <v>50</v>
      </c>
      <c r="V104" s="62" t="s">
        <v>50</v>
      </c>
      <c r="W104" s="62">
        <v>2</v>
      </c>
      <c r="X104" s="62" t="s">
        <v>152</v>
      </c>
      <c r="Y104" s="64"/>
      <c r="AB104" s="6" t="str">
        <f>IF(AND($K$3="Robot Hand",Tabulka2[[#This Row],[Robot]]&lt;&gt;"R"),"NOK","OK")</f>
        <v>OK</v>
      </c>
      <c r="AC104" s="6" t="str">
        <f>IF($W$6&lt;=Tabulka2[[#This Row],[Clamping Force]],"OK","NOK")</f>
        <v>OK</v>
      </c>
      <c r="AD104" s="6" t="str">
        <f>IF(OR(($G$3&lt;Tabulka2[[#This Row],[Max
Width]]),(AND($G$4&lt;Tabulka2[[#This Row],[Max
Width]],$G$5&lt;Tabulka2[[#This Row],[Max
Height]]))),"OK","NOK")</f>
        <v>OK</v>
      </c>
      <c r="AE104" s="6" t="str">
        <f>IF(IF($G$4+$K$4&lt;=Tabulka2[[#This Row],[Max Opening]],"OK","NOK")&amp;IF($G$4&lt;=Tabulka2[[#This Row],[Max Length]],"OK","NOK")="OKOK","OK","NOK")</f>
        <v>NOK</v>
      </c>
      <c r="AF104" s="54">
        <f>$W$7/Tabulka2[[#This Row],[V '[cm3']]]</f>
        <v>0.2500136466120802</v>
      </c>
      <c r="AG104" s="55">
        <f>(Tabulka2[[#This Row],[V '[cm3']]]*2.2*$W$3)/($W$7*60)</f>
        <v>130.2328910490231</v>
      </c>
      <c r="AH104" s="73">
        <f>IF(Tabulka2[[#This Row],[V '[cm3']]]/$W$7&lt;1,"-",Tabulka2[[#This Row],[V '[cm3']]]/$W$7)</f>
        <v>3.9997816661247878</v>
      </c>
      <c r="AI10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05" spans="2:35" s="6" customFormat="1" x14ac:dyDescent="0.2">
      <c r="B105" s="62" t="s">
        <v>142</v>
      </c>
      <c r="C105" s="62">
        <v>45</v>
      </c>
      <c r="D105" s="62" t="s">
        <v>103</v>
      </c>
      <c r="E105" s="62" t="s">
        <v>99</v>
      </c>
      <c r="F105" s="62">
        <v>20</v>
      </c>
      <c r="G105" s="62" t="s">
        <v>95</v>
      </c>
      <c r="H105" s="62">
        <v>22</v>
      </c>
      <c r="I105" s="62">
        <v>160</v>
      </c>
      <c r="J105" s="62">
        <v>34</v>
      </c>
      <c r="K105" s="62">
        <v>31</v>
      </c>
      <c r="L105" s="62">
        <v>2000</v>
      </c>
      <c r="M105" s="63" t="s">
        <v>185</v>
      </c>
      <c r="N105" s="62">
        <v>1075</v>
      </c>
      <c r="O105" s="62">
        <v>0</v>
      </c>
      <c r="P105" s="62">
        <v>500</v>
      </c>
      <c r="Q105" s="62">
        <v>520</v>
      </c>
      <c r="R105" s="62">
        <v>520</v>
      </c>
      <c r="S105" s="62">
        <v>75</v>
      </c>
      <c r="T105" s="62">
        <v>50</v>
      </c>
      <c r="U105" s="62" t="s">
        <v>50</v>
      </c>
      <c r="V105" s="62" t="s">
        <v>50</v>
      </c>
      <c r="W105" s="62">
        <v>2</v>
      </c>
      <c r="X105" s="62" t="s">
        <v>152</v>
      </c>
      <c r="Y105" s="64"/>
      <c r="AB105" s="6" t="str">
        <f>IF(AND($K$3="Robot Hand",Tabulka2[[#This Row],[Robot]]&lt;&gt;"R"),"NOK","OK")</f>
        <v>OK</v>
      </c>
      <c r="AC105" s="6" t="str">
        <f>IF($W$6&lt;=Tabulka2[[#This Row],[Clamping Force]],"OK","NOK")</f>
        <v>OK</v>
      </c>
      <c r="AD105" s="6" t="str">
        <f>IF(OR(($G$3&lt;Tabulka2[[#This Row],[Max
Width]]),(AND($G$4&lt;Tabulka2[[#This Row],[Max
Width]],$G$5&lt;Tabulka2[[#This Row],[Max
Height]]))),"OK","NOK")</f>
        <v>OK</v>
      </c>
      <c r="AE105" s="6" t="str">
        <f>IF(IF($G$4+$K$4&lt;=Tabulka2[[#This Row],[Max Opening]],"OK","NOK")&amp;IF($G$4&lt;=Tabulka2[[#This Row],[Max Length]],"OK","NOK")="OKOK","OK","NOK")</f>
        <v>NOK</v>
      </c>
      <c r="AF105" s="54">
        <f>$W$7/Tabulka2[[#This Row],[V '[cm3']]]</f>
        <v>2.3383629300776909</v>
      </c>
      <c r="AG105" s="55">
        <f>(Tabulka2[[#This Row],[V '[cm3']]]*2.2*$W$3)/($W$7*60)</f>
        <v>13.924271370021339</v>
      </c>
      <c r="AH105" s="73" t="str">
        <f>IF(Tabulka2[[#This Row],[V '[cm3']]]/$W$7&lt;1,"-",Tabulka2[[#This Row],[V '[cm3']]]/$W$7)</f>
        <v>-</v>
      </c>
      <c r="AI10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06" spans="2:35" s="6" customFormat="1" x14ac:dyDescent="0.2">
      <c r="B106" s="62" t="s">
        <v>142</v>
      </c>
      <c r="C106" s="62">
        <v>46</v>
      </c>
      <c r="D106" s="62" t="s">
        <v>113</v>
      </c>
      <c r="E106" s="62" t="s">
        <v>100</v>
      </c>
      <c r="F106" s="62">
        <v>22</v>
      </c>
      <c r="G106" s="62"/>
      <c r="H106" s="62">
        <v>45</v>
      </c>
      <c r="I106" s="62">
        <v>160</v>
      </c>
      <c r="J106" s="62">
        <v>318</v>
      </c>
      <c r="K106" s="62">
        <v>291</v>
      </c>
      <c r="L106" s="62">
        <v>2470</v>
      </c>
      <c r="M106" s="63" t="s">
        <v>185</v>
      </c>
      <c r="N106" s="62">
        <v>1075</v>
      </c>
      <c r="O106" s="62">
        <v>0</v>
      </c>
      <c r="P106" s="62">
        <v>500</v>
      </c>
      <c r="Q106" s="62">
        <v>520</v>
      </c>
      <c r="R106" s="62">
        <v>520</v>
      </c>
      <c r="S106" s="62">
        <v>75</v>
      </c>
      <c r="T106" s="62">
        <v>50</v>
      </c>
      <c r="U106" s="62" t="s">
        <v>50</v>
      </c>
      <c r="V106" s="62" t="s">
        <v>50</v>
      </c>
      <c r="W106" s="62">
        <v>0</v>
      </c>
      <c r="X106" s="62" t="s">
        <v>152</v>
      </c>
      <c r="Y106" s="64"/>
      <c r="AB106" s="6" t="str">
        <f>IF(AND($K$3="Robot Hand",Tabulka2[[#This Row],[Robot]]&lt;&gt;"R"),"NOK","OK")</f>
        <v>OK</v>
      </c>
      <c r="AC106" s="6" t="str">
        <f>IF($W$6&lt;=Tabulka2[[#This Row],[Clamping Force]],"OK","NOK")</f>
        <v>OK</v>
      </c>
      <c r="AD106" s="6" t="str">
        <f>IF(OR(($G$3&lt;Tabulka2[[#This Row],[Max
Width]]),(AND($G$4&lt;Tabulka2[[#This Row],[Max
Width]],$G$5&lt;Tabulka2[[#This Row],[Max
Height]]))),"OK","NOK")</f>
        <v>OK</v>
      </c>
      <c r="AE106" s="6" t="str">
        <f>IF(IF($G$4+$K$4&lt;=Tabulka2[[#This Row],[Max Opening]],"OK","NOK")&amp;IF($G$4&lt;=Tabulka2[[#This Row],[Max Length]],"OK","NOK")="OKOK","OK","NOK")</f>
        <v>NOK</v>
      </c>
      <c r="AF106" s="54">
        <f>$W$7/Tabulka2[[#This Row],[V '[cm3']]]</f>
        <v>0.2500136466120802</v>
      </c>
      <c r="AG106" s="55">
        <f>(Tabulka2[[#This Row],[V '[cm3']]]*2.2*$W$3)/($W$7*60)</f>
        <v>130.2328910490231</v>
      </c>
      <c r="AH106" s="73">
        <f>IF(Tabulka2[[#This Row],[V '[cm3']]]/$W$7&lt;1,"-",Tabulka2[[#This Row],[V '[cm3']]]/$W$7)</f>
        <v>3.9997816661247878</v>
      </c>
      <c r="AI10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07" spans="2:35" s="6" customFormat="1" x14ac:dyDescent="0.2">
      <c r="B107" s="62" t="s">
        <v>142</v>
      </c>
      <c r="C107" s="62">
        <v>47</v>
      </c>
      <c r="D107" s="62" t="s">
        <v>103</v>
      </c>
      <c r="E107" s="62" t="s">
        <v>129</v>
      </c>
      <c r="F107" s="62">
        <v>23</v>
      </c>
      <c r="G107" s="62" t="s">
        <v>95</v>
      </c>
      <c r="H107" s="62">
        <v>35</v>
      </c>
      <c r="I107" s="62">
        <v>160</v>
      </c>
      <c r="J107" s="62">
        <v>154</v>
      </c>
      <c r="K107" s="62">
        <v>141</v>
      </c>
      <c r="L107" s="62">
        <v>2500</v>
      </c>
      <c r="M107" s="63" t="s">
        <v>185</v>
      </c>
      <c r="N107" s="62">
        <v>1025</v>
      </c>
      <c r="O107" s="62">
        <v>0</v>
      </c>
      <c r="P107" s="62">
        <v>450</v>
      </c>
      <c r="Q107" s="62">
        <v>520</v>
      </c>
      <c r="R107" s="62">
        <v>520</v>
      </c>
      <c r="S107" s="62">
        <v>75</v>
      </c>
      <c r="T107" s="62">
        <v>50</v>
      </c>
      <c r="U107" s="62" t="s">
        <v>50</v>
      </c>
      <c r="V107" s="62" t="s">
        <v>50</v>
      </c>
      <c r="W107" s="62">
        <v>1</v>
      </c>
      <c r="X107" s="62" t="s">
        <v>152</v>
      </c>
      <c r="Y107" s="64"/>
      <c r="AB107" s="6" t="str">
        <f>IF(AND($K$3="Robot Hand",Tabulka2[[#This Row],[Robot]]&lt;&gt;"R"),"NOK","OK")</f>
        <v>OK</v>
      </c>
      <c r="AC107" s="6" t="str">
        <f>IF($W$6&lt;=Tabulka2[[#This Row],[Clamping Force]],"OK","NOK")</f>
        <v>OK</v>
      </c>
      <c r="AD107" s="6" t="str">
        <f>IF(OR(($G$3&lt;Tabulka2[[#This Row],[Max
Width]]),(AND($G$4&lt;Tabulka2[[#This Row],[Max
Width]],$G$5&lt;Tabulka2[[#This Row],[Max
Height]]))),"OK","NOK")</f>
        <v>OK</v>
      </c>
      <c r="AE107" s="6" t="str">
        <f>IF(IF($G$4+$K$4&lt;=Tabulka2[[#This Row],[Max Opening]],"OK","NOK")&amp;IF($G$4&lt;=Tabulka2[[#This Row],[Max Length]],"OK","NOK")="OKOK","OK","NOK")</f>
        <v>NOK</v>
      </c>
      <c r="AF107" s="54">
        <f>$W$7/Tabulka2[[#This Row],[V '[cm3']]]</f>
        <v>0.51626194560156813</v>
      </c>
      <c r="AG107" s="55">
        <f>(Tabulka2[[#This Row],[V '[cm3']]]*2.2*$W$3)/($W$7*60)</f>
        <v>63.068758558331943</v>
      </c>
      <c r="AH107" s="73">
        <f>IF(Tabulka2[[#This Row],[V '[cm3']]]/$W$7&lt;1,"-",Tabulka2[[#This Row],[V '[cm3']]]/$W$7)</f>
        <v>1.9370011842239538</v>
      </c>
      <c r="AI10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08" spans="2:35" s="6" customFormat="1" x14ac:dyDescent="0.2">
      <c r="B108" s="62" t="s">
        <v>142</v>
      </c>
      <c r="C108" s="62">
        <v>47</v>
      </c>
      <c r="D108" s="62" t="s">
        <v>103</v>
      </c>
      <c r="E108" s="62" t="s">
        <v>129</v>
      </c>
      <c r="F108" s="62">
        <v>20</v>
      </c>
      <c r="G108" s="62" t="s">
        <v>95</v>
      </c>
      <c r="H108" s="62">
        <v>22</v>
      </c>
      <c r="I108" s="62">
        <v>160</v>
      </c>
      <c r="J108" s="62">
        <v>34</v>
      </c>
      <c r="K108" s="62">
        <v>31</v>
      </c>
      <c r="L108" s="62">
        <v>2000</v>
      </c>
      <c r="M108" s="63" t="s">
        <v>185</v>
      </c>
      <c r="N108" s="62">
        <v>1025</v>
      </c>
      <c r="O108" s="62">
        <v>0</v>
      </c>
      <c r="P108" s="62">
        <v>450</v>
      </c>
      <c r="Q108" s="62">
        <v>520</v>
      </c>
      <c r="R108" s="62">
        <v>520</v>
      </c>
      <c r="S108" s="62">
        <v>75</v>
      </c>
      <c r="T108" s="62">
        <v>50</v>
      </c>
      <c r="U108" s="62" t="s">
        <v>50</v>
      </c>
      <c r="V108" s="62" t="s">
        <v>50</v>
      </c>
      <c r="W108" s="62">
        <v>1</v>
      </c>
      <c r="X108" s="62" t="s">
        <v>152</v>
      </c>
      <c r="Y108" s="64"/>
      <c r="AB108" s="6" t="str">
        <f>IF(AND($K$3="Robot Hand",Tabulka2[[#This Row],[Robot]]&lt;&gt;"R"),"NOK","OK")</f>
        <v>OK</v>
      </c>
      <c r="AC108" s="6" t="str">
        <f>IF($W$6&lt;=Tabulka2[[#This Row],[Clamping Force]],"OK","NOK")</f>
        <v>OK</v>
      </c>
      <c r="AD108" s="6" t="str">
        <f>IF(OR(($G$3&lt;Tabulka2[[#This Row],[Max
Width]]),(AND($G$4&lt;Tabulka2[[#This Row],[Max
Width]],$G$5&lt;Tabulka2[[#This Row],[Max
Height]]))),"OK","NOK")</f>
        <v>OK</v>
      </c>
      <c r="AE108" s="6" t="str">
        <f>IF(IF($G$4+$K$4&lt;=Tabulka2[[#This Row],[Max Opening]],"OK","NOK")&amp;IF($G$4&lt;=Tabulka2[[#This Row],[Max Length]],"OK","NOK")="OKOK","OK","NOK")</f>
        <v>NOK</v>
      </c>
      <c r="AF108" s="54">
        <f>$W$7/Tabulka2[[#This Row],[V '[cm3']]]</f>
        <v>2.3383629300776909</v>
      </c>
      <c r="AG108" s="55">
        <f>(Tabulka2[[#This Row],[V '[cm3']]]*2.2*$W$3)/($W$7*60)</f>
        <v>13.924271370021339</v>
      </c>
      <c r="AH108" s="73" t="str">
        <f>IF(Tabulka2[[#This Row],[V '[cm3']]]/$W$7&lt;1,"-",Tabulka2[[#This Row],[V '[cm3']]]/$W$7)</f>
        <v>-</v>
      </c>
      <c r="AI10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09" spans="2:35" s="6" customFormat="1" x14ac:dyDescent="0.2">
      <c r="B109" s="62" t="s">
        <v>142</v>
      </c>
      <c r="C109" s="62">
        <v>48</v>
      </c>
      <c r="D109" s="62" t="s">
        <v>72</v>
      </c>
      <c r="E109" s="62" t="s">
        <v>34</v>
      </c>
      <c r="F109" s="62">
        <v>20</v>
      </c>
      <c r="G109" s="62"/>
      <c r="H109" s="62">
        <v>45</v>
      </c>
      <c r="I109" s="62">
        <v>200</v>
      </c>
      <c r="J109" s="62">
        <v>323</v>
      </c>
      <c r="K109" s="62">
        <v>290</v>
      </c>
      <c r="L109" s="62">
        <v>1973</v>
      </c>
      <c r="M109" s="62">
        <v>500</v>
      </c>
      <c r="N109" s="62">
        <v>1060</v>
      </c>
      <c r="O109" s="62">
        <v>560</v>
      </c>
      <c r="P109" s="62">
        <v>250</v>
      </c>
      <c r="Q109" s="62">
        <v>500</v>
      </c>
      <c r="R109" s="62">
        <v>500</v>
      </c>
      <c r="S109" s="62">
        <v>80</v>
      </c>
      <c r="T109" s="62">
        <v>20</v>
      </c>
      <c r="U109" s="62">
        <v>160</v>
      </c>
      <c r="V109" s="62">
        <v>160</v>
      </c>
      <c r="W109" s="62">
        <v>2</v>
      </c>
      <c r="X109" s="62" t="s">
        <v>152</v>
      </c>
      <c r="Y109" s="64"/>
      <c r="AB109" s="6" t="str">
        <f>IF(AND($K$3="Robot Hand",Tabulka2[[#This Row],[Robot]]&lt;&gt;"R"),"NOK","OK")</f>
        <v>OK</v>
      </c>
      <c r="AC109" s="6" t="str">
        <f>IF($W$6&lt;=Tabulka2[[#This Row],[Clamping Force]],"OK","NOK")</f>
        <v>OK</v>
      </c>
      <c r="AD109" s="6" t="str">
        <f>IF(OR(($G$3&lt;Tabulka2[[#This Row],[Max
Width]]),(AND($G$4&lt;Tabulka2[[#This Row],[Max
Width]],$G$5&lt;Tabulka2[[#This Row],[Max
Height]]))),"OK","NOK")</f>
        <v>OK</v>
      </c>
      <c r="AE109" s="6" t="str">
        <f>IF(IF($G$4+$K$4&lt;=Tabulka2[[#This Row],[Max Opening]],"OK","NOK")&amp;IF($G$4&lt;=Tabulka2[[#This Row],[Max Length]],"OK","NOK")="OKOK","OK","NOK")</f>
        <v>OK</v>
      </c>
      <c r="AF109" s="54">
        <f>$W$7/Tabulka2[[#This Row],[V '[cm3']]]</f>
        <v>0.24614346632396747</v>
      </c>
      <c r="AG109" s="55">
        <f>(Tabulka2[[#This Row],[V '[cm3']]]*2.2*$W$3)/($W$7*60)</f>
        <v>132.28057801520271</v>
      </c>
      <c r="AH109" s="73">
        <f>IF(Tabulka2[[#This Row],[V '[cm3']]]/$W$7&lt;1,"-",Tabulka2[[#This Row],[V '[cm3']]]/$W$7)</f>
        <v>4.0626713149632279</v>
      </c>
      <c r="AI10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110" spans="2:35" s="6" customFormat="1" x14ac:dyDescent="0.2">
      <c r="B110" s="62" t="s">
        <v>142</v>
      </c>
      <c r="C110" s="62">
        <v>49</v>
      </c>
      <c r="D110" s="62" t="s">
        <v>72</v>
      </c>
      <c r="E110" s="62" t="s">
        <v>35</v>
      </c>
      <c r="F110" s="62">
        <v>20</v>
      </c>
      <c r="G110" s="62"/>
      <c r="H110" s="62">
        <v>45</v>
      </c>
      <c r="I110" s="62">
        <v>200</v>
      </c>
      <c r="J110" s="62">
        <v>323</v>
      </c>
      <c r="K110" s="62">
        <v>290</v>
      </c>
      <c r="L110" s="62">
        <v>1973</v>
      </c>
      <c r="M110" s="62">
        <v>500</v>
      </c>
      <c r="N110" s="62">
        <v>1060</v>
      </c>
      <c r="O110" s="62">
        <v>560</v>
      </c>
      <c r="P110" s="62">
        <v>250</v>
      </c>
      <c r="Q110" s="62">
        <v>500</v>
      </c>
      <c r="R110" s="62">
        <v>500</v>
      </c>
      <c r="S110" s="62">
        <v>80</v>
      </c>
      <c r="T110" s="62">
        <v>20</v>
      </c>
      <c r="U110" s="62">
        <v>160</v>
      </c>
      <c r="V110" s="62">
        <v>160</v>
      </c>
      <c r="W110" s="62">
        <v>2</v>
      </c>
      <c r="X110" s="62" t="s">
        <v>152</v>
      </c>
      <c r="Y110" s="64"/>
      <c r="AB110" s="6" t="str">
        <f>IF(AND($K$3="Robot Hand",Tabulka2[[#This Row],[Robot]]&lt;&gt;"R"),"NOK","OK")</f>
        <v>OK</v>
      </c>
      <c r="AC110" s="6" t="str">
        <f>IF($W$6&lt;=Tabulka2[[#This Row],[Clamping Force]],"OK","NOK")</f>
        <v>OK</v>
      </c>
      <c r="AD110" s="6" t="str">
        <f>IF(OR(($G$3&lt;Tabulka2[[#This Row],[Max
Width]]),(AND($G$4&lt;Tabulka2[[#This Row],[Max
Width]],$G$5&lt;Tabulka2[[#This Row],[Max
Height]]))),"OK","NOK")</f>
        <v>OK</v>
      </c>
      <c r="AE110" s="6" t="str">
        <f>IF(IF($G$4+$K$4&lt;=Tabulka2[[#This Row],[Max Opening]],"OK","NOK")&amp;IF($G$4&lt;=Tabulka2[[#This Row],[Max Length]],"OK","NOK")="OKOK","OK","NOK")</f>
        <v>OK</v>
      </c>
      <c r="AF110" s="54">
        <f>$W$7/Tabulka2[[#This Row],[V '[cm3']]]</f>
        <v>0.24614346632396747</v>
      </c>
      <c r="AG110" s="55">
        <f>(Tabulka2[[#This Row],[V '[cm3']]]*2.2*$W$3)/($W$7*60)</f>
        <v>132.28057801520271</v>
      </c>
      <c r="AH110" s="73">
        <f>IF(Tabulka2[[#This Row],[V '[cm3']]]/$W$7&lt;1,"-",Tabulka2[[#This Row],[V '[cm3']]]/$W$7)</f>
        <v>4.0626713149632279</v>
      </c>
      <c r="AI11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111" spans="2:35" s="6" customFormat="1" x14ac:dyDescent="0.2">
      <c r="B111" s="62" t="s">
        <v>142</v>
      </c>
      <c r="C111" s="62">
        <v>50</v>
      </c>
      <c r="D111" s="62" t="s">
        <v>72</v>
      </c>
      <c r="E111" s="62" t="s">
        <v>36</v>
      </c>
      <c r="F111" s="62">
        <v>20</v>
      </c>
      <c r="G111" s="62"/>
      <c r="H111" s="62">
        <v>45</v>
      </c>
      <c r="I111" s="62">
        <v>200</v>
      </c>
      <c r="J111" s="62">
        <v>323</v>
      </c>
      <c r="K111" s="62">
        <v>290</v>
      </c>
      <c r="L111" s="62">
        <v>1973</v>
      </c>
      <c r="M111" s="62">
        <v>500</v>
      </c>
      <c r="N111" s="62">
        <v>1060</v>
      </c>
      <c r="O111" s="62">
        <v>560</v>
      </c>
      <c r="P111" s="62">
        <v>250</v>
      </c>
      <c r="Q111" s="62">
        <v>500</v>
      </c>
      <c r="R111" s="62">
        <v>500</v>
      </c>
      <c r="S111" s="62">
        <v>80</v>
      </c>
      <c r="T111" s="62">
        <v>20</v>
      </c>
      <c r="U111" s="62">
        <v>160</v>
      </c>
      <c r="V111" s="62">
        <v>160</v>
      </c>
      <c r="W111" s="62">
        <v>2</v>
      </c>
      <c r="X111" s="62" t="s">
        <v>152</v>
      </c>
      <c r="Y111" s="64"/>
      <c r="AB111" s="6" t="str">
        <f>IF(AND($K$3="Robot Hand",Tabulka2[[#This Row],[Robot]]&lt;&gt;"R"),"NOK","OK")</f>
        <v>OK</v>
      </c>
      <c r="AC111" s="6" t="str">
        <f>IF($W$6&lt;=Tabulka2[[#This Row],[Clamping Force]],"OK","NOK")</f>
        <v>OK</v>
      </c>
      <c r="AD111" s="6" t="str">
        <f>IF(OR(($G$3&lt;Tabulka2[[#This Row],[Max
Width]]),(AND($G$4&lt;Tabulka2[[#This Row],[Max
Width]],$G$5&lt;Tabulka2[[#This Row],[Max
Height]]))),"OK","NOK")</f>
        <v>OK</v>
      </c>
      <c r="AE111" s="6" t="str">
        <f>IF(IF($G$4+$K$4&lt;=Tabulka2[[#This Row],[Max Opening]],"OK","NOK")&amp;IF($G$4&lt;=Tabulka2[[#This Row],[Max Length]],"OK","NOK")="OKOK","OK","NOK")</f>
        <v>OK</v>
      </c>
      <c r="AF111" s="54">
        <f>$W$7/Tabulka2[[#This Row],[V '[cm3']]]</f>
        <v>0.24614346632396747</v>
      </c>
      <c r="AG111" s="55">
        <f>(Tabulka2[[#This Row],[V '[cm3']]]*2.2*$W$3)/($W$7*60)</f>
        <v>132.28057801520271</v>
      </c>
      <c r="AH111" s="73">
        <f>IF(Tabulka2[[#This Row],[V '[cm3']]]/$W$7&lt;1,"-",Tabulka2[[#This Row],[V '[cm3']]]/$W$7)</f>
        <v>4.0626713149632279</v>
      </c>
      <c r="AI11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112" spans="2:35" s="6" customFormat="1" x14ac:dyDescent="0.2">
      <c r="B112" s="62" t="s">
        <v>142</v>
      </c>
      <c r="C112" s="62">
        <v>51</v>
      </c>
      <c r="D112" s="62" t="s">
        <v>72</v>
      </c>
      <c r="E112" s="62" t="s">
        <v>37</v>
      </c>
      <c r="F112" s="62">
        <v>20</v>
      </c>
      <c r="G112" s="62"/>
      <c r="H112" s="62">
        <v>45</v>
      </c>
      <c r="I112" s="62">
        <v>200</v>
      </c>
      <c r="J112" s="62">
        <v>323</v>
      </c>
      <c r="K112" s="62">
        <v>290</v>
      </c>
      <c r="L112" s="62">
        <v>1973</v>
      </c>
      <c r="M112" s="62">
        <v>500</v>
      </c>
      <c r="N112" s="62">
        <v>1060</v>
      </c>
      <c r="O112" s="62">
        <v>560</v>
      </c>
      <c r="P112" s="62">
        <v>250</v>
      </c>
      <c r="Q112" s="62">
        <v>500</v>
      </c>
      <c r="R112" s="62">
        <v>500</v>
      </c>
      <c r="S112" s="62">
        <v>80</v>
      </c>
      <c r="T112" s="62">
        <v>20</v>
      </c>
      <c r="U112" s="62">
        <v>160</v>
      </c>
      <c r="V112" s="62">
        <v>160</v>
      </c>
      <c r="W112" s="62">
        <v>2</v>
      </c>
      <c r="X112" s="62" t="s">
        <v>152</v>
      </c>
      <c r="Y112" s="64"/>
      <c r="AB112" s="6" t="str">
        <f>IF(AND($K$3="Robot Hand",Tabulka2[[#This Row],[Robot]]&lt;&gt;"R"),"NOK","OK")</f>
        <v>OK</v>
      </c>
      <c r="AC112" s="6" t="str">
        <f>IF($W$6&lt;=Tabulka2[[#This Row],[Clamping Force]],"OK","NOK")</f>
        <v>OK</v>
      </c>
      <c r="AD112" s="6" t="str">
        <f>IF(OR(($G$3&lt;Tabulka2[[#This Row],[Max
Width]]),(AND($G$4&lt;Tabulka2[[#This Row],[Max
Width]],$G$5&lt;Tabulka2[[#This Row],[Max
Height]]))),"OK","NOK")</f>
        <v>OK</v>
      </c>
      <c r="AE112" s="6" t="str">
        <f>IF(IF($G$4+$K$4&lt;=Tabulka2[[#This Row],[Max Opening]],"OK","NOK")&amp;IF($G$4&lt;=Tabulka2[[#This Row],[Max Length]],"OK","NOK")="OKOK","OK","NOK")</f>
        <v>OK</v>
      </c>
      <c r="AF112" s="54">
        <f>$W$7/Tabulka2[[#This Row],[V '[cm3']]]</f>
        <v>0.24614346632396747</v>
      </c>
      <c r="AG112" s="55">
        <f>(Tabulka2[[#This Row],[V '[cm3']]]*2.2*$W$3)/($W$7*60)</f>
        <v>132.28057801520271</v>
      </c>
      <c r="AH112" s="73">
        <f>IF(Tabulka2[[#This Row],[V '[cm3']]]/$W$7&lt;1,"-",Tabulka2[[#This Row],[V '[cm3']]]/$W$7)</f>
        <v>4.0626713149632279</v>
      </c>
      <c r="AI11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113" spans="2:35" s="6" customFormat="1" x14ac:dyDescent="0.2">
      <c r="B113" s="62" t="s">
        <v>142</v>
      </c>
      <c r="C113" s="62">
        <v>52</v>
      </c>
      <c r="D113" s="62" t="s">
        <v>72</v>
      </c>
      <c r="E113" s="62" t="s">
        <v>38</v>
      </c>
      <c r="F113" s="62">
        <v>20</v>
      </c>
      <c r="G113" s="62"/>
      <c r="H113" s="62">
        <v>45</v>
      </c>
      <c r="I113" s="62">
        <v>200</v>
      </c>
      <c r="J113" s="62">
        <v>323</v>
      </c>
      <c r="K113" s="62">
        <v>290</v>
      </c>
      <c r="L113" s="62">
        <v>1973</v>
      </c>
      <c r="M113" s="62">
        <v>500</v>
      </c>
      <c r="N113" s="62">
        <v>1060</v>
      </c>
      <c r="O113" s="62">
        <v>560</v>
      </c>
      <c r="P113" s="62">
        <v>250</v>
      </c>
      <c r="Q113" s="62">
        <v>500</v>
      </c>
      <c r="R113" s="62">
        <v>500</v>
      </c>
      <c r="S113" s="62">
        <v>80</v>
      </c>
      <c r="T113" s="62">
        <v>20</v>
      </c>
      <c r="U113" s="62">
        <v>160</v>
      </c>
      <c r="V113" s="62">
        <v>160</v>
      </c>
      <c r="W113" s="62">
        <v>2</v>
      </c>
      <c r="X113" s="62" t="s">
        <v>152</v>
      </c>
      <c r="Y113" s="64"/>
      <c r="AB113" s="6" t="str">
        <f>IF(AND($K$3="Robot Hand",Tabulka2[[#This Row],[Robot]]&lt;&gt;"R"),"NOK","OK")</f>
        <v>OK</v>
      </c>
      <c r="AC113" s="6" t="str">
        <f>IF($W$6&lt;=Tabulka2[[#This Row],[Clamping Force]],"OK","NOK")</f>
        <v>OK</v>
      </c>
      <c r="AD113" s="6" t="str">
        <f>IF(OR(($G$3&lt;Tabulka2[[#This Row],[Max
Width]]),(AND($G$4&lt;Tabulka2[[#This Row],[Max
Width]],$G$5&lt;Tabulka2[[#This Row],[Max
Height]]))),"OK","NOK")</f>
        <v>OK</v>
      </c>
      <c r="AE113" s="6" t="str">
        <f>IF(IF($G$4+$K$4&lt;=Tabulka2[[#This Row],[Max Opening]],"OK","NOK")&amp;IF($G$4&lt;=Tabulka2[[#This Row],[Max Length]],"OK","NOK")="OKOK","OK","NOK")</f>
        <v>OK</v>
      </c>
      <c r="AF113" s="54">
        <f>$W$7/Tabulka2[[#This Row],[V '[cm3']]]</f>
        <v>0.24614346632396747</v>
      </c>
      <c r="AG113" s="55">
        <f>(Tabulka2[[#This Row],[V '[cm3']]]*2.2*$W$3)/($W$7*60)</f>
        <v>132.28057801520271</v>
      </c>
      <c r="AH113" s="73">
        <f>IF(Tabulka2[[#This Row],[V '[cm3']]]/$W$7&lt;1,"-",Tabulka2[[#This Row],[V '[cm3']]]/$W$7)</f>
        <v>4.0626713149632279</v>
      </c>
      <c r="AI11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OK</v>
      </c>
    </row>
    <row r="114" spans="2:35" s="6" customFormat="1" x14ac:dyDescent="0.2">
      <c r="B114" s="62" t="s">
        <v>142</v>
      </c>
      <c r="C114" s="62">
        <v>53</v>
      </c>
      <c r="D114" s="62" t="s">
        <v>72</v>
      </c>
      <c r="E114" s="62" t="s">
        <v>39</v>
      </c>
      <c r="F114" s="62">
        <v>20</v>
      </c>
      <c r="G114" s="62"/>
      <c r="H114" s="62">
        <v>45</v>
      </c>
      <c r="I114" s="62">
        <v>200</v>
      </c>
      <c r="J114" s="62">
        <v>323</v>
      </c>
      <c r="K114" s="62">
        <v>290</v>
      </c>
      <c r="L114" s="62">
        <v>1973</v>
      </c>
      <c r="M114" s="62">
        <v>500</v>
      </c>
      <c r="N114" s="62">
        <v>1160</v>
      </c>
      <c r="O114" s="62">
        <v>660</v>
      </c>
      <c r="P114" s="62">
        <v>350</v>
      </c>
      <c r="Q114" s="62">
        <v>500</v>
      </c>
      <c r="R114" s="62">
        <v>500</v>
      </c>
      <c r="S114" s="62">
        <v>80</v>
      </c>
      <c r="T114" s="62">
        <v>20</v>
      </c>
      <c r="U114" s="62">
        <v>160</v>
      </c>
      <c r="V114" s="62">
        <v>160</v>
      </c>
      <c r="W114" s="62">
        <v>2</v>
      </c>
      <c r="X114" s="62" t="s">
        <v>154</v>
      </c>
      <c r="Y114" s="64"/>
      <c r="AB114" s="6" t="str">
        <f>IF(AND($K$3="Robot Hand",Tabulka2[[#This Row],[Robot]]&lt;&gt;"R"),"NOK","OK")</f>
        <v>NOK</v>
      </c>
      <c r="AC114" s="6" t="str">
        <f>IF($W$6&lt;=Tabulka2[[#This Row],[Clamping Force]],"OK","NOK")</f>
        <v>OK</v>
      </c>
      <c r="AD114" s="6" t="str">
        <f>IF(OR(($G$3&lt;Tabulka2[[#This Row],[Max
Width]]),(AND($G$4&lt;Tabulka2[[#This Row],[Max
Width]],$G$5&lt;Tabulka2[[#This Row],[Max
Height]]))),"OK","NOK")</f>
        <v>OK</v>
      </c>
      <c r="AE114" s="6" t="str">
        <f>IF(IF($G$4+$K$4&lt;=Tabulka2[[#This Row],[Max Opening]],"OK","NOK")&amp;IF($G$4&lt;=Tabulka2[[#This Row],[Max Length]],"OK","NOK")="OKOK","OK","NOK")</f>
        <v>OK</v>
      </c>
      <c r="AF114" s="54">
        <f>$W$7/Tabulka2[[#This Row],[V '[cm3']]]</f>
        <v>0.24614346632396747</v>
      </c>
      <c r="AG114" s="55">
        <f>(Tabulka2[[#This Row],[V '[cm3']]]*2.2*$W$3)/($W$7*60)</f>
        <v>132.28057801520271</v>
      </c>
      <c r="AH114" s="73">
        <f>IF(Tabulka2[[#This Row],[V '[cm3']]]/$W$7&lt;1,"-",Tabulka2[[#This Row],[V '[cm3']]]/$W$7)</f>
        <v>4.0626713149632279</v>
      </c>
      <c r="AI11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15" spans="2:35" s="6" customFormat="1" x14ac:dyDescent="0.2">
      <c r="B115" s="62" t="s">
        <v>142</v>
      </c>
      <c r="C115" s="62">
        <v>54</v>
      </c>
      <c r="D115" s="62" t="s">
        <v>63</v>
      </c>
      <c r="E115" s="62" t="s">
        <v>19</v>
      </c>
      <c r="F115" s="62">
        <v>20</v>
      </c>
      <c r="G115" s="62"/>
      <c r="H115" s="62">
        <v>50</v>
      </c>
      <c r="I115" s="62">
        <v>200</v>
      </c>
      <c r="J115" s="62">
        <v>353</v>
      </c>
      <c r="K115" s="62">
        <v>322</v>
      </c>
      <c r="L115" s="62">
        <v>2050</v>
      </c>
      <c r="M115" s="63" t="s">
        <v>185</v>
      </c>
      <c r="N115" s="62">
        <v>900</v>
      </c>
      <c r="O115" s="62">
        <v>0</v>
      </c>
      <c r="P115" s="62">
        <v>250</v>
      </c>
      <c r="Q115" s="62">
        <v>520</v>
      </c>
      <c r="R115" s="62">
        <v>520</v>
      </c>
      <c r="S115" s="62">
        <v>90</v>
      </c>
      <c r="T115" s="62">
        <v>50</v>
      </c>
      <c r="U115" s="62" t="s">
        <v>50</v>
      </c>
      <c r="V115" s="62" t="s">
        <v>50</v>
      </c>
      <c r="W115" s="62">
        <v>2</v>
      </c>
      <c r="X115" s="62" t="s">
        <v>152</v>
      </c>
      <c r="Y115" s="64"/>
      <c r="AB115" s="6" t="str">
        <f>IF(AND($K$3="Robot Hand",Tabulka2[[#This Row],[Robot]]&lt;&gt;"R"),"NOK","OK")</f>
        <v>OK</v>
      </c>
      <c r="AC115" s="6" t="str">
        <f>IF($W$6&lt;=Tabulka2[[#This Row],[Clamping Force]],"OK","NOK")</f>
        <v>OK</v>
      </c>
      <c r="AD115" s="6" t="str">
        <f>IF(OR(($G$3&lt;Tabulka2[[#This Row],[Max
Width]]),(AND($G$4&lt;Tabulka2[[#This Row],[Max
Width]],$G$5&lt;Tabulka2[[#This Row],[Max
Height]]))),"OK","NOK")</f>
        <v>OK</v>
      </c>
      <c r="AE115" s="6" t="str">
        <f>IF(IF($G$4+$K$4&lt;=Tabulka2[[#This Row],[Max Opening]],"OK","NOK")&amp;IF($G$4&lt;=Tabulka2[[#This Row],[Max Length]],"OK","NOK")="OKOK","OK","NOK")</f>
        <v>NOK</v>
      </c>
      <c r="AF115" s="54">
        <f>$W$7/Tabulka2[[#This Row],[V '[cm3']]]</f>
        <v>0.22522475813779461</v>
      </c>
      <c r="AG115" s="55">
        <f>(Tabulka2[[#This Row],[V '[cm3']]]*2.2*$W$3)/($W$7*60)</f>
        <v>144.56669981228038</v>
      </c>
      <c r="AH115" s="73">
        <f>IF(Tabulka2[[#This Row],[V '[cm3']]]/$W$7&lt;1,"-",Tabulka2[[#This Row],[V '[cm3']]]/$W$7)</f>
        <v>4.4400092079938682</v>
      </c>
      <c r="AI11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16" spans="2:35" s="6" customFormat="1" x14ac:dyDescent="0.2">
      <c r="B116" s="62" t="s">
        <v>142</v>
      </c>
      <c r="C116" s="62">
        <v>55</v>
      </c>
      <c r="D116" s="62" t="s">
        <v>130</v>
      </c>
      <c r="E116" s="62" t="s">
        <v>131</v>
      </c>
      <c r="F116" s="62">
        <v>23</v>
      </c>
      <c r="G116" s="62" t="s">
        <v>95</v>
      </c>
      <c r="H116" s="62">
        <v>35</v>
      </c>
      <c r="I116" s="62">
        <v>220</v>
      </c>
      <c r="J116" s="62">
        <v>154</v>
      </c>
      <c r="K116" s="62">
        <v>141</v>
      </c>
      <c r="L116" s="62">
        <v>2500</v>
      </c>
      <c r="M116" s="63" t="s">
        <v>185</v>
      </c>
      <c r="N116" s="62">
        <v>900</v>
      </c>
      <c r="O116" s="62">
        <v>0</v>
      </c>
      <c r="P116" s="62">
        <v>250</v>
      </c>
      <c r="Q116" s="62">
        <v>570</v>
      </c>
      <c r="R116" s="62">
        <v>570</v>
      </c>
      <c r="S116" s="62">
        <v>90</v>
      </c>
      <c r="T116" s="62">
        <v>50</v>
      </c>
      <c r="U116" s="62" t="s">
        <v>50</v>
      </c>
      <c r="V116" s="62" t="s">
        <v>50</v>
      </c>
      <c r="W116" s="62">
        <v>1</v>
      </c>
      <c r="X116" s="62" t="s">
        <v>154</v>
      </c>
      <c r="Y116" s="64"/>
      <c r="AB116" s="6" t="str">
        <f>IF(AND($K$3="Robot Hand",Tabulka2[[#This Row],[Robot]]&lt;&gt;"R"),"NOK","OK")</f>
        <v>NOK</v>
      </c>
      <c r="AC116" s="6" t="str">
        <f>IF($W$6&lt;=Tabulka2[[#This Row],[Clamping Force]],"OK","NOK")</f>
        <v>OK</v>
      </c>
      <c r="AD116" s="6" t="str">
        <f>IF(OR(($G$3&lt;Tabulka2[[#This Row],[Max
Width]]),(AND($G$4&lt;Tabulka2[[#This Row],[Max
Width]],$G$5&lt;Tabulka2[[#This Row],[Max
Height]]))),"OK","NOK")</f>
        <v>OK</v>
      </c>
      <c r="AE116" s="6" t="str">
        <f>IF(IF($G$4+$K$4&lt;=Tabulka2[[#This Row],[Max Opening]],"OK","NOK")&amp;IF($G$4&lt;=Tabulka2[[#This Row],[Max Length]],"OK","NOK")="OKOK","OK","NOK")</f>
        <v>NOK</v>
      </c>
      <c r="AF116" s="54">
        <f>$W$7/Tabulka2[[#This Row],[V '[cm3']]]</f>
        <v>0.51626194560156813</v>
      </c>
      <c r="AG116" s="55">
        <f>(Tabulka2[[#This Row],[V '[cm3']]]*2.2*$W$3)/($W$7*60)</f>
        <v>63.068758558331943</v>
      </c>
      <c r="AH116" s="73">
        <f>IF(Tabulka2[[#This Row],[V '[cm3']]]/$W$7&lt;1,"-",Tabulka2[[#This Row],[V '[cm3']]]/$W$7)</f>
        <v>1.9370011842239538</v>
      </c>
      <c r="AI11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17" spans="2:35" s="6" customFormat="1" x14ac:dyDescent="0.2">
      <c r="B117" s="62" t="s">
        <v>142</v>
      </c>
      <c r="C117" s="62">
        <v>55</v>
      </c>
      <c r="D117" s="62" t="s">
        <v>130</v>
      </c>
      <c r="E117" s="62" t="s">
        <v>131</v>
      </c>
      <c r="F117" s="62">
        <v>22</v>
      </c>
      <c r="G117" s="62" t="s">
        <v>95</v>
      </c>
      <c r="H117" s="62">
        <v>25</v>
      </c>
      <c r="I117" s="62">
        <v>220</v>
      </c>
      <c r="J117" s="62">
        <v>78</v>
      </c>
      <c r="K117" s="62">
        <v>73</v>
      </c>
      <c r="L117" s="62">
        <v>2500</v>
      </c>
      <c r="M117" s="63" t="s">
        <v>185</v>
      </c>
      <c r="N117" s="62">
        <v>900</v>
      </c>
      <c r="O117" s="62">
        <v>0</v>
      </c>
      <c r="P117" s="62">
        <v>250</v>
      </c>
      <c r="Q117" s="62">
        <v>570</v>
      </c>
      <c r="R117" s="62">
        <v>570</v>
      </c>
      <c r="S117" s="62">
        <v>90</v>
      </c>
      <c r="T117" s="62">
        <v>50</v>
      </c>
      <c r="U117" s="62" t="s">
        <v>50</v>
      </c>
      <c r="V117" s="62" t="s">
        <v>50</v>
      </c>
      <c r="W117" s="62">
        <v>1</v>
      </c>
      <c r="X117" s="62" t="s">
        <v>154</v>
      </c>
      <c r="Y117" s="64"/>
      <c r="AB117" s="6" t="str">
        <f>IF(AND($K$3="Robot Hand",Tabulka2[[#This Row],[Robot]]&lt;&gt;"R"),"NOK","OK")</f>
        <v>NOK</v>
      </c>
      <c r="AC117" s="6" t="str">
        <f>IF($W$6&lt;=Tabulka2[[#This Row],[Clamping Force]],"OK","NOK")</f>
        <v>OK</v>
      </c>
      <c r="AD117" s="6" t="str">
        <f>IF(OR(($G$3&lt;Tabulka2[[#This Row],[Max
Width]]),(AND($G$4&lt;Tabulka2[[#This Row],[Max
Width]],$G$5&lt;Tabulka2[[#This Row],[Max
Height]]))),"OK","NOK")</f>
        <v>OK</v>
      </c>
      <c r="AE117" s="6" t="str">
        <f>IF(IF($G$4+$K$4&lt;=Tabulka2[[#This Row],[Max Opening]],"OK","NOK")&amp;IF($G$4&lt;=Tabulka2[[#This Row],[Max Length]],"OK","NOK")="OKOK","OK","NOK")</f>
        <v>NOK</v>
      </c>
      <c r="AF117" s="54">
        <f>$W$7/Tabulka2[[#This Row],[V '[cm3']]]</f>
        <v>1.0192864054184807</v>
      </c>
      <c r="AG117" s="55">
        <f>(Tabulka2[[#This Row],[V '[cm3']]]*2.2*$W$3)/($W$7*60)</f>
        <v>31.943916672401897</v>
      </c>
      <c r="AH117" s="73" t="str">
        <f>IF(Tabulka2[[#This Row],[V '[cm3']]]/$W$7&lt;1,"-",Tabulka2[[#This Row],[V '[cm3']]]/$W$7)</f>
        <v>-</v>
      </c>
      <c r="AI117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18" spans="2:35" s="6" customFormat="1" x14ac:dyDescent="0.2">
      <c r="B118" s="62" t="s">
        <v>142</v>
      </c>
      <c r="C118" s="62">
        <v>55</v>
      </c>
      <c r="D118" s="62" t="s">
        <v>130</v>
      </c>
      <c r="E118" s="62" t="s">
        <v>131</v>
      </c>
      <c r="F118" s="62">
        <v>20</v>
      </c>
      <c r="G118" s="62" t="s">
        <v>95</v>
      </c>
      <c r="H118" s="62">
        <v>20</v>
      </c>
      <c r="I118" s="62">
        <v>220</v>
      </c>
      <c r="J118" s="62">
        <v>31</v>
      </c>
      <c r="K118" s="62">
        <v>29</v>
      </c>
      <c r="L118" s="62">
        <v>2500</v>
      </c>
      <c r="M118" s="63" t="s">
        <v>185</v>
      </c>
      <c r="N118" s="62">
        <v>900</v>
      </c>
      <c r="O118" s="62">
        <v>0</v>
      </c>
      <c r="P118" s="62">
        <v>250</v>
      </c>
      <c r="Q118" s="62">
        <v>570</v>
      </c>
      <c r="R118" s="62">
        <v>570</v>
      </c>
      <c r="S118" s="62">
        <v>90</v>
      </c>
      <c r="T118" s="62">
        <v>50</v>
      </c>
      <c r="U118" s="62" t="s">
        <v>50</v>
      </c>
      <c r="V118" s="62" t="s">
        <v>50</v>
      </c>
      <c r="W118" s="62">
        <v>1</v>
      </c>
      <c r="X118" s="62" t="s">
        <v>154</v>
      </c>
      <c r="Y118" s="64"/>
      <c r="AB118" s="6" t="str">
        <f>IF(AND($K$3="Robot Hand",Tabulka2[[#This Row],[Robot]]&lt;&gt;"R"),"NOK","OK")</f>
        <v>NOK</v>
      </c>
      <c r="AC118" s="6" t="str">
        <f>IF($W$6&lt;=Tabulka2[[#This Row],[Clamping Force]],"OK","NOK")</f>
        <v>OK</v>
      </c>
      <c r="AD118" s="6" t="str">
        <f>IF(OR(($G$3&lt;Tabulka2[[#This Row],[Max
Width]]),(AND($G$4&lt;Tabulka2[[#This Row],[Max
Width]],$G$5&lt;Tabulka2[[#This Row],[Max
Height]]))),"OK","NOK")</f>
        <v>OK</v>
      </c>
      <c r="AE118" s="6" t="str">
        <f>IF(IF($G$4+$K$4&lt;=Tabulka2[[#This Row],[Max Opening]],"OK","NOK")&amp;IF($G$4&lt;=Tabulka2[[#This Row],[Max Length]],"OK","NOK")="OKOK","OK","NOK")</f>
        <v>NOK</v>
      </c>
      <c r="AF118" s="54">
        <f>$W$7/Tabulka2[[#This Row],[V '[cm3']]]</f>
        <v>2.5646561168594029</v>
      </c>
      <c r="AG118" s="55">
        <f>(Tabulka2[[#This Row],[V '[cm3']]]*2.2*$W$3)/($W$7*60)</f>
        <v>12.695659190313574</v>
      </c>
      <c r="AH118" s="73" t="str">
        <f>IF(Tabulka2[[#This Row],[V '[cm3']]]/$W$7&lt;1,"-",Tabulka2[[#This Row],[V '[cm3']]]/$W$7)</f>
        <v>-</v>
      </c>
      <c r="AI118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19" spans="2:35" s="6" customFormat="1" x14ac:dyDescent="0.2">
      <c r="B119" s="62" t="s">
        <v>142</v>
      </c>
      <c r="C119" s="62">
        <v>56</v>
      </c>
      <c r="D119" s="62" t="s">
        <v>73</v>
      </c>
      <c r="E119" s="62" t="s">
        <v>20</v>
      </c>
      <c r="F119" s="62">
        <v>20</v>
      </c>
      <c r="G119" s="62"/>
      <c r="H119" s="62">
        <v>60</v>
      </c>
      <c r="I119" s="62">
        <v>250</v>
      </c>
      <c r="J119" s="62">
        <v>763</v>
      </c>
      <c r="K119" s="62">
        <v>681</v>
      </c>
      <c r="L119" s="62">
        <v>1900</v>
      </c>
      <c r="M119" s="62">
        <v>675</v>
      </c>
      <c r="N119" s="62">
        <v>1385</v>
      </c>
      <c r="O119" s="62">
        <v>710</v>
      </c>
      <c r="P119" s="62">
        <v>330</v>
      </c>
      <c r="Q119" s="62">
        <v>630</v>
      </c>
      <c r="R119" s="62">
        <v>630</v>
      </c>
      <c r="S119" s="62">
        <v>90</v>
      </c>
      <c r="T119" s="62">
        <v>40</v>
      </c>
      <c r="U119" s="62">
        <v>200</v>
      </c>
      <c r="V119" s="62">
        <v>200</v>
      </c>
      <c r="W119" s="62">
        <v>2</v>
      </c>
      <c r="X119" s="62" t="s">
        <v>152</v>
      </c>
      <c r="Y119" s="64"/>
      <c r="AB119" s="6" t="str">
        <f>IF(AND($K$3="Robot Hand",Tabulka2[[#This Row],[Robot]]&lt;&gt;"R"),"NOK","OK")</f>
        <v>OK</v>
      </c>
      <c r="AC119" s="6" t="str">
        <f>IF($W$6&lt;=Tabulka2[[#This Row],[Clamping Force]],"OK","NOK")</f>
        <v>OK</v>
      </c>
      <c r="AD119" s="6" t="str">
        <f>IF(OR(($G$3&lt;Tabulka2[[#This Row],[Max
Width]]),(AND($G$4&lt;Tabulka2[[#This Row],[Max
Width]],$G$5&lt;Tabulka2[[#This Row],[Max
Height]]))),"OK","NOK")</f>
        <v>OK</v>
      </c>
      <c r="AE119" s="6" t="str">
        <f>IF(IF($G$4+$K$4&lt;=Tabulka2[[#This Row],[Max Opening]],"OK","NOK")&amp;IF($G$4&lt;=Tabulka2[[#This Row],[Max Length]],"OK","NOK")="OKOK","OK","NOK")</f>
        <v>OK</v>
      </c>
      <c r="AF119" s="54">
        <f>$W$7/Tabulka2[[#This Row],[V '[cm3']]]</f>
        <v>0.10419965874527064</v>
      </c>
      <c r="AG119" s="55">
        <f>(Tabulka2[[#This Row],[V '[cm3']]]*2.2*$W$3)/($W$7*60)</f>
        <v>312.47703103900824</v>
      </c>
      <c r="AH119" s="73">
        <f>IF(Tabulka2[[#This Row],[V '[cm3']]]/$W$7&lt;1,"-",Tabulka2[[#This Row],[V '[cm3']]]/$W$7)</f>
        <v>9.596960412745954</v>
      </c>
      <c r="AI119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20" spans="2:35" s="6" customFormat="1" x14ac:dyDescent="0.2">
      <c r="B120" s="62" t="s">
        <v>142</v>
      </c>
      <c r="C120" s="62">
        <v>57</v>
      </c>
      <c r="D120" s="62" t="s">
        <v>73</v>
      </c>
      <c r="E120" s="62" t="s">
        <v>21</v>
      </c>
      <c r="F120" s="62">
        <v>20</v>
      </c>
      <c r="G120" s="62"/>
      <c r="H120" s="62">
        <v>60</v>
      </c>
      <c r="I120" s="62">
        <v>250</v>
      </c>
      <c r="J120" s="62">
        <v>763</v>
      </c>
      <c r="K120" s="62">
        <v>681</v>
      </c>
      <c r="L120" s="62">
        <v>1900</v>
      </c>
      <c r="M120" s="62">
        <v>675</v>
      </c>
      <c r="N120" s="62">
        <v>1385</v>
      </c>
      <c r="O120" s="62">
        <v>710</v>
      </c>
      <c r="P120" s="62">
        <v>330</v>
      </c>
      <c r="Q120" s="62">
        <v>630</v>
      </c>
      <c r="R120" s="62">
        <v>630</v>
      </c>
      <c r="S120" s="62">
        <v>90</v>
      </c>
      <c r="T120" s="62">
        <v>40</v>
      </c>
      <c r="U120" s="62">
        <v>200</v>
      </c>
      <c r="V120" s="62">
        <v>200</v>
      </c>
      <c r="W120" s="62">
        <v>2</v>
      </c>
      <c r="X120" s="62" t="s">
        <v>152</v>
      </c>
      <c r="Y120" s="64"/>
      <c r="AB120" s="6" t="str">
        <f>IF(AND($K$3="Robot Hand",Tabulka2[[#This Row],[Robot]]&lt;&gt;"R"),"NOK","OK")</f>
        <v>OK</v>
      </c>
      <c r="AC120" s="6" t="str">
        <f>IF($W$6&lt;=Tabulka2[[#This Row],[Clamping Force]],"OK","NOK")</f>
        <v>OK</v>
      </c>
      <c r="AD120" s="6" t="str">
        <f>IF(OR(($G$3&lt;Tabulka2[[#This Row],[Max
Width]]),(AND($G$4&lt;Tabulka2[[#This Row],[Max
Width]],$G$5&lt;Tabulka2[[#This Row],[Max
Height]]))),"OK","NOK")</f>
        <v>OK</v>
      </c>
      <c r="AE120" s="6" t="str">
        <f>IF(IF($G$4+$K$4&lt;=Tabulka2[[#This Row],[Max Opening]],"OK","NOK")&amp;IF($G$4&lt;=Tabulka2[[#This Row],[Max Length]],"OK","NOK")="OKOK","OK","NOK")</f>
        <v>OK</v>
      </c>
      <c r="AF120" s="54">
        <f>$W$7/Tabulka2[[#This Row],[V '[cm3']]]</f>
        <v>0.10419965874527064</v>
      </c>
      <c r="AG120" s="55">
        <f>(Tabulka2[[#This Row],[V '[cm3']]]*2.2*$W$3)/($W$7*60)</f>
        <v>312.47703103900824</v>
      </c>
      <c r="AH120" s="73">
        <f>IF(Tabulka2[[#This Row],[V '[cm3']]]/$W$7&lt;1,"-",Tabulka2[[#This Row],[V '[cm3']]]/$W$7)</f>
        <v>9.596960412745954</v>
      </c>
      <c r="AI120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21" spans="2:35" s="6" customFormat="1" x14ac:dyDescent="0.2">
      <c r="B121" s="62" t="s">
        <v>142</v>
      </c>
      <c r="C121" s="62">
        <v>58</v>
      </c>
      <c r="D121" s="62" t="s">
        <v>73</v>
      </c>
      <c r="E121" s="62" t="s">
        <v>22</v>
      </c>
      <c r="F121" s="62">
        <v>20</v>
      </c>
      <c r="G121" s="62"/>
      <c r="H121" s="62">
        <v>60</v>
      </c>
      <c r="I121" s="62">
        <v>250</v>
      </c>
      <c r="J121" s="62">
        <v>763</v>
      </c>
      <c r="K121" s="62">
        <v>681</v>
      </c>
      <c r="L121" s="62">
        <v>1900</v>
      </c>
      <c r="M121" s="62">
        <v>675</v>
      </c>
      <c r="N121" s="62">
        <v>1385</v>
      </c>
      <c r="O121" s="62">
        <v>710</v>
      </c>
      <c r="P121" s="62">
        <v>330</v>
      </c>
      <c r="Q121" s="62">
        <v>630</v>
      </c>
      <c r="R121" s="62">
        <v>630</v>
      </c>
      <c r="S121" s="62">
        <v>90</v>
      </c>
      <c r="T121" s="62">
        <v>40</v>
      </c>
      <c r="U121" s="62">
        <v>200</v>
      </c>
      <c r="V121" s="62">
        <v>200</v>
      </c>
      <c r="W121" s="62">
        <v>2</v>
      </c>
      <c r="X121" s="62" t="s">
        <v>152</v>
      </c>
      <c r="Y121" s="64"/>
      <c r="AB121" s="6" t="str">
        <f>IF(AND($K$3="Robot Hand",Tabulka2[[#This Row],[Robot]]&lt;&gt;"R"),"NOK","OK")</f>
        <v>OK</v>
      </c>
      <c r="AC121" s="6" t="str">
        <f>IF($W$6&lt;=Tabulka2[[#This Row],[Clamping Force]],"OK","NOK")</f>
        <v>OK</v>
      </c>
      <c r="AD121" s="6" t="str">
        <f>IF(OR(($G$3&lt;Tabulka2[[#This Row],[Max
Width]]),(AND($G$4&lt;Tabulka2[[#This Row],[Max
Width]],$G$5&lt;Tabulka2[[#This Row],[Max
Height]]))),"OK","NOK")</f>
        <v>OK</v>
      </c>
      <c r="AE121" s="6" t="str">
        <f>IF(IF($G$4+$K$4&lt;=Tabulka2[[#This Row],[Max Opening]],"OK","NOK")&amp;IF($G$4&lt;=Tabulka2[[#This Row],[Max Length]],"OK","NOK")="OKOK","OK","NOK")</f>
        <v>OK</v>
      </c>
      <c r="AF121" s="54">
        <f>$W$7/Tabulka2[[#This Row],[V '[cm3']]]</f>
        <v>0.10419965874527064</v>
      </c>
      <c r="AG121" s="55">
        <f>(Tabulka2[[#This Row],[V '[cm3']]]*2.2*$W$3)/($W$7*60)</f>
        <v>312.47703103900824</v>
      </c>
      <c r="AH121" s="73">
        <f>IF(Tabulka2[[#This Row],[V '[cm3']]]/$W$7&lt;1,"-",Tabulka2[[#This Row],[V '[cm3']]]/$W$7)</f>
        <v>9.596960412745954</v>
      </c>
      <c r="AI121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22" spans="2:35" s="6" customFormat="1" x14ac:dyDescent="0.2">
      <c r="B122" s="62" t="s">
        <v>142</v>
      </c>
      <c r="C122" s="62">
        <v>59</v>
      </c>
      <c r="D122" s="62" t="s">
        <v>74</v>
      </c>
      <c r="E122" s="62" t="s">
        <v>23</v>
      </c>
      <c r="F122" s="62">
        <v>20</v>
      </c>
      <c r="G122" s="62"/>
      <c r="H122" s="62">
        <v>60</v>
      </c>
      <c r="I122" s="62">
        <v>250</v>
      </c>
      <c r="J122" s="62">
        <v>763</v>
      </c>
      <c r="K122" s="62">
        <v>690</v>
      </c>
      <c r="L122" s="62">
        <v>1905</v>
      </c>
      <c r="M122" s="62">
        <v>675</v>
      </c>
      <c r="N122" s="62">
        <v>1385</v>
      </c>
      <c r="O122" s="62">
        <v>710</v>
      </c>
      <c r="P122" s="62">
        <v>330</v>
      </c>
      <c r="Q122" s="62">
        <v>630</v>
      </c>
      <c r="R122" s="62">
        <v>630</v>
      </c>
      <c r="S122" s="62">
        <v>90</v>
      </c>
      <c r="T122" s="62">
        <v>20</v>
      </c>
      <c r="U122" s="62">
        <v>160</v>
      </c>
      <c r="V122" s="62">
        <v>160</v>
      </c>
      <c r="W122" s="62">
        <v>2</v>
      </c>
      <c r="X122" s="62" t="s">
        <v>152</v>
      </c>
      <c r="Y122" s="64"/>
      <c r="AB122" s="6" t="str">
        <f>IF(AND($K$3="Robot Hand",Tabulka2[[#This Row],[Robot]]&lt;&gt;"R"),"NOK","OK")</f>
        <v>OK</v>
      </c>
      <c r="AC122" s="6" t="str">
        <f>IF($W$6&lt;=Tabulka2[[#This Row],[Clamping Force]],"OK","NOK")</f>
        <v>OK</v>
      </c>
      <c r="AD122" s="6" t="str">
        <f>IF(OR(($G$3&lt;Tabulka2[[#This Row],[Max
Width]]),(AND($G$4&lt;Tabulka2[[#This Row],[Max
Width]],$G$5&lt;Tabulka2[[#This Row],[Max
Height]]))),"OK","NOK")</f>
        <v>OK</v>
      </c>
      <c r="AE122" s="6" t="str">
        <f>IF(IF($G$4+$K$4&lt;=Tabulka2[[#This Row],[Max Opening]],"OK","NOK")&amp;IF($G$4&lt;=Tabulka2[[#This Row],[Max Length]],"OK","NOK")="OKOK","OK","NOK")</f>
        <v>OK</v>
      </c>
      <c r="AF122" s="54">
        <f>$W$7/Tabulka2[[#This Row],[V '[cm3']]]</f>
        <v>0.10419965874527064</v>
      </c>
      <c r="AG122" s="55">
        <f>(Tabulka2[[#This Row],[V '[cm3']]]*2.2*$W$3)/($W$7*60)</f>
        <v>312.47703103900824</v>
      </c>
      <c r="AH122" s="73">
        <f>IF(Tabulka2[[#This Row],[V '[cm3']]]/$W$7&lt;1,"-",Tabulka2[[#This Row],[V '[cm3']]]/$W$7)</f>
        <v>9.596960412745954</v>
      </c>
      <c r="AI122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23" spans="2:35" s="6" customFormat="1" x14ac:dyDescent="0.2">
      <c r="B123" s="62" t="s">
        <v>142</v>
      </c>
      <c r="C123" s="62">
        <v>60</v>
      </c>
      <c r="D123" s="62" t="s">
        <v>74</v>
      </c>
      <c r="E123" s="62" t="s">
        <v>24</v>
      </c>
      <c r="F123" s="62">
        <v>20</v>
      </c>
      <c r="G123" s="62"/>
      <c r="H123" s="62">
        <v>60</v>
      </c>
      <c r="I123" s="62">
        <v>250</v>
      </c>
      <c r="J123" s="62">
        <v>763</v>
      </c>
      <c r="K123" s="62">
        <v>690</v>
      </c>
      <c r="L123" s="62">
        <v>1905</v>
      </c>
      <c r="M123" s="62">
        <v>675</v>
      </c>
      <c r="N123" s="62">
        <v>1385</v>
      </c>
      <c r="O123" s="62">
        <v>710</v>
      </c>
      <c r="P123" s="62">
        <v>330</v>
      </c>
      <c r="Q123" s="62">
        <v>630</v>
      </c>
      <c r="R123" s="62">
        <v>630</v>
      </c>
      <c r="S123" s="62">
        <v>90</v>
      </c>
      <c r="T123" s="62">
        <v>20</v>
      </c>
      <c r="U123" s="62">
        <v>160</v>
      </c>
      <c r="V123" s="62">
        <v>160</v>
      </c>
      <c r="W123" s="62">
        <v>2</v>
      </c>
      <c r="X123" s="62" t="s">
        <v>152</v>
      </c>
      <c r="Y123" s="64"/>
      <c r="AB123" s="6" t="str">
        <f>IF(AND($K$3="Robot Hand",Tabulka2[[#This Row],[Robot]]&lt;&gt;"R"),"NOK","OK")</f>
        <v>OK</v>
      </c>
      <c r="AC123" s="6" t="str">
        <f>IF($W$6&lt;=Tabulka2[[#This Row],[Clamping Force]],"OK","NOK")</f>
        <v>OK</v>
      </c>
      <c r="AD123" s="6" t="str">
        <f>IF(OR(($G$3&lt;Tabulka2[[#This Row],[Max
Width]]),(AND($G$4&lt;Tabulka2[[#This Row],[Max
Width]],$G$5&lt;Tabulka2[[#This Row],[Max
Height]]))),"OK","NOK")</f>
        <v>OK</v>
      </c>
      <c r="AE123" s="6" t="str">
        <f>IF(IF($G$4+$K$4&lt;=Tabulka2[[#This Row],[Max Opening]],"OK","NOK")&amp;IF($G$4&lt;=Tabulka2[[#This Row],[Max Length]],"OK","NOK")="OKOK","OK","NOK")</f>
        <v>OK</v>
      </c>
      <c r="AF123" s="54">
        <f>$W$7/Tabulka2[[#This Row],[V '[cm3']]]</f>
        <v>0.10419965874527064</v>
      </c>
      <c r="AG123" s="55">
        <f>(Tabulka2[[#This Row],[V '[cm3']]]*2.2*$W$3)/($W$7*60)</f>
        <v>312.47703103900824</v>
      </c>
      <c r="AH123" s="73">
        <f>IF(Tabulka2[[#This Row],[V '[cm3']]]/$W$7&lt;1,"-",Tabulka2[[#This Row],[V '[cm3']]]/$W$7)</f>
        <v>9.596960412745954</v>
      </c>
      <c r="AI123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24" spans="2:35" s="6" customFormat="1" x14ac:dyDescent="0.2">
      <c r="B124" s="62" t="s">
        <v>142</v>
      </c>
      <c r="C124" s="62">
        <v>61</v>
      </c>
      <c r="D124" s="62" t="s">
        <v>74</v>
      </c>
      <c r="E124" s="62" t="s">
        <v>31</v>
      </c>
      <c r="F124" s="62">
        <v>20</v>
      </c>
      <c r="G124" s="62"/>
      <c r="H124" s="62">
        <v>60</v>
      </c>
      <c r="I124" s="62">
        <v>250</v>
      </c>
      <c r="J124" s="62">
        <v>763</v>
      </c>
      <c r="K124" s="62">
        <v>690</v>
      </c>
      <c r="L124" s="62">
        <v>1905</v>
      </c>
      <c r="M124" s="62">
        <v>675</v>
      </c>
      <c r="N124" s="62">
        <v>1385</v>
      </c>
      <c r="O124" s="62">
        <v>710</v>
      </c>
      <c r="P124" s="62">
        <v>330</v>
      </c>
      <c r="Q124" s="62">
        <v>630</v>
      </c>
      <c r="R124" s="62">
        <v>630</v>
      </c>
      <c r="S124" s="62">
        <v>90</v>
      </c>
      <c r="T124" s="62">
        <v>20</v>
      </c>
      <c r="U124" s="62">
        <v>160</v>
      </c>
      <c r="V124" s="62">
        <v>160</v>
      </c>
      <c r="W124" s="62">
        <v>2</v>
      </c>
      <c r="X124" s="62" t="s">
        <v>152</v>
      </c>
      <c r="Y124" s="64"/>
      <c r="AB124" s="6" t="str">
        <f>IF(AND($K$3="Robot Hand",Tabulka2[[#This Row],[Robot]]&lt;&gt;"R"),"NOK","OK")</f>
        <v>OK</v>
      </c>
      <c r="AC124" s="6" t="str">
        <f>IF($W$6&lt;=Tabulka2[[#This Row],[Clamping Force]],"OK","NOK")</f>
        <v>OK</v>
      </c>
      <c r="AD124" s="6" t="str">
        <f>IF(OR(($G$3&lt;Tabulka2[[#This Row],[Max
Width]]),(AND($G$4&lt;Tabulka2[[#This Row],[Max
Width]],$G$5&lt;Tabulka2[[#This Row],[Max
Height]]))),"OK","NOK")</f>
        <v>OK</v>
      </c>
      <c r="AE124" s="6" t="str">
        <f>IF(IF($G$4+$K$4&lt;=Tabulka2[[#This Row],[Max Opening]],"OK","NOK")&amp;IF($G$4&lt;=Tabulka2[[#This Row],[Max Length]],"OK","NOK")="OKOK","OK","NOK")</f>
        <v>OK</v>
      </c>
      <c r="AF124" s="54">
        <f>$W$7/Tabulka2[[#This Row],[V '[cm3']]]</f>
        <v>0.10419965874527064</v>
      </c>
      <c r="AG124" s="55">
        <f>(Tabulka2[[#This Row],[V '[cm3']]]*2.2*$W$3)/($W$7*60)</f>
        <v>312.47703103900824</v>
      </c>
      <c r="AH124" s="73">
        <f>IF(Tabulka2[[#This Row],[V '[cm3']]]/$W$7&lt;1,"-",Tabulka2[[#This Row],[V '[cm3']]]/$W$7)</f>
        <v>9.596960412745954</v>
      </c>
      <c r="AI124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25" spans="2:35" s="6" customFormat="1" x14ac:dyDescent="0.2">
      <c r="B125" s="62" t="s">
        <v>142</v>
      </c>
      <c r="C125" s="62">
        <v>62</v>
      </c>
      <c r="D125" s="62" t="s">
        <v>74</v>
      </c>
      <c r="E125" s="62" t="s">
        <v>32</v>
      </c>
      <c r="F125" s="62">
        <v>20</v>
      </c>
      <c r="G125" s="62"/>
      <c r="H125" s="62">
        <v>60</v>
      </c>
      <c r="I125" s="62">
        <v>250</v>
      </c>
      <c r="J125" s="62">
        <v>763</v>
      </c>
      <c r="K125" s="62">
        <v>690</v>
      </c>
      <c r="L125" s="62">
        <v>1905</v>
      </c>
      <c r="M125" s="62">
        <v>675</v>
      </c>
      <c r="N125" s="62">
        <v>1385</v>
      </c>
      <c r="O125" s="62">
        <v>710</v>
      </c>
      <c r="P125" s="62">
        <v>330</v>
      </c>
      <c r="Q125" s="62">
        <v>630</v>
      </c>
      <c r="R125" s="62">
        <v>630</v>
      </c>
      <c r="S125" s="62">
        <v>90</v>
      </c>
      <c r="T125" s="62">
        <v>20</v>
      </c>
      <c r="U125" s="62">
        <v>160</v>
      </c>
      <c r="V125" s="62">
        <v>160</v>
      </c>
      <c r="W125" s="62">
        <v>2</v>
      </c>
      <c r="X125" s="62" t="s">
        <v>152</v>
      </c>
      <c r="Y125" s="64"/>
      <c r="AB125" s="6" t="str">
        <f>IF(AND($K$3="Robot Hand",Tabulka2[[#This Row],[Robot]]&lt;&gt;"R"),"NOK","OK")</f>
        <v>OK</v>
      </c>
      <c r="AC125" s="6" t="str">
        <f>IF($W$6&lt;=Tabulka2[[#This Row],[Clamping Force]],"OK","NOK")</f>
        <v>OK</v>
      </c>
      <c r="AD125" s="6" t="str">
        <f>IF(OR(($G$3&lt;Tabulka2[[#This Row],[Max
Width]]),(AND($G$4&lt;Tabulka2[[#This Row],[Max
Width]],$G$5&lt;Tabulka2[[#This Row],[Max
Height]]))),"OK","NOK")</f>
        <v>OK</v>
      </c>
      <c r="AE125" s="6" t="str">
        <f>IF(IF($G$4+$K$4&lt;=Tabulka2[[#This Row],[Max Opening]],"OK","NOK")&amp;IF($G$4&lt;=Tabulka2[[#This Row],[Max Length]],"OK","NOK")="OKOK","OK","NOK")</f>
        <v>OK</v>
      </c>
      <c r="AF125" s="54">
        <f>$W$7/Tabulka2[[#This Row],[V '[cm3']]]</f>
        <v>0.10419965874527064</v>
      </c>
      <c r="AG125" s="55">
        <f>(Tabulka2[[#This Row],[V '[cm3']]]*2.2*$W$3)/($W$7*60)</f>
        <v>312.47703103900824</v>
      </c>
      <c r="AH125" s="73">
        <f>IF(Tabulka2[[#This Row],[V '[cm3']]]/$W$7&lt;1,"-",Tabulka2[[#This Row],[V '[cm3']]]/$W$7)</f>
        <v>9.596960412745954</v>
      </c>
      <c r="AI125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26" spans="2:35" s="6" customFormat="1" x14ac:dyDescent="0.2">
      <c r="B126" s="62" t="s">
        <v>142</v>
      </c>
      <c r="C126" s="62">
        <v>63</v>
      </c>
      <c r="D126" s="62" t="s">
        <v>74</v>
      </c>
      <c r="E126" s="62" t="s">
        <v>33</v>
      </c>
      <c r="F126" s="62">
        <v>20</v>
      </c>
      <c r="G126" s="62"/>
      <c r="H126" s="62">
        <v>60</v>
      </c>
      <c r="I126" s="62">
        <v>250</v>
      </c>
      <c r="J126" s="62">
        <v>763</v>
      </c>
      <c r="K126" s="62">
        <v>690</v>
      </c>
      <c r="L126" s="62">
        <v>1905</v>
      </c>
      <c r="M126" s="62">
        <v>675</v>
      </c>
      <c r="N126" s="62">
        <v>1385</v>
      </c>
      <c r="O126" s="62">
        <v>710</v>
      </c>
      <c r="P126" s="62">
        <v>330</v>
      </c>
      <c r="Q126" s="62">
        <v>630</v>
      </c>
      <c r="R126" s="62">
        <v>630</v>
      </c>
      <c r="S126" s="62">
        <v>90</v>
      </c>
      <c r="T126" s="62">
        <v>20</v>
      </c>
      <c r="U126" s="62">
        <v>160</v>
      </c>
      <c r="V126" s="62">
        <v>160</v>
      </c>
      <c r="W126" s="62">
        <v>2</v>
      </c>
      <c r="X126" s="62" t="s">
        <v>152</v>
      </c>
      <c r="Y126" s="64"/>
      <c r="AB126" s="6" t="str">
        <f>IF(AND($K$3="Robot Hand",Tabulka2[[#This Row],[Robot]]&lt;&gt;"R"),"NOK","OK")</f>
        <v>OK</v>
      </c>
      <c r="AC126" s="6" t="str">
        <f>IF($W$6&lt;=Tabulka2[[#This Row],[Clamping Force]],"OK","NOK")</f>
        <v>OK</v>
      </c>
      <c r="AD126" s="6" t="str">
        <f>IF(OR(($G$3&lt;Tabulka2[[#This Row],[Max
Width]]),(AND($G$4&lt;Tabulka2[[#This Row],[Max
Width]],$G$5&lt;Tabulka2[[#This Row],[Max
Height]]))),"OK","NOK")</f>
        <v>OK</v>
      </c>
      <c r="AE126" s="6" t="str">
        <f>IF(IF($G$4+$K$4&lt;=Tabulka2[[#This Row],[Max Opening]],"OK","NOK")&amp;IF($G$4&lt;=Tabulka2[[#This Row],[Max Length]],"OK","NOK")="OKOK","OK","NOK")</f>
        <v>OK</v>
      </c>
      <c r="AF126" s="54">
        <f>$W$7/Tabulka2[[#This Row],[V '[cm3']]]</f>
        <v>0.10419965874527064</v>
      </c>
      <c r="AG126" s="55">
        <f>(Tabulka2[[#This Row],[V '[cm3']]]*2.2*$W$3)/($W$7*60)</f>
        <v>312.47703103900824</v>
      </c>
      <c r="AH126" s="73">
        <f>IF(Tabulka2[[#This Row],[V '[cm3']]]/$W$7&lt;1,"-",Tabulka2[[#This Row],[V '[cm3']]]/$W$7)</f>
        <v>9.596960412745954</v>
      </c>
      <c r="AI126" s="6" t="str">
        <f>IF(AND(Tabulka2[[#This Row],[Robot2]]="OK",Tabulka2[[#This Row],[Clamping Force2]]="OK",Tabulka2[[#This Row],[Tool Fits]]="OK",Tabulka2[[#This Row],[Tool Opening2]]="OK",Tabulka2[[#This Row],[Screw Calculation]]&gt;=0.2,Tabulka2[[#This Row],[Screw Calculation]]&lt;=0.8,Tabulka2[[#This Row],[Max Residence Time]]&lt;=$S$5),"OK","NOK")</f>
        <v>NOK</v>
      </c>
    </row>
    <row r="127" spans="2:35" s="6" customFormat="1" x14ac:dyDescent="0.2">
      <c r="AF127" s="54"/>
      <c r="AG127" s="54"/>
      <c r="AH127" s="73"/>
    </row>
    <row r="128" spans="2:35" s="6" customFormat="1" x14ac:dyDescent="0.2">
      <c r="AF128" s="54"/>
      <c r="AG128" s="54"/>
      <c r="AH128" s="73"/>
    </row>
    <row r="129" spans="10:34" s="6" customFormat="1" x14ac:dyDescent="0.2">
      <c r="AF129" s="54"/>
      <c r="AG129" s="54"/>
      <c r="AH129" s="73"/>
    </row>
    <row r="130" spans="10:34" s="6" customFormat="1" x14ac:dyDescent="0.2">
      <c r="AF130" s="54"/>
      <c r="AG130" s="54"/>
      <c r="AH130" s="73"/>
    </row>
    <row r="131" spans="10:34" s="6" customFormat="1" x14ac:dyDescent="0.2">
      <c r="AF131" s="54"/>
      <c r="AG131" s="54"/>
      <c r="AH131" s="73"/>
    </row>
    <row r="132" spans="10:34" s="6" customFormat="1" x14ac:dyDescent="0.2">
      <c r="AF132" s="54"/>
      <c r="AG132" s="54"/>
      <c r="AH132" s="73"/>
    </row>
    <row r="133" spans="10:34" s="6" customFormat="1" x14ac:dyDescent="0.2">
      <c r="AF133" s="54"/>
      <c r="AG133" s="54"/>
      <c r="AH133" s="73"/>
    </row>
    <row r="134" spans="10:34" s="6" customFormat="1" x14ac:dyDescent="0.2">
      <c r="AF134" s="54"/>
      <c r="AG134" s="54"/>
      <c r="AH134" s="73"/>
    </row>
    <row r="135" spans="10:34" s="6" customFormat="1" x14ac:dyDescent="0.2">
      <c r="AF135" s="54"/>
      <c r="AG135" s="54"/>
      <c r="AH135" s="73"/>
    </row>
    <row r="136" spans="10:34" s="6" customFormat="1" x14ac:dyDescent="0.2">
      <c r="AF136" s="54"/>
      <c r="AG136" s="54"/>
      <c r="AH136" s="73"/>
    </row>
    <row r="137" spans="10:34" s="6" customFormat="1" x14ac:dyDescent="0.2">
      <c r="J137" s="7"/>
      <c r="AF137" s="54"/>
      <c r="AG137" s="54"/>
      <c r="AH137" s="73"/>
    </row>
    <row r="138" spans="10:34" s="6" customFormat="1" x14ac:dyDescent="0.2">
      <c r="AF138" s="54"/>
      <c r="AG138" s="54"/>
      <c r="AH138" s="73"/>
    </row>
    <row r="139" spans="10:34" s="6" customFormat="1" x14ac:dyDescent="0.2">
      <c r="AF139" s="54"/>
      <c r="AG139" s="54"/>
      <c r="AH139" s="73"/>
    </row>
    <row r="140" spans="10:34" s="6" customFormat="1" x14ac:dyDescent="0.2">
      <c r="AF140" s="54"/>
      <c r="AG140" s="54"/>
      <c r="AH140" s="73"/>
    </row>
    <row r="141" spans="10:34" s="6" customFormat="1" x14ac:dyDescent="0.2">
      <c r="AF141" s="54"/>
      <c r="AG141" s="54"/>
      <c r="AH141" s="73"/>
    </row>
    <row r="142" spans="10:34" s="6" customFormat="1" x14ac:dyDescent="0.2">
      <c r="AF142" s="54"/>
      <c r="AG142" s="54"/>
      <c r="AH142" s="73"/>
    </row>
    <row r="143" spans="10:34" s="6" customFormat="1" x14ac:dyDescent="0.2">
      <c r="AF143" s="54"/>
      <c r="AG143" s="54"/>
      <c r="AH143" s="73"/>
    </row>
    <row r="144" spans="10:34" s="6" customFormat="1" x14ac:dyDescent="0.2">
      <c r="AF144" s="54"/>
      <c r="AG144" s="54"/>
      <c r="AH144" s="73"/>
    </row>
    <row r="145" spans="32:34" s="6" customFormat="1" x14ac:dyDescent="0.2">
      <c r="AF145" s="54"/>
      <c r="AG145" s="54"/>
      <c r="AH145" s="73"/>
    </row>
    <row r="146" spans="32:34" s="6" customFormat="1" x14ac:dyDescent="0.2">
      <c r="AF146" s="54"/>
      <c r="AG146" s="54"/>
      <c r="AH146" s="73"/>
    </row>
    <row r="147" spans="32:34" s="6" customFormat="1" x14ac:dyDescent="0.2">
      <c r="AF147" s="54"/>
      <c r="AG147" s="54"/>
      <c r="AH147" s="73"/>
    </row>
    <row r="148" spans="32:34" s="6" customFormat="1" x14ac:dyDescent="0.2">
      <c r="AF148" s="54"/>
      <c r="AG148" s="54"/>
      <c r="AH148" s="73"/>
    </row>
    <row r="149" spans="32:34" s="6" customFormat="1" x14ac:dyDescent="0.2">
      <c r="AF149" s="54"/>
      <c r="AG149" s="54"/>
      <c r="AH149" s="73"/>
    </row>
    <row r="150" spans="32:34" s="6" customFormat="1" x14ac:dyDescent="0.2">
      <c r="AF150" s="54"/>
      <c r="AG150" s="54"/>
      <c r="AH150" s="73"/>
    </row>
    <row r="151" spans="32:34" s="6" customFormat="1" x14ac:dyDescent="0.2">
      <c r="AF151" s="54"/>
      <c r="AG151" s="54"/>
      <c r="AH151" s="73"/>
    </row>
    <row r="152" spans="32:34" s="6" customFormat="1" x14ac:dyDescent="0.2">
      <c r="AF152" s="54"/>
      <c r="AG152" s="54"/>
      <c r="AH152" s="73"/>
    </row>
    <row r="153" spans="32:34" s="6" customFormat="1" x14ac:dyDescent="0.2">
      <c r="AF153" s="54"/>
      <c r="AG153" s="54"/>
      <c r="AH153" s="73"/>
    </row>
    <row r="154" spans="32:34" s="6" customFormat="1" x14ac:dyDescent="0.2">
      <c r="AF154" s="54"/>
      <c r="AG154" s="54"/>
      <c r="AH154" s="73"/>
    </row>
    <row r="155" spans="32:34" s="6" customFormat="1" x14ac:dyDescent="0.2">
      <c r="AF155" s="54"/>
      <c r="AG155" s="54"/>
      <c r="AH155" s="73"/>
    </row>
    <row r="156" spans="32:34" s="6" customFormat="1" x14ac:dyDescent="0.2">
      <c r="AF156" s="54"/>
      <c r="AG156" s="54"/>
      <c r="AH156" s="73"/>
    </row>
    <row r="157" spans="32:34" s="6" customFormat="1" x14ac:dyDescent="0.2">
      <c r="AF157" s="54"/>
      <c r="AG157" s="54"/>
      <c r="AH157" s="73"/>
    </row>
    <row r="158" spans="32:34" s="6" customFormat="1" x14ac:dyDescent="0.2">
      <c r="AF158" s="54"/>
      <c r="AG158" s="54"/>
      <c r="AH158" s="73"/>
    </row>
    <row r="159" spans="32:34" s="6" customFormat="1" x14ac:dyDescent="0.2">
      <c r="AF159" s="54"/>
      <c r="AG159" s="54"/>
      <c r="AH159" s="73"/>
    </row>
    <row r="160" spans="32:34" s="6" customFormat="1" x14ac:dyDescent="0.2">
      <c r="AF160" s="54"/>
      <c r="AG160" s="54"/>
      <c r="AH160" s="73"/>
    </row>
    <row r="161" spans="32:34" s="6" customFormat="1" x14ac:dyDescent="0.2">
      <c r="AF161" s="54"/>
      <c r="AG161" s="54"/>
      <c r="AH161" s="73"/>
    </row>
    <row r="162" spans="32:34" s="6" customFormat="1" x14ac:dyDescent="0.2">
      <c r="AF162" s="54"/>
      <c r="AG162" s="54"/>
      <c r="AH162" s="73"/>
    </row>
    <row r="163" spans="32:34" s="6" customFormat="1" x14ac:dyDescent="0.2">
      <c r="AF163" s="54"/>
      <c r="AG163" s="54"/>
      <c r="AH163" s="73"/>
    </row>
    <row r="164" spans="32:34" s="6" customFormat="1" x14ac:dyDescent="0.2">
      <c r="AF164" s="54"/>
      <c r="AG164" s="54"/>
      <c r="AH164" s="73"/>
    </row>
    <row r="165" spans="32:34" s="6" customFormat="1" x14ac:dyDescent="0.2">
      <c r="AF165" s="54"/>
      <c r="AG165" s="54"/>
      <c r="AH165" s="73"/>
    </row>
    <row r="166" spans="32:34" s="6" customFormat="1" x14ac:dyDescent="0.2">
      <c r="AF166" s="54"/>
      <c r="AG166" s="54"/>
      <c r="AH166" s="73"/>
    </row>
    <row r="167" spans="32:34" s="6" customFormat="1" x14ac:dyDescent="0.2">
      <c r="AF167" s="54"/>
      <c r="AG167" s="54"/>
      <c r="AH167" s="73"/>
    </row>
    <row r="168" spans="32:34" s="6" customFormat="1" x14ac:dyDescent="0.2">
      <c r="AF168" s="54"/>
      <c r="AG168" s="54"/>
      <c r="AH168" s="73"/>
    </row>
    <row r="169" spans="32:34" s="6" customFormat="1" x14ac:dyDescent="0.2">
      <c r="AF169" s="54"/>
      <c r="AG169" s="54"/>
      <c r="AH169" s="73"/>
    </row>
    <row r="170" spans="32:34" s="6" customFormat="1" x14ac:dyDescent="0.2">
      <c r="AF170" s="54"/>
      <c r="AG170" s="54"/>
      <c r="AH170" s="73"/>
    </row>
    <row r="171" spans="32:34" s="6" customFormat="1" x14ac:dyDescent="0.2">
      <c r="AF171" s="54"/>
      <c r="AG171" s="54"/>
      <c r="AH171" s="73"/>
    </row>
    <row r="172" spans="32:34" s="6" customFormat="1" x14ac:dyDescent="0.2">
      <c r="AF172" s="54"/>
      <c r="AG172" s="54"/>
      <c r="AH172" s="73"/>
    </row>
    <row r="173" spans="32:34" s="6" customFormat="1" x14ac:dyDescent="0.2">
      <c r="AF173" s="54"/>
      <c r="AG173" s="54"/>
      <c r="AH173" s="73"/>
    </row>
    <row r="174" spans="32:34" s="6" customFormat="1" x14ac:dyDescent="0.2">
      <c r="AF174" s="54"/>
      <c r="AG174" s="54"/>
      <c r="AH174" s="73"/>
    </row>
    <row r="175" spans="32:34" s="6" customFormat="1" x14ac:dyDescent="0.2">
      <c r="AF175" s="54"/>
      <c r="AG175" s="54"/>
      <c r="AH175" s="73"/>
    </row>
    <row r="176" spans="32:34" s="6" customFormat="1" x14ac:dyDescent="0.2">
      <c r="AF176" s="54"/>
      <c r="AG176" s="54"/>
      <c r="AH176" s="73"/>
    </row>
    <row r="177" spans="32:34" s="6" customFormat="1" x14ac:dyDescent="0.2">
      <c r="AF177" s="54"/>
      <c r="AG177" s="54"/>
      <c r="AH177" s="73"/>
    </row>
    <row r="178" spans="32:34" s="6" customFormat="1" x14ac:dyDescent="0.2">
      <c r="AF178" s="54"/>
      <c r="AG178" s="54"/>
      <c r="AH178" s="73"/>
    </row>
    <row r="179" spans="32:34" s="6" customFormat="1" x14ac:dyDescent="0.2">
      <c r="AF179" s="54"/>
      <c r="AG179" s="54"/>
      <c r="AH179" s="73"/>
    </row>
    <row r="180" spans="32:34" s="6" customFormat="1" x14ac:dyDescent="0.2">
      <c r="AF180" s="54"/>
      <c r="AG180" s="54"/>
      <c r="AH180" s="73"/>
    </row>
    <row r="181" spans="32:34" s="6" customFormat="1" x14ac:dyDescent="0.2">
      <c r="AF181" s="54"/>
      <c r="AG181" s="54"/>
      <c r="AH181" s="73"/>
    </row>
    <row r="182" spans="32:34" s="6" customFormat="1" x14ac:dyDescent="0.2">
      <c r="AF182" s="54"/>
      <c r="AG182" s="54"/>
      <c r="AH182" s="73"/>
    </row>
    <row r="183" spans="32:34" s="6" customFormat="1" x14ac:dyDescent="0.2">
      <c r="AF183" s="54"/>
      <c r="AG183" s="54"/>
      <c r="AH183" s="73"/>
    </row>
    <row r="184" spans="32:34" s="6" customFormat="1" x14ac:dyDescent="0.2">
      <c r="AF184" s="54"/>
      <c r="AG184" s="54"/>
      <c r="AH184" s="73"/>
    </row>
    <row r="185" spans="32:34" s="6" customFormat="1" x14ac:dyDescent="0.2">
      <c r="AF185" s="54"/>
      <c r="AG185" s="54"/>
      <c r="AH185" s="73"/>
    </row>
    <row r="186" spans="32:34" s="6" customFormat="1" x14ac:dyDescent="0.2">
      <c r="AF186" s="54"/>
      <c r="AG186" s="54"/>
      <c r="AH186" s="73"/>
    </row>
    <row r="187" spans="32:34" s="6" customFormat="1" x14ac:dyDescent="0.2">
      <c r="AF187" s="54"/>
      <c r="AG187" s="54"/>
      <c r="AH187" s="73"/>
    </row>
    <row r="188" spans="32:34" s="6" customFormat="1" x14ac:dyDescent="0.2">
      <c r="AF188" s="54"/>
      <c r="AG188" s="54"/>
      <c r="AH188" s="73"/>
    </row>
    <row r="189" spans="32:34" s="6" customFormat="1" x14ac:dyDescent="0.2">
      <c r="AF189" s="54"/>
      <c r="AG189" s="54"/>
      <c r="AH189" s="73"/>
    </row>
    <row r="190" spans="32:34" s="6" customFormat="1" x14ac:dyDescent="0.2">
      <c r="AF190" s="54"/>
      <c r="AG190" s="54"/>
      <c r="AH190" s="73"/>
    </row>
    <row r="191" spans="32:34" s="6" customFormat="1" x14ac:dyDescent="0.2">
      <c r="AF191" s="54"/>
      <c r="AG191" s="54"/>
      <c r="AH191" s="73"/>
    </row>
    <row r="192" spans="32:34" s="6" customFormat="1" x14ac:dyDescent="0.2">
      <c r="AF192" s="54"/>
      <c r="AG192" s="54"/>
      <c r="AH192" s="73"/>
    </row>
    <row r="193" spans="32:34" s="6" customFormat="1" x14ac:dyDescent="0.2">
      <c r="AF193" s="54"/>
      <c r="AG193" s="54"/>
      <c r="AH193" s="73"/>
    </row>
    <row r="194" spans="32:34" s="6" customFormat="1" x14ac:dyDescent="0.2">
      <c r="AF194" s="54"/>
      <c r="AG194" s="54"/>
      <c r="AH194" s="73"/>
    </row>
    <row r="195" spans="32:34" s="6" customFormat="1" x14ac:dyDescent="0.2">
      <c r="AF195" s="54"/>
      <c r="AG195" s="54"/>
      <c r="AH195" s="73"/>
    </row>
    <row r="196" spans="32:34" s="6" customFormat="1" x14ac:dyDescent="0.2">
      <c r="AF196" s="54"/>
      <c r="AG196" s="54"/>
      <c r="AH196" s="73"/>
    </row>
    <row r="197" spans="32:34" s="6" customFormat="1" x14ac:dyDescent="0.2">
      <c r="AF197" s="54"/>
      <c r="AG197" s="54"/>
      <c r="AH197" s="73"/>
    </row>
    <row r="198" spans="32:34" s="6" customFormat="1" x14ac:dyDescent="0.2">
      <c r="AF198" s="54"/>
      <c r="AG198" s="54"/>
      <c r="AH198" s="73"/>
    </row>
    <row r="199" spans="32:34" s="6" customFormat="1" x14ac:dyDescent="0.2">
      <c r="AF199" s="54"/>
      <c r="AG199" s="54"/>
      <c r="AH199" s="73"/>
    </row>
    <row r="200" spans="32:34" s="6" customFormat="1" x14ac:dyDescent="0.2">
      <c r="AF200" s="54"/>
      <c r="AG200" s="54"/>
      <c r="AH200" s="73"/>
    </row>
    <row r="201" spans="32:34" s="6" customFormat="1" x14ac:dyDescent="0.2">
      <c r="AF201" s="54"/>
      <c r="AG201" s="54"/>
      <c r="AH201" s="73"/>
    </row>
    <row r="202" spans="32:34" s="6" customFormat="1" x14ac:dyDescent="0.2">
      <c r="AF202" s="54"/>
      <c r="AG202" s="54"/>
      <c r="AH202" s="73"/>
    </row>
    <row r="203" spans="32:34" s="6" customFormat="1" x14ac:dyDescent="0.2">
      <c r="AF203" s="54"/>
      <c r="AG203" s="54"/>
      <c r="AH203" s="73"/>
    </row>
    <row r="204" spans="32:34" s="6" customFormat="1" x14ac:dyDescent="0.2">
      <c r="AF204" s="54"/>
      <c r="AG204" s="54"/>
      <c r="AH204" s="73"/>
    </row>
    <row r="205" spans="32:34" s="6" customFormat="1" x14ac:dyDescent="0.2">
      <c r="AF205" s="54"/>
      <c r="AG205" s="54"/>
      <c r="AH205" s="73"/>
    </row>
    <row r="206" spans="32:34" s="6" customFormat="1" x14ac:dyDescent="0.2">
      <c r="AF206" s="54"/>
      <c r="AG206" s="54"/>
      <c r="AH206" s="73"/>
    </row>
    <row r="207" spans="32:34" s="6" customFormat="1" x14ac:dyDescent="0.2">
      <c r="AF207" s="54"/>
      <c r="AG207" s="54"/>
      <c r="AH207" s="73"/>
    </row>
    <row r="208" spans="32:34" s="6" customFormat="1" x14ac:dyDescent="0.2">
      <c r="AF208" s="54"/>
      <c r="AG208" s="54"/>
      <c r="AH208" s="73"/>
    </row>
    <row r="209" spans="32:34" s="6" customFormat="1" x14ac:dyDescent="0.2">
      <c r="AF209" s="54"/>
      <c r="AG209" s="54"/>
      <c r="AH209" s="73"/>
    </row>
    <row r="210" spans="32:34" s="6" customFormat="1" x14ac:dyDescent="0.2">
      <c r="AF210" s="54"/>
      <c r="AG210" s="54"/>
      <c r="AH210" s="73"/>
    </row>
    <row r="211" spans="32:34" s="6" customFormat="1" x14ac:dyDescent="0.2">
      <c r="AF211" s="54"/>
      <c r="AG211" s="54"/>
      <c r="AH211" s="73"/>
    </row>
    <row r="212" spans="32:34" s="6" customFormat="1" x14ac:dyDescent="0.2">
      <c r="AF212" s="54"/>
      <c r="AG212" s="54"/>
      <c r="AH212" s="73"/>
    </row>
    <row r="213" spans="32:34" s="6" customFormat="1" x14ac:dyDescent="0.2">
      <c r="AF213" s="54"/>
      <c r="AG213" s="54"/>
      <c r="AH213" s="73"/>
    </row>
    <row r="214" spans="32:34" s="6" customFormat="1" x14ac:dyDescent="0.2">
      <c r="AF214" s="54"/>
      <c r="AG214" s="54"/>
      <c r="AH214" s="73"/>
    </row>
    <row r="215" spans="32:34" s="6" customFormat="1" x14ac:dyDescent="0.2">
      <c r="AF215" s="54"/>
      <c r="AG215" s="54"/>
      <c r="AH215" s="73"/>
    </row>
    <row r="216" spans="32:34" s="6" customFormat="1" x14ac:dyDescent="0.2">
      <c r="AF216" s="54"/>
      <c r="AG216" s="54"/>
      <c r="AH216" s="73"/>
    </row>
    <row r="217" spans="32:34" s="6" customFormat="1" x14ac:dyDescent="0.2">
      <c r="AF217" s="54"/>
      <c r="AG217" s="54"/>
      <c r="AH217" s="73"/>
    </row>
    <row r="218" spans="32:34" s="6" customFormat="1" x14ac:dyDescent="0.2">
      <c r="AF218" s="54"/>
      <c r="AG218" s="54"/>
      <c r="AH218" s="73"/>
    </row>
    <row r="219" spans="32:34" s="6" customFormat="1" x14ac:dyDescent="0.2">
      <c r="AF219" s="54"/>
      <c r="AG219" s="54"/>
      <c r="AH219" s="73"/>
    </row>
    <row r="220" spans="32:34" s="6" customFormat="1" x14ac:dyDescent="0.2">
      <c r="AF220" s="54"/>
      <c r="AG220" s="54"/>
      <c r="AH220" s="73"/>
    </row>
    <row r="221" spans="32:34" s="6" customFormat="1" x14ac:dyDescent="0.2">
      <c r="AF221" s="54"/>
      <c r="AG221" s="54"/>
      <c r="AH221" s="73"/>
    </row>
    <row r="222" spans="32:34" s="6" customFormat="1" x14ac:dyDescent="0.2">
      <c r="AF222" s="54"/>
      <c r="AG222" s="54"/>
      <c r="AH222" s="73"/>
    </row>
    <row r="223" spans="32:34" s="6" customFormat="1" x14ac:dyDescent="0.2">
      <c r="AF223" s="54"/>
      <c r="AG223" s="54"/>
      <c r="AH223" s="73"/>
    </row>
    <row r="224" spans="32:34" s="6" customFormat="1" x14ac:dyDescent="0.2">
      <c r="AF224" s="54"/>
      <c r="AG224" s="54"/>
      <c r="AH224" s="73"/>
    </row>
    <row r="225" spans="32:34" s="6" customFormat="1" x14ac:dyDescent="0.2">
      <c r="AF225" s="54"/>
      <c r="AG225" s="54"/>
      <c r="AH225" s="73"/>
    </row>
    <row r="226" spans="32:34" s="6" customFormat="1" x14ac:dyDescent="0.2">
      <c r="AF226" s="54"/>
      <c r="AG226" s="54"/>
      <c r="AH226" s="73"/>
    </row>
    <row r="227" spans="32:34" s="6" customFormat="1" x14ac:dyDescent="0.2">
      <c r="AF227" s="54"/>
      <c r="AG227" s="54"/>
      <c r="AH227" s="73"/>
    </row>
    <row r="228" spans="32:34" s="6" customFormat="1" x14ac:dyDescent="0.2">
      <c r="AF228" s="54"/>
      <c r="AG228" s="54"/>
      <c r="AH228" s="73"/>
    </row>
    <row r="229" spans="32:34" s="6" customFormat="1" x14ac:dyDescent="0.2">
      <c r="AF229" s="54"/>
      <c r="AG229" s="54"/>
      <c r="AH229" s="73"/>
    </row>
    <row r="230" spans="32:34" s="6" customFormat="1" x14ac:dyDescent="0.2">
      <c r="AF230" s="54"/>
      <c r="AG230" s="54"/>
      <c r="AH230" s="73"/>
    </row>
    <row r="231" spans="32:34" s="6" customFormat="1" x14ac:dyDescent="0.2">
      <c r="AF231" s="54"/>
      <c r="AG231" s="54"/>
      <c r="AH231" s="73"/>
    </row>
    <row r="232" spans="32:34" s="6" customFormat="1" x14ac:dyDescent="0.2">
      <c r="AF232" s="54"/>
      <c r="AG232" s="54"/>
      <c r="AH232" s="73"/>
    </row>
    <row r="233" spans="32:34" s="6" customFormat="1" x14ac:dyDescent="0.2">
      <c r="AF233" s="54"/>
      <c r="AG233" s="54"/>
      <c r="AH233" s="73"/>
    </row>
    <row r="234" spans="32:34" s="6" customFormat="1" x14ac:dyDescent="0.2">
      <c r="AF234" s="54"/>
      <c r="AG234" s="54"/>
      <c r="AH234" s="73"/>
    </row>
    <row r="235" spans="32:34" s="6" customFormat="1" x14ac:dyDescent="0.2">
      <c r="AF235" s="54"/>
      <c r="AG235" s="54"/>
      <c r="AH235" s="73"/>
    </row>
    <row r="236" spans="32:34" s="6" customFormat="1" x14ac:dyDescent="0.2">
      <c r="AF236" s="54"/>
      <c r="AG236" s="54"/>
      <c r="AH236" s="73"/>
    </row>
    <row r="237" spans="32:34" s="6" customFormat="1" x14ac:dyDescent="0.2">
      <c r="AF237" s="54"/>
      <c r="AG237" s="54"/>
      <c r="AH237" s="73"/>
    </row>
    <row r="238" spans="32:34" s="6" customFormat="1" x14ac:dyDescent="0.2">
      <c r="AF238" s="54"/>
      <c r="AG238" s="54"/>
      <c r="AH238" s="73"/>
    </row>
    <row r="239" spans="32:34" s="6" customFormat="1" x14ac:dyDescent="0.2">
      <c r="AF239" s="54"/>
      <c r="AG239" s="54"/>
      <c r="AH239" s="73"/>
    </row>
    <row r="240" spans="32:34" s="6" customFormat="1" x14ac:dyDescent="0.2">
      <c r="AF240" s="54"/>
      <c r="AG240" s="54"/>
      <c r="AH240" s="73"/>
    </row>
    <row r="241" spans="32:34" s="6" customFormat="1" x14ac:dyDescent="0.2">
      <c r="AF241" s="54"/>
      <c r="AG241" s="54"/>
      <c r="AH241" s="73"/>
    </row>
    <row r="242" spans="32:34" s="6" customFormat="1" x14ac:dyDescent="0.2">
      <c r="AF242" s="54"/>
      <c r="AG242" s="54"/>
      <c r="AH242" s="73"/>
    </row>
    <row r="243" spans="32:34" s="6" customFormat="1" x14ac:dyDescent="0.2">
      <c r="AF243" s="54"/>
      <c r="AG243" s="54"/>
      <c r="AH243" s="73"/>
    </row>
    <row r="244" spans="32:34" s="6" customFormat="1" x14ac:dyDescent="0.2">
      <c r="AF244" s="54"/>
      <c r="AG244" s="54"/>
      <c r="AH244" s="73"/>
    </row>
    <row r="245" spans="32:34" s="6" customFormat="1" x14ac:dyDescent="0.2">
      <c r="AF245" s="54"/>
      <c r="AG245" s="54"/>
      <c r="AH245" s="73"/>
    </row>
    <row r="246" spans="32:34" s="6" customFormat="1" x14ac:dyDescent="0.2">
      <c r="AF246" s="54"/>
      <c r="AG246" s="54"/>
      <c r="AH246" s="73"/>
    </row>
    <row r="247" spans="32:34" s="6" customFormat="1" x14ac:dyDescent="0.2">
      <c r="AF247" s="54"/>
      <c r="AG247" s="54"/>
      <c r="AH247" s="73"/>
    </row>
    <row r="248" spans="32:34" s="6" customFormat="1" x14ac:dyDescent="0.2">
      <c r="AF248" s="54"/>
      <c r="AG248" s="54"/>
      <c r="AH248" s="73"/>
    </row>
    <row r="249" spans="32:34" s="6" customFormat="1" x14ac:dyDescent="0.2">
      <c r="AF249" s="54"/>
      <c r="AG249" s="54"/>
      <c r="AH249" s="73"/>
    </row>
    <row r="250" spans="32:34" s="6" customFormat="1" x14ac:dyDescent="0.2">
      <c r="AF250" s="54"/>
      <c r="AG250" s="54"/>
      <c r="AH250" s="73"/>
    </row>
    <row r="251" spans="32:34" s="6" customFormat="1" x14ac:dyDescent="0.2">
      <c r="AF251" s="54"/>
      <c r="AG251" s="54"/>
      <c r="AH251" s="73"/>
    </row>
    <row r="252" spans="32:34" s="6" customFormat="1" x14ac:dyDescent="0.2">
      <c r="AF252" s="54"/>
      <c r="AG252" s="54"/>
      <c r="AH252" s="73"/>
    </row>
    <row r="253" spans="32:34" s="6" customFormat="1" x14ac:dyDescent="0.2">
      <c r="AF253" s="54"/>
      <c r="AG253" s="54"/>
      <c r="AH253" s="73"/>
    </row>
    <row r="254" spans="32:34" s="6" customFormat="1" x14ac:dyDescent="0.2">
      <c r="AF254" s="54"/>
      <c r="AG254" s="54"/>
      <c r="AH254" s="73"/>
    </row>
    <row r="255" spans="32:34" s="6" customFormat="1" x14ac:dyDescent="0.2">
      <c r="AF255" s="54"/>
      <c r="AG255" s="54"/>
      <c r="AH255" s="73"/>
    </row>
    <row r="256" spans="32:34" s="6" customFormat="1" x14ac:dyDescent="0.2">
      <c r="AF256" s="54"/>
      <c r="AG256" s="54"/>
      <c r="AH256" s="73"/>
    </row>
    <row r="257" spans="32:34" s="6" customFormat="1" x14ac:dyDescent="0.2">
      <c r="AF257" s="54"/>
      <c r="AG257" s="54"/>
      <c r="AH257" s="73"/>
    </row>
    <row r="258" spans="32:34" s="6" customFormat="1" x14ac:dyDescent="0.2">
      <c r="AF258" s="54"/>
      <c r="AG258" s="54"/>
      <c r="AH258" s="73"/>
    </row>
    <row r="259" spans="32:34" s="6" customFormat="1" x14ac:dyDescent="0.2">
      <c r="AF259" s="54"/>
      <c r="AG259" s="54"/>
      <c r="AH259" s="73"/>
    </row>
    <row r="260" spans="32:34" s="6" customFormat="1" x14ac:dyDescent="0.2">
      <c r="AF260" s="54"/>
      <c r="AG260" s="54"/>
      <c r="AH260" s="73"/>
    </row>
    <row r="261" spans="32:34" s="6" customFormat="1" x14ac:dyDescent="0.2">
      <c r="AF261" s="54"/>
      <c r="AG261" s="54"/>
      <c r="AH261" s="73"/>
    </row>
    <row r="262" spans="32:34" s="6" customFormat="1" x14ac:dyDescent="0.2">
      <c r="AF262" s="54"/>
      <c r="AG262" s="54"/>
      <c r="AH262" s="73"/>
    </row>
    <row r="263" spans="32:34" s="6" customFormat="1" x14ac:dyDescent="0.2">
      <c r="AF263" s="54"/>
      <c r="AG263" s="54"/>
      <c r="AH263" s="73"/>
    </row>
    <row r="264" spans="32:34" s="6" customFormat="1" x14ac:dyDescent="0.2">
      <c r="AF264" s="54"/>
      <c r="AG264" s="54"/>
      <c r="AH264" s="73"/>
    </row>
    <row r="265" spans="32:34" s="6" customFormat="1" x14ac:dyDescent="0.2">
      <c r="AF265" s="54"/>
      <c r="AG265" s="54"/>
      <c r="AH265" s="73"/>
    </row>
    <row r="266" spans="32:34" s="6" customFormat="1" x14ac:dyDescent="0.2">
      <c r="AF266" s="54"/>
      <c r="AG266" s="54"/>
      <c r="AH266" s="73"/>
    </row>
    <row r="267" spans="32:34" s="6" customFormat="1" x14ac:dyDescent="0.2">
      <c r="AF267" s="54"/>
      <c r="AG267" s="54"/>
      <c r="AH267" s="73"/>
    </row>
    <row r="268" spans="32:34" s="6" customFormat="1" x14ac:dyDescent="0.2">
      <c r="AF268" s="54"/>
      <c r="AG268" s="54"/>
      <c r="AH268" s="73"/>
    </row>
    <row r="269" spans="32:34" s="6" customFormat="1" x14ac:dyDescent="0.2">
      <c r="AF269" s="54"/>
      <c r="AG269" s="54"/>
      <c r="AH269" s="73"/>
    </row>
    <row r="270" spans="32:34" s="6" customFormat="1" x14ac:dyDescent="0.2">
      <c r="AF270" s="54"/>
      <c r="AG270" s="54"/>
      <c r="AH270" s="73"/>
    </row>
    <row r="271" spans="32:34" s="6" customFormat="1" x14ac:dyDescent="0.2">
      <c r="AF271" s="54"/>
      <c r="AG271" s="54"/>
      <c r="AH271" s="73"/>
    </row>
    <row r="272" spans="32:34" s="6" customFormat="1" x14ac:dyDescent="0.2">
      <c r="AF272" s="54"/>
      <c r="AG272" s="54"/>
      <c r="AH272" s="73"/>
    </row>
    <row r="273" spans="32:34" s="6" customFormat="1" x14ac:dyDescent="0.2">
      <c r="AF273" s="54"/>
      <c r="AG273" s="54"/>
      <c r="AH273" s="73"/>
    </row>
    <row r="274" spans="32:34" s="6" customFormat="1" x14ac:dyDescent="0.2">
      <c r="AF274" s="54"/>
      <c r="AG274" s="54"/>
      <c r="AH274" s="73"/>
    </row>
    <row r="275" spans="32:34" s="6" customFormat="1" x14ac:dyDescent="0.2">
      <c r="AF275" s="54"/>
      <c r="AG275" s="54"/>
      <c r="AH275" s="73"/>
    </row>
    <row r="276" spans="32:34" s="6" customFormat="1" x14ac:dyDescent="0.2">
      <c r="AF276" s="54"/>
      <c r="AG276" s="54"/>
      <c r="AH276" s="73"/>
    </row>
    <row r="277" spans="32:34" s="6" customFormat="1" x14ac:dyDescent="0.2">
      <c r="AF277" s="54"/>
      <c r="AG277" s="54"/>
      <c r="AH277" s="73"/>
    </row>
    <row r="278" spans="32:34" s="6" customFormat="1" x14ac:dyDescent="0.2">
      <c r="AF278" s="54"/>
      <c r="AG278" s="54"/>
      <c r="AH278" s="73"/>
    </row>
    <row r="279" spans="32:34" s="6" customFormat="1" x14ac:dyDescent="0.2">
      <c r="AF279" s="54"/>
      <c r="AG279" s="54"/>
      <c r="AH279" s="73"/>
    </row>
    <row r="280" spans="32:34" s="6" customFormat="1" x14ac:dyDescent="0.2">
      <c r="AF280" s="54"/>
      <c r="AG280" s="54"/>
      <c r="AH280" s="73"/>
    </row>
    <row r="281" spans="32:34" s="6" customFormat="1" x14ac:dyDescent="0.2">
      <c r="AF281" s="54"/>
      <c r="AG281" s="54"/>
      <c r="AH281" s="73"/>
    </row>
    <row r="282" spans="32:34" s="6" customFormat="1" x14ac:dyDescent="0.2">
      <c r="AF282" s="54"/>
      <c r="AG282" s="54"/>
      <c r="AH282" s="73"/>
    </row>
    <row r="283" spans="32:34" s="6" customFormat="1" x14ac:dyDescent="0.2">
      <c r="AF283" s="54"/>
      <c r="AG283" s="54"/>
      <c r="AH283" s="73"/>
    </row>
    <row r="284" spans="32:34" s="6" customFormat="1" x14ac:dyDescent="0.2">
      <c r="AF284" s="54"/>
      <c r="AG284" s="54"/>
      <c r="AH284" s="73"/>
    </row>
    <row r="285" spans="32:34" s="6" customFormat="1" x14ac:dyDescent="0.2">
      <c r="AF285" s="54"/>
      <c r="AG285" s="54"/>
      <c r="AH285" s="73"/>
    </row>
    <row r="286" spans="32:34" s="6" customFormat="1" x14ac:dyDescent="0.2">
      <c r="AF286" s="54"/>
      <c r="AG286" s="54"/>
      <c r="AH286" s="73"/>
    </row>
    <row r="287" spans="32:34" s="6" customFormat="1" x14ac:dyDescent="0.2">
      <c r="AF287" s="54"/>
      <c r="AG287" s="54"/>
      <c r="AH287" s="73"/>
    </row>
    <row r="288" spans="32:34" s="6" customFormat="1" x14ac:dyDescent="0.2">
      <c r="AF288" s="54"/>
      <c r="AG288" s="54"/>
      <c r="AH288" s="73"/>
    </row>
    <row r="289" spans="32:34" s="6" customFormat="1" x14ac:dyDescent="0.2">
      <c r="AF289" s="54"/>
      <c r="AG289" s="54"/>
      <c r="AH289" s="73"/>
    </row>
    <row r="290" spans="32:34" s="6" customFormat="1" x14ac:dyDescent="0.2">
      <c r="AF290" s="54"/>
      <c r="AG290" s="54"/>
      <c r="AH290" s="73"/>
    </row>
    <row r="291" spans="32:34" s="6" customFormat="1" x14ac:dyDescent="0.2">
      <c r="AF291" s="54"/>
      <c r="AG291" s="54"/>
      <c r="AH291" s="73"/>
    </row>
    <row r="292" spans="32:34" s="6" customFormat="1" x14ac:dyDescent="0.2">
      <c r="AF292" s="54"/>
      <c r="AG292" s="54"/>
      <c r="AH292" s="73"/>
    </row>
    <row r="293" spans="32:34" s="6" customFormat="1" x14ac:dyDescent="0.2">
      <c r="AF293" s="54"/>
      <c r="AG293" s="54"/>
      <c r="AH293" s="73"/>
    </row>
    <row r="294" spans="32:34" s="6" customFormat="1" x14ac:dyDescent="0.2">
      <c r="AF294" s="54"/>
      <c r="AG294" s="54"/>
      <c r="AH294" s="73"/>
    </row>
    <row r="295" spans="32:34" s="6" customFormat="1" x14ac:dyDescent="0.2">
      <c r="AF295" s="54"/>
      <c r="AG295" s="54"/>
      <c r="AH295" s="73"/>
    </row>
    <row r="296" spans="32:34" s="6" customFormat="1" x14ac:dyDescent="0.2">
      <c r="AF296" s="54"/>
      <c r="AG296" s="54"/>
      <c r="AH296" s="73"/>
    </row>
    <row r="297" spans="32:34" s="6" customFormat="1" x14ac:dyDescent="0.2">
      <c r="AF297" s="54"/>
      <c r="AG297" s="54"/>
      <c r="AH297" s="73"/>
    </row>
    <row r="298" spans="32:34" s="6" customFormat="1" x14ac:dyDescent="0.2">
      <c r="AF298" s="54"/>
      <c r="AG298" s="54"/>
      <c r="AH298" s="73"/>
    </row>
    <row r="299" spans="32:34" s="6" customFormat="1" x14ac:dyDescent="0.2">
      <c r="AF299" s="54"/>
      <c r="AG299" s="54"/>
      <c r="AH299" s="73"/>
    </row>
    <row r="300" spans="32:34" s="6" customFormat="1" x14ac:dyDescent="0.2">
      <c r="AF300" s="54"/>
      <c r="AG300" s="54"/>
      <c r="AH300" s="73"/>
    </row>
    <row r="301" spans="32:34" s="6" customFormat="1" x14ac:dyDescent="0.2">
      <c r="AF301" s="54"/>
      <c r="AG301" s="54"/>
      <c r="AH301" s="73"/>
    </row>
    <row r="302" spans="32:34" s="6" customFormat="1" x14ac:dyDescent="0.2">
      <c r="AF302" s="54"/>
      <c r="AG302" s="54"/>
      <c r="AH302" s="73"/>
    </row>
  </sheetData>
  <mergeCells count="62">
    <mergeCell ref="I7:J7"/>
    <mergeCell ref="E7:G7"/>
    <mergeCell ref="E2:G2"/>
    <mergeCell ref="Q2:S2"/>
    <mergeCell ref="Q4:R4"/>
    <mergeCell ref="R3:S3"/>
    <mergeCell ref="M3:N3"/>
    <mergeCell ref="I2:K2"/>
    <mergeCell ref="M2:O2"/>
    <mergeCell ref="E3:F3"/>
    <mergeCell ref="M4:N4"/>
    <mergeCell ref="I4:J4"/>
    <mergeCell ref="I3:J3"/>
    <mergeCell ref="E4:F4"/>
    <mergeCell ref="M18:O20"/>
    <mergeCell ref="I18:L20"/>
    <mergeCell ref="B22:Y22"/>
    <mergeCell ref="AA22:AI22"/>
    <mergeCell ref="I10:J10"/>
    <mergeCell ref="Q10:R10"/>
    <mergeCell ref="M16:N16"/>
    <mergeCell ref="M14:N14"/>
    <mergeCell ref="M13:N13"/>
    <mergeCell ref="I14:K14"/>
    <mergeCell ref="M12:O12"/>
    <mergeCell ref="Q12:S12"/>
    <mergeCell ref="Q13:R13"/>
    <mergeCell ref="Q14:R14"/>
    <mergeCell ref="Q15:R15"/>
    <mergeCell ref="E14:G14"/>
    <mergeCell ref="E16:F16"/>
    <mergeCell ref="E17:F17"/>
    <mergeCell ref="M10:N10"/>
    <mergeCell ref="AB2:AC2"/>
    <mergeCell ref="M15:N15"/>
    <mergeCell ref="U5:V5"/>
    <mergeCell ref="Q16:R16"/>
    <mergeCell ref="Q17:R17"/>
    <mergeCell ref="Q9:R9"/>
    <mergeCell ref="Q8:R8"/>
    <mergeCell ref="U9:W9"/>
    <mergeCell ref="U2:W2"/>
    <mergeCell ref="U3:V3"/>
    <mergeCell ref="U6:V6"/>
    <mergeCell ref="U4:V4"/>
    <mergeCell ref="E8:F8"/>
    <mergeCell ref="M9:N9"/>
    <mergeCell ref="Q5:R5"/>
    <mergeCell ref="M8:N8"/>
    <mergeCell ref="Q7:S7"/>
    <mergeCell ref="E15:F15"/>
    <mergeCell ref="E12:F12"/>
    <mergeCell ref="I11:J11"/>
    <mergeCell ref="E9:F9"/>
    <mergeCell ref="I12:J12"/>
    <mergeCell ref="E11:G11"/>
    <mergeCell ref="I9:K9"/>
    <mergeCell ref="E5:F5"/>
    <mergeCell ref="M5:N5"/>
    <mergeCell ref="M6:N6"/>
    <mergeCell ref="M7:N7"/>
    <mergeCell ref="I6:K6"/>
  </mergeCells>
  <conditionalFormatting sqref="AB24:AB126">
    <cfRule type="containsText" dxfId="80" priority="41" stopIfTrue="1" operator="containsText" text="NOK">
      <formula>NOT(ISERROR(SEARCH("NOK",AB24)))</formula>
    </cfRule>
  </conditionalFormatting>
  <conditionalFormatting sqref="AB24:AB126">
    <cfRule type="containsText" dxfId="79" priority="42" operator="containsText" text="OK">
      <formula>NOT(ISERROR(SEARCH("OK",AB24)))</formula>
    </cfRule>
  </conditionalFormatting>
  <conditionalFormatting sqref="AC24:AC126">
    <cfRule type="containsText" dxfId="78" priority="39" stopIfTrue="1" operator="containsText" text="NOK">
      <formula>NOT(ISERROR(SEARCH("NOK",AC24)))</formula>
    </cfRule>
  </conditionalFormatting>
  <conditionalFormatting sqref="AC24:AC126">
    <cfRule type="containsText" dxfId="77" priority="40" operator="containsText" text="OK">
      <formula>NOT(ISERROR(SEARCH("OK",AC24)))</formula>
    </cfRule>
  </conditionalFormatting>
  <conditionalFormatting sqref="AD24:AD126">
    <cfRule type="containsText" dxfId="76" priority="37" stopIfTrue="1" operator="containsText" text="NOK">
      <formula>NOT(ISERROR(SEARCH("NOK",AD24)))</formula>
    </cfRule>
  </conditionalFormatting>
  <conditionalFormatting sqref="AD24:AD126">
    <cfRule type="containsText" dxfId="75" priority="38" operator="containsText" text="OK">
      <formula>NOT(ISERROR(SEARCH("OK",AD24)))</formula>
    </cfRule>
  </conditionalFormatting>
  <conditionalFormatting sqref="AE24:AE126">
    <cfRule type="containsText" dxfId="74" priority="35" stopIfTrue="1" operator="containsText" text="NOK">
      <formula>NOT(ISERROR(SEARCH("NOK",AE24)))</formula>
    </cfRule>
  </conditionalFormatting>
  <conditionalFormatting sqref="AE24:AE126">
    <cfRule type="containsText" dxfId="73" priority="36" operator="containsText" text="OK">
      <formula>NOT(ISERROR(SEARCH("OK",AE24)))</formula>
    </cfRule>
  </conditionalFormatting>
  <conditionalFormatting sqref="AF24:AF126">
    <cfRule type="cellIs" dxfId="72" priority="33" stopIfTrue="1" operator="between">
      <formula>0.2</formula>
      <formula>0.8</formula>
    </cfRule>
  </conditionalFormatting>
  <conditionalFormatting sqref="AF24:AF126">
    <cfRule type="cellIs" dxfId="71" priority="34" operator="notBetween">
      <formula>0.8</formula>
      <formula>0.8</formula>
    </cfRule>
  </conditionalFormatting>
  <conditionalFormatting sqref="AG24:AG126">
    <cfRule type="cellIs" dxfId="70" priority="31" stopIfTrue="1" operator="greaterThan">
      <formula>$S$5</formula>
    </cfRule>
    <cfRule type="cellIs" dxfId="69" priority="32" operator="lessThanOrEqual">
      <formula>$S$5</formula>
    </cfRule>
  </conditionalFormatting>
  <conditionalFormatting sqref="AI24:AI126">
    <cfRule type="containsText" dxfId="68" priority="29" stopIfTrue="1" operator="containsText" text="NOK">
      <formula>NOT(ISERROR(SEARCH("NOK",AI24)))</formula>
    </cfRule>
  </conditionalFormatting>
  <conditionalFormatting sqref="AI24:AI126">
    <cfRule type="containsText" dxfId="67" priority="30" operator="containsText" text="OK">
      <formula>NOT(ISERROR(SEARCH("OK",AI24)))</formula>
    </cfRule>
  </conditionalFormatting>
  <conditionalFormatting sqref="Z80">
    <cfRule type="containsText" dxfId="66" priority="27" stopIfTrue="1" operator="containsText" text="NOK">
      <formula>NOT(ISERROR(SEARCH("NOK",Z80)))</formula>
    </cfRule>
  </conditionalFormatting>
  <conditionalFormatting sqref="Z80">
    <cfRule type="containsText" dxfId="65" priority="28" operator="containsText" text="OK">
      <formula>NOT(ISERROR(SEARCH("OK",Z80)))</formula>
    </cfRule>
  </conditionalFormatting>
  <conditionalFormatting sqref="AA80">
    <cfRule type="containsText" dxfId="64" priority="25" stopIfTrue="1" operator="containsText" text="NOK">
      <formula>NOT(ISERROR(SEARCH("NOK",AA80)))</formula>
    </cfRule>
  </conditionalFormatting>
  <conditionalFormatting sqref="AA80">
    <cfRule type="containsText" dxfId="63" priority="26" operator="containsText" text="OK">
      <formula>NOT(ISERROR(SEARCH("OK",AA80)))</formula>
    </cfRule>
  </conditionalFormatting>
  <conditionalFormatting sqref="Z81">
    <cfRule type="containsText" dxfId="62" priority="13" stopIfTrue="1" operator="containsText" text="NOK">
      <formula>NOT(ISERROR(SEARCH("NOK",Z81)))</formula>
    </cfRule>
  </conditionalFormatting>
  <conditionalFormatting sqref="Z81">
    <cfRule type="containsText" dxfId="61" priority="14" operator="containsText" text="OK">
      <formula>NOT(ISERROR(SEARCH("OK",Z81)))</formula>
    </cfRule>
  </conditionalFormatting>
  <conditionalFormatting sqref="AA81">
    <cfRule type="containsText" dxfId="60" priority="11" stopIfTrue="1" operator="containsText" text="NOK">
      <formula>NOT(ISERROR(SEARCH("NOK",AA81)))</formula>
    </cfRule>
  </conditionalFormatting>
  <conditionalFormatting sqref="AA81">
    <cfRule type="containsText" dxfId="59" priority="12" operator="containsText" text="OK">
      <formula>NOT(ISERROR(SEARCH("OK",AA81)))</formula>
    </cfRule>
  </conditionalFormatting>
  <dataValidations count="4">
    <dataValidation type="whole" allowBlank="1" showInputMessage="1" showErrorMessage="1" sqref="G3:G5 G8 K10:K12 J8 K4 J5 K7" xr:uid="{00000000-0002-0000-0100-000000000000}">
      <formula1>0</formula1>
      <formula2>10000</formula2>
    </dataValidation>
    <dataValidation type="whole" allowBlank="1" showInputMessage="1" showErrorMessage="1" sqref="O13:O14" xr:uid="{00000000-0002-0000-0100-000001000000}">
      <formula1>0</formula1>
      <formula2>1000000</formula2>
    </dataValidation>
    <dataValidation type="whole" allowBlank="1" showInputMessage="1" showErrorMessage="1" sqref="S4" xr:uid="{00000000-0002-0000-0100-000002000000}">
      <formula1>0</formula1>
      <formula2>5000</formula2>
    </dataValidation>
    <dataValidation type="decimal" allowBlank="1" showInputMessage="1" showErrorMessage="1" sqref="O3:O4" xr:uid="{00000000-0002-0000-0100-000003000000}">
      <formula1>0</formula1>
      <formula2>10000</formula2>
    </dataValidation>
  </dataValidations>
  <pageMargins left="0.7" right="0.7" top="0.78740157499999996" bottom="0.78740157499999996" header="0.3" footer="0.3"/>
  <pageSetup paperSize="9" scale="32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4000000}">
          <x14:formula1>
            <xm:f>'Input Data'!$A$2:$A$4</xm:f>
          </x14:formula1>
          <xm:sqref>G9</xm:sqref>
        </x14:dataValidation>
        <x14:dataValidation type="list" allowBlank="1" showInputMessage="1" showErrorMessage="1" xr:uid="{00000000-0002-0000-0100-000005000000}">
          <x14:formula1>
            <xm:f>'Input Data'!$C$2:$C$4</xm:f>
          </x14:formula1>
          <xm:sqref>K3</xm:sqref>
        </x14:dataValidation>
        <x14:dataValidation type="list" allowBlank="1" showInputMessage="1" showErrorMessage="1" xr:uid="{00000000-0002-0000-0100-000006000000}">
          <x14:formula1>
            <xm:f>'Input Data'!$E$2:$E$3</xm:f>
          </x14:formula1>
          <xm:sqref>G12</xm:sqref>
        </x14:dataValidation>
        <x14:dataValidation type="list" allowBlank="1" showInputMessage="1" showErrorMessage="1" xr:uid="{00000000-0002-0000-0100-000007000000}">
          <x14:formula1>
            <xm:f>'Input Data'!$L$2:$L$34</xm:f>
          </x14:formula1>
          <xm:sqref>R3:S3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L89"/>
  <sheetViews>
    <sheetView showGridLines="0" view="pageBreakPreview" topLeftCell="A10" zoomScaleNormal="100" zoomScaleSheetLayoutView="100" workbookViewId="0">
      <selection activeCell="E22" sqref="E22:G22"/>
    </sheetView>
  </sheetViews>
  <sheetFormatPr baseColWidth="10" defaultColWidth="11.42578125" defaultRowHeight="12.75" x14ac:dyDescent="0.2"/>
  <cols>
    <col min="1" max="1" width="24.28515625" style="82" bestFit="1" customWidth="1"/>
    <col min="2" max="3" width="10.7109375" style="82" customWidth="1"/>
    <col min="4" max="4" width="1.7109375" style="82" customWidth="1"/>
    <col min="5" max="5" width="29" style="82" bestFit="1" customWidth="1"/>
    <col min="6" max="6" width="10.140625" style="82" customWidth="1"/>
    <col min="7" max="7" width="10.7109375" style="82" customWidth="1"/>
    <col min="8" max="8" width="5.7109375" style="82" customWidth="1"/>
    <col min="9" max="9" width="10.85546875" style="82" customWidth="1"/>
    <col min="10" max="10" width="11" style="82" customWidth="1"/>
    <col min="11" max="11" width="27.7109375" style="82" customWidth="1"/>
    <col min="12" max="12" width="11.42578125" style="82"/>
    <col min="13" max="13" width="2.5703125" style="82" customWidth="1"/>
    <col min="14" max="14" width="5.7109375" style="82" customWidth="1"/>
    <col min="15" max="15" width="27.7109375" style="82" customWidth="1"/>
    <col min="16" max="256" width="11.42578125" style="82"/>
    <col min="257" max="257" width="5.7109375" style="82" customWidth="1"/>
    <col min="258" max="263" width="10.7109375" style="82" customWidth="1"/>
    <col min="264" max="264" width="5.7109375" style="82" customWidth="1"/>
    <col min="265" max="265" width="27.7109375" style="82" customWidth="1"/>
    <col min="266" max="266" width="11" style="82" customWidth="1"/>
    <col min="267" max="267" width="27.7109375" style="82" customWidth="1"/>
    <col min="268" max="268" width="11.42578125" style="82"/>
    <col min="269" max="269" width="2.5703125" style="82" customWidth="1"/>
    <col min="270" max="270" width="5.7109375" style="82" customWidth="1"/>
    <col min="271" max="271" width="27.7109375" style="82" customWidth="1"/>
    <col min="272" max="512" width="11.42578125" style="82"/>
    <col min="513" max="513" width="5.7109375" style="82" customWidth="1"/>
    <col min="514" max="519" width="10.7109375" style="82" customWidth="1"/>
    <col min="520" max="520" width="5.7109375" style="82" customWidth="1"/>
    <col min="521" max="521" width="27.7109375" style="82" customWidth="1"/>
    <col min="522" max="522" width="11" style="82" customWidth="1"/>
    <col min="523" max="523" width="27.7109375" style="82" customWidth="1"/>
    <col min="524" max="524" width="11.42578125" style="82"/>
    <col min="525" max="525" width="2.5703125" style="82" customWidth="1"/>
    <col min="526" max="526" width="5.7109375" style="82" customWidth="1"/>
    <col min="527" max="527" width="27.7109375" style="82" customWidth="1"/>
    <col min="528" max="768" width="11.42578125" style="82"/>
    <col min="769" max="769" width="5.7109375" style="82" customWidth="1"/>
    <col min="770" max="775" width="10.7109375" style="82" customWidth="1"/>
    <col min="776" max="776" width="5.7109375" style="82" customWidth="1"/>
    <col min="777" max="777" width="27.7109375" style="82" customWidth="1"/>
    <col min="778" max="778" width="11" style="82" customWidth="1"/>
    <col min="779" max="779" width="27.7109375" style="82" customWidth="1"/>
    <col min="780" max="780" width="11.42578125" style="82"/>
    <col min="781" max="781" width="2.5703125" style="82" customWidth="1"/>
    <col min="782" max="782" width="5.7109375" style="82" customWidth="1"/>
    <col min="783" max="783" width="27.7109375" style="82" customWidth="1"/>
    <col min="784" max="1024" width="11.42578125" style="82"/>
    <col min="1025" max="1025" width="5.7109375" style="82" customWidth="1"/>
    <col min="1026" max="1031" width="10.7109375" style="82" customWidth="1"/>
    <col min="1032" max="1032" width="5.7109375" style="82" customWidth="1"/>
    <col min="1033" max="1033" width="27.7109375" style="82" customWidth="1"/>
    <col min="1034" max="1034" width="11" style="82" customWidth="1"/>
    <col min="1035" max="1035" width="27.7109375" style="82" customWidth="1"/>
    <col min="1036" max="1036" width="11.42578125" style="82"/>
    <col min="1037" max="1037" width="2.5703125" style="82" customWidth="1"/>
    <col min="1038" max="1038" width="5.7109375" style="82" customWidth="1"/>
    <col min="1039" max="1039" width="27.7109375" style="82" customWidth="1"/>
    <col min="1040" max="1280" width="11.42578125" style="82"/>
    <col min="1281" max="1281" width="5.7109375" style="82" customWidth="1"/>
    <col min="1282" max="1287" width="10.7109375" style="82" customWidth="1"/>
    <col min="1288" max="1288" width="5.7109375" style="82" customWidth="1"/>
    <col min="1289" max="1289" width="27.7109375" style="82" customWidth="1"/>
    <col min="1290" max="1290" width="11" style="82" customWidth="1"/>
    <col min="1291" max="1291" width="27.7109375" style="82" customWidth="1"/>
    <col min="1292" max="1292" width="11.42578125" style="82"/>
    <col min="1293" max="1293" width="2.5703125" style="82" customWidth="1"/>
    <col min="1294" max="1294" width="5.7109375" style="82" customWidth="1"/>
    <col min="1295" max="1295" width="27.7109375" style="82" customWidth="1"/>
    <col min="1296" max="1536" width="11.42578125" style="82"/>
    <col min="1537" max="1537" width="5.7109375" style="82" customWidth="1"/>
    <col min="1538" max="1543" width="10.7109375" style="82" customWidth="1"/>
    <col min="1544" max="1544" width="5.7109375" style="82" customWidth="1"/>
    <col min="1545" max="1545" width="27.7109375" style="82" customWidth="1"/>
    <col min="1546" max="1546" width="11" style="82" customWidth="1"/>
    <col min="1547" max="1547" width="27.7109375" style="82" customWidth="1"/>
    <col min="1548" max="1548" width="11.42578125" style="82"/>
    <col min="1549" max="1549" width="2.5703125" style="82" customWidth="1"/>
    <col min="1550" max="1550" width="5.7109375" style="82" customWidth="1"/>
    <col min="1551" max="1551" width="27.7109375" style="82" customWidth="1"/>
    <col min="1552" max="1792" width="11.42578125" style="82"/>
    <col min="1793" max="1793" width="5.7109375" style="82" customWidth="1"/>
    <col min="1794" max="1799" width="10.7109375" style="82" customWidth="1"/>
    <col min="1800" max="1800" width="5.7109375" style="82" customWidth="1"/>
    <col min="1801" max="1801" width="27.7109375" style="82" customWidth="1"/>
    <col min="1802" max="1802" width="11" style="82" customWidth="1"/>
    <col min="1803" max="1803" width="27.7109375" style="82" customWidth="1"/>
    <col min="1804" max="1804" width="11.42578125" style="82"/>
    <col min="1805" max="1805" width="2.5703125" style="82" customWidth="1"/>
    <col min="1806" max="1806" width="5.7109375" style="82" customWidth="1"/>
    <col min="1807" max="1807" width="27.7109375" style="82" customWidth="1"/>
    <col min="1808" max="2048" width="11.42578125" style="82"/>
    <col min="2049" max="2049" width="5.7109375" style="82" customWidth="1"/>
    <col min="2050" max="2055" width="10.7109375" style="82" customWidth="1"/>
    <col min="2056" max="2056" width="5.7109375" style="82" customWidth="1"/>
    <col min="2057" max="2057" width="27.7109375" style="82" customWidth="1"/>
    <col min="2058" max="2058" width="11" style="82" customWidth="1"/>
    <col min="2059" max="2059" width="27.7109375" style="82" customWidth="1"/>
    <col min="2060" max="2060" width="11.42578125" style="82"/>
    <col min="2061" max="2061" width="2.5703125" style="82" customWidth="1"/>
    <col min="2062" max="2062" width="5.7109375" style="82" customWidth="1"/>
    <col min="2063" max="2063" width="27.7109375" style="82" customWidth="1"/>
    <col min="2064" max="2304" width="11.42578125" style="82"/>
    <col min="2305" max="2305" width="5.7109375" style="82" customWidth="1"/>
    <col min="2306" max="2311" width="10.7109375" style="82" customWidth="1"/>
    <col min="2312" max="2312" width="5.7109375" style="82" customWidth="1"/>
    <col min="2313" max="2313" width="27.7109375" style="82" customWidth="1"/>
    <col min="2314" max="2314" width="11" style="82" customWidth="1"/>
    <col min="2315" max="2315" width="27.7109375" style="82" customWidth="1"/>
    <col min="2316" max="2316" width="11.42578125" style="82"/>
    <col min="2317" max="2317" width="2.5703125" style="82" customWidth="1"/>
    <col min="2318" max="2318" width="5.7109375" style="82" customWidth="1"/>
    <col min="2319" max="2319" width="27.7109375" style="82" customWidth="1"/>
    <col min="2320" max="2560" width="11.42578125" style="82"/>
    <col min="2561" max="2561" width="5.7109375" style="82" customWidth="1"/>
    <col min="2562" max="2567" width="10.7109375" style="82" customWidth="1"/>
    <col min="2568" max="2568" width="5.7109375" style="82" customWidth="1"/>
    <col min="2569" max="2569" width="27.7109375" style="82" customWidth="1"/>
    <col min="2570" max="2570" width="11" style="82" customWidth="1"/>
    <col min="2571" max="2571" width="27.7109375" style="82" customWidth="1"/>
    <col min="2572" max="2572" width="11.42578125" style="82"/>
    <col min="2573" max="2573" width="2.5703125" style="82" customWidth="1"/>
    <col min="2574" max="2574" width="5.7109375" style="82" customWidth="1"/>
    <col min="2575" max="2575" width="27.7109375" style="82" customWidth="1"/>
    <col min="2576" max="2816" width="11.42578125" style="82"/>
    <col min="2817" max="2817" width="5.7109375" style="82" customWidth="1"/>
    <col min="2818" max="2823" width="10.7109375" style="82" customWidth="1"/>
    <col min="2824" max="2824" width="5.7109375" style="82" customWidth="1"/>
    <col min="2825" max="2825" width="27.7109375" style="82" customWidth="1"/>
    <col min="2826" max="2826" width="11" style="82" customWidth="1"/>
    <col min="2827" max="2827" width="27.7109375" style="82" customWidth="1"/>
    <col min="2828" max="2828" width="11.42578125" style="82"/>
    <col min="2829" max="2829" width="2.5703125" style="82" customWidth="1"/>
    <col min="2830" max="2830" width="5.7109375" style="82" customWidth="1"/>
    <col min="2831" max="2831" width="27.7109375" style="82" customWidth="1"/>
    <col min="2832" max="3072" width="11.42578125" style="82"/>
    <col min="3073" max="3073" width="5.7109375" style="82" customWidth="1"/>
    <col min="3074" max="3079" width="10.7109375" style="82" customWidth="1"/>
    <col min="3080" max="3080" width="5.7109375" style="82" customWidth="1"/>
    <col min="3081" max="3081" width="27.7109375" style="82" customWidth="1"/>
    <col min="3082" max="3082" width="11" style="82" customWidth="1"/>
    <col min="3083" max="3083" width="27.7109375" style="82" customWidth="1"/>
    <col min="3084" max="3084" width="11.42578125" style="82"/>
    <col min="3085" max="3085" width="2.5703125" style="82" customWidth="1"/>
    <col min="3086" max="3086" width="5.7109375" style="82" customWidth="1"/>
    <col min="3087" max="3087" width="27.7109375" style="82" customWidth="1"/>
    <col min="3088" max="3328" width="11.42578125" style="82"/>
    <col min="3329" max="3329" width="5.7109375" style="82" customWidth="1"/>
    <col min="3330" max="3335" width="10.7109375" style="82" customWidth="1"/>
    <col min="3336" max="3336" width="5.7109375" style="82" customWidth="1"/>
    <col min="3337" max="3337" width="27.7109375" style="82" customWidth="1"/>
    <col min="3338" max="3338" width="11" style="82" customWidth="1"/>
    <col min="3339" max="3339" width="27.7109375" style="82" customWidth="1"/>
    <col min="3340" max="3340" width="11.42578125" style="82"/>
    <col min="3341" max="3341" width="2.5703125" style="82" customWidth="1"/>
    <col min="3342" max="3342" width="5.7109375" style="82" customWidth="1"/>
    <col min="3343" max="3343" width="27.7109375" style="82" customWidth="1"/>
    <col min="3344" max="3584" width="11.42578125" style="82"/>
    <col min="3585" max="3585" width="5.7109375" style="82" customWidth="1"/>
    <col min="3586" max="3591" width="10.7109375" style="82" customWidth="1"/>
    <col min="3592" max="3592" width="5.7109375" style="82" customWidth="1"/>
    <col min="3593" max="3593" width="27.7109375" style="82" customWidth="1"/>
    <col min="3594" max="3594" width="11" style="82" customWidth="1"/>
    <col min="3595" max="3595" width="27.7109375" style="82" customWidth="1"/>
    <col min="3596" max="3596" width="11.42578125" style="82"/>
    <col min="3597" max="3597" width="2.5703125" style="82" customWidth="1"/>
    <col min="3598" max="3598" width="5.7109375" style="82" customWidth="1"/>
    <col min="3599" max="3599" width="27.7109375" style="82" customWidth="1"/>
    <col min="3600" max="3840" width="11.42578125" style="82"/>
    <col min="3841" max="3841" width="5.7109375" style="82" customWidth="1"/>
    <col min="3842" max="3847" width="10.7109375" style="82" customWidth="1"/>
    <col min="3848" max="3848" width="5.7109375" style="82" customWidth="1"/>
    <col min="3849" max="3849" width="27.7109375" style="82" customWidth="1"/>
    <col min="3850" max="3850" width="11" style="82" customWidth="1"/>
    <col min="3851" max="3851" width="27.7109375" style="82" customWidth="1"/>
    <col min="3852" max="3852" width="11.42578125" style="82"/>
    <col min="3853" max="3853" width="2.5703125" style="82" customWidth="1"/>
    <col min="3854" max="3854" width="5.7109375" style="82" customWidth="1"/>
    <col min="3855" max="3855" width="27.7109375" style="82" customWidth="1"/>
    <col min="3856" max="4096" width="11.42578125" style="82"/>
    <col min="4097" max="4097" width="5.7109375" style="82" customWidth="1"/>
    <col min="4098" max="4103" width="10.7109375" style="82" customWidth="1"/>
    <col min="4104" max="4104" width="5.7109375" style="82" customWidth="1"/>
    <col min="4105" max="4105" width="27.7109375" style="82" customWidth="1"/>
    <col min="4106" max="4106" width="11" style="82" customWidth="1"/>
    <col min="4107" max="4107" width="27.7109375" style="82" customWidth="1"/>
    <col min="4108" max="4108" width="11.42578125" style="82"/>
    <col min="4109" max="4109" width="2.5703125" style="82" customWidth="1"/>
    <col min="4110" max="4110" width="5.7109375" style="82" customWidth="1"/>
    <col min="4111" max="4111" width="27.7109375" style="82" customWidth="1"/>
    <col min="4112" max="4352" width="11.42578125" style="82"/>
    <col min="4353" max="4353" width="5.7109375" style="82" customWidth="1"/>
    <col min="4354" max="4359" width="10.7109375" style="82" customWidth="1"/>
    <col min="4360" max="4360" width="5.7109375" style="82" customWidth="1"/>
    <col min="4361" max="4361" width="27.7109375" style="82" customWidth="1"/>
    <col min="4362" max="4362" width="11" style="82" customWidth="1"/>
    <col min="4363" max="4363" width="27.7109375" style="82" customWidth="1"/>
    <col min="4364" max="4364" width="11.42578125" style="82"/>
    <col min="4365" max="4365" width="2.5703125" style="82" customWidth="1"/>
    <col min="4366" max="4366" width="5.7109375" style="82" customWidth="1"/>
    <col min="4367" max="4367" width="27.7109375" style="82" customWidth="1"/>
    <col min="4368" max="4608" width="11.42578125" style="82"/>
    <col min="4609" max="4609" width="5.7109375" style="82" customWidth="1"/>
    <col min="4610" max="4615" width="10.7109375" style="82" customWidth="1"/>
    <col min="4616" max="4616" width="5.7109375" style="82" customWidth="1"/>
    <col min="4617" max="4617" width="27.7109375" style="82" customWidth="1"/>
    <col min="4618" max="4618" width="11" style="82" customWidth="1"/>
    <col min="4619" max="4619" width="27.7109375" style="82" customWidth="1"/>
    <col min="4620" max="4620" width="11.42578125" style="82"/>
    <col min="4621" max="4621" width="2.5703125" style="82" customWidth="1"/>
    <col min="4622" max="4622" width="5.7109375" style="82" customWidth="1"/>
    <col min="4623" max="4623" width="27.7109375" style="82" customWidth="1"/>
    <col min="4624" max="4864" width="11.42578125" style="82"/>
    <col min="4865" max="4865" width="5.7109375" style="82" customWidth="1"/>
    <col min="4866" max="4871" width="10.7109375" style="82" customWidth="1"/>
    <col min="4872" max="4872" width="5.7109375" style="82" customWidth="1"/>
    <col min="4873" max="4873" width="27.7109375" style="82" customWidth="1"/>
    <col min="4874" max="4874" width="11" style="82" customWidth="1"/>
    <col min="4875" max="4875" width="27.7109375" style="82" customWidth="1"/>
    <col min="4876" max="4876" width="11.42578125" style="82"/>
    <col min="4877" max="4877" width="2.5703125" style="82" customWidth="1"/>
    <col min="4878" max="4878" width="5.7109375" style="82" customWidth="1"/>
    <col min="4879" max="4879" width="27.7109375" style="82" customWidth="1"/>
    <col min="4880" max="5120" width="11.42578125" style="82"/>
    <col min="5121" max="5121" width="5.7109375" style="82" customWidth="1"/>
    <col min="5122" max="5127" width="10.7109375" style="82" customWidth="1"/>
    <col min="5128" max="5128" width="5.7109375" style="82" customWidth="1"/>
    <col min="5129" max="5129" width="27.7109375" style="82" customWidth="1"/>
    <col min="5130" max="5130" width="11" style="82" customWidth="1"/>
    <col min="5131" max="5131" width="27.7109375" style="82" customWidth="1"/>
    <col min="5132" max="5132" width="11.42578125" style="82"/>
    <col min="5133" max="5133" width="2.5703125" style="82" customWidth="1"/>
    <col min="5134" max="5134" width="5.7109375" style="82" customWidth="1"/>
    <col min="5135" max="5135" width="27.7109375" style="82" customWidth="1"/>
    <col min="5136" max="5376" width="11.42578125" style="82"/>
    <col min="5377" max="5377" width="5.7109375" style="82" customWidth="1"/>
    <col min="5378" max="5383" width="10.7109375" style="82" customWidth="1"/>
    <col min="5384" max="5384" width="5.7109375" style="82" customWidth="1"/>
    <col min="5385" max="5385" width="27.7109375" style="82" customWidth="1"/>
    <col min="5386" max="5386" width="11" style="82" customWidth="1"/>
    <col min="5387" max="5387" width="27.7109375" style="82" customWidth="1"/>
    <col min="5388" max="5388" width="11.42578125" style="82"/>
    <col min="5389" max="5389" width="2.5703125" style="82" customWidth="1"/>
    <col min="5390" max="5390" width="5.7109375" style="82" customWidth="1"/>
    <col min="5391" max="5391" width="27.7109375" style="82" customWidth="1"/>
    <col min="5392" max="5632" width="11.42578125" style="82"/>
    <col min="5633" max="5633" width="5.7109375" style="82" customWidth="1"/>
    <col min="5634" max="5639" width="10.7109375" style="82" customWidth="1"/>
    <col min="5640" max="5640" width="5.7109375" style="82" customWidth="1"/>
    <col min="5641" max="5641" width="27.7109375" style="82" customWidth="1"/>
    <col min="5642" max="5642" width="11" style="82" customWidth="1"/>
    <col min="5643" max="5643" width="27.7109375" style="82" customWidth="1"/>
    <col min="5644" max="5644" width="11.42578125" style="82"/>
    <col min="5645" max="5645" width="2.5703125" style="82" customWidth="1"/>
    <col min="5646" max="5646" width="5.7109375" style="82" customWidth="1"/>
    <col min="5647" max="5647" width="27.7109375" style="82" customWidth="1"/>
    <col min="5648" max="5888" width="11.42578125" style="82"/>
    <col min="5889" max="5889" width="5.7109375" style="82" customWidth="1"/>
    <col min="5890" max="5895" width="10.7109375" style="82" customWidth="1"/>
    <col min="5896" max="5896" width="5.7109375" style="82" customWidth="1"/>
    <col min="5897" max="5897" width="27.7109375" style="82" customWidth="1"/>
    <col min="5898" max="5898" width="11" style="82" customWidth="1"/>
    <col min="5899" max="5899" width="27.7109375" style="82" customWidth="1"/>
    <col min="5900" max="5900" width="11.42578125" style="82"/>
    <col min="5901" max="5901" width="2.5703125" style="82" customWidth="1"/>
    <col min="5902" max="5902" width="5.7109375" style="82" customWidth="1"/>
    <col min="5903" max="5903" width="27.7109375" style="82" customWidth="1"/>
    <col min="5904" max="6144" width="11.42578125" style="82"/>
    <col min="6145" max="6145" width="5.7109375" style="82" customWidth="1"/>
    <col min="6146" max="6151" width="10.7109375" style="82" customWidth="1"/>
    <col min="6152" max="6152" width="5.7109375" style="82" customWidth="1"/>
    <col min="6153" max="6153" width="27.7109375" style="82" customWidth="1"/>
    <col min="6154" max="6154" width="11" style="82" customWidth="1"/>
    <col min="6155" max="6155" width="27.7109375" style="82" customWidth="1"/>
    <col min="6156" max="6156" width="11.42578125" style="82"/>
    <col min="6157" max="6157" width="2.5703125" style="82" customWidth="1"/>
    <col min="6158" max="6158" width="5.7109375" style="82" customWidth="1"/>
    <col min="6159" max="6159" width="27.7109375" style="82" customWidth="1"/>
    <col min="6160" max="6400" width="11.42578125" style="82"/>
    <col min="6401" max="6401" width="5.7109375" style="82" customWidth="1"/>
    <col min="6402" max="6407" width="10.7109375" style="82" customWidth="1"/>
    <col min="6408" max="6408" width="5.7109375" style="82" customWidth="1"/>
    <col min="6409" max="6409" width="27.7109375" style="82" customWidth="1"/>
    <col min="6410" max="6410" width="11" style="82" customWidth="1"/>
    <col min="6411" max="6411" width="27.7109375" style="82" customWidth="1"/>
    <col min="6412" max="6412" width="11.42578125" style="82"/>
    <col min="6413" max="6413" width="2.5703125" style="82" customWidth="1"/>
    <col min="6414" max="6414" width="5.7109375" style="82" customWidth="1"/>
    <col min="6415" max="6415" width="27.7109375" style="82" customWidth="1"/>
    <col min="6416" max="6656" width="11.42578125" style="82"/>
    <col min="6657" max="6657" width="5.7109375" style="82" customWidth="1"/>
    <col min="6658" max="6663" width="10.7109375" style="82" customWidth="1"/>
    <col min="6664" max="6664" width="5.7109375" style="82" customWidth="1"/>
    <col min="6665" max="6665" width="27.7109375" style="82" customWidth="1"/>
    <col min="6666" max="6666" width="11" style="82" customWidth="1"/>
    <col min="6667" max="6667" width="27.7109375" style="82" customWidth="1"/>
    <col min="6668" max="6668" width="11.42578125" style="82"/>
    <col min="6669" max="6669" width="2.5703125" style="82" customWidth="1"/>
    <col min="6670" max="6670" width="5.7109375" style="82" customWidth="1"/>
    <col min="6671" max="6671" width="27.7109375" style="82" customWidth="1"/>
    <col min="6672" max="6912" width="11.42578125" style="82"/>
    <col min="6913" max="6913" width="5.7109375" style="82" customWidth="1"/>
    <col min="6914" max="6919" width="10.7109375" style="82" customWidth="1"/>
    <col min="6920" max="6920" width="5.7109375" style="82" customWidth="1"/>
    <col min="6921" max="6921" width="27.7109375" style="82" customWidth="1"/>
    <col min="6922" max="6922" width="11" style="82" customWidth="1"/>
    <col min="6923" max="6923" width="27.7109375" style="82" customWidth="1"/>
    <col min="6924" max="6924" width="11.42578125" style="82"/>
    <col min="6925" max="6925" width="2.5703125" style="82" customWidth="1"/>
    <col min="6926" max="6926" width="5.7109375" style="82" customWidth="1"/>
    <col min="6927" max="6927" width="27.7109375" style="82" customWidth="1"/>
    <col min="6928" max="7168" width="11.42578125" style="82"/>
    <col min="7169" max="7169" width="5.7109375" style="82" customWidth="1"/>
    <col min="7170" max="7175" width="10.7109375" style="82" customWidth="1"/>
    <col min="7176" max="7176" width="5.7109375" style="82" customWidth="1"/>
    <col min="7177" max="7177" width="27.7109375" style="82" customWidth="1"/>
    <col min="7178" max="7178" width="11" style="82" customWidth="1"/>
    <col min="7179" max="7179" width="27.7109375" style="82" customWidth="1"/>
    <col min="7180" max="7180" width="11.42578125" style="82"/>
    <col min="7181" max="7181" width="2.5703125" style="82" customWidth="1"/>
    <col min="7182" max="7182" width="5.7109375" style="82" customWidth="1"/>
    <col min="7183" max="7183" width="27.7109375" style="82" customWidth="1"/>
    <col min="7184" max="7424" width="11.42578125" style="82"/>
    <col min="7425" max="7425" width="5.7109375" style="82" customWidth="1"/>
    <col min="7426" max="7431" width="10.7109375" style="82" customWidth="1"/>
    <col min="7432" max="7432" width="5.7109375" style="82" customWidth="1"/>
    <col min="7433" max="7433" width="27.7109375" style="82" customWidth="1"/>
    <col min="7434" max="7434" width="11" style="82" customWidth="1"/>
    <col min="7435" max="7435" width="27.7109375" style="82" customWidth="1"/>
    <col min="7436" max="7436" width="11.42578125" style="82"/>
    <col min="7437" max="7437" width="2.5703125" style="82" customWidth="1"/>
    <col min="7438" max="7438" width="5.7109375" style="82" customWidth="1"/>
    <col min="7439" max="7439" width="27.7109375" style="82" customWidth="1"/>
    <col min="7440" max="7680" width="11.42578125" style="82"/>
    <col min="7681" max="7681" width="5.7109375" style="82" customWidth="1"/>
    <col min="7682" max="7687" width="10.7109375" style="82" customWidth="1"/>
    <col min="7688" max="7688" width="5.7109375" style="82" customWidth="1"/>
    <col min="7689" max="7689" width="27.7109375" style="82" customWidth="1"/>
    <col min="7690" max="7690" width="11" style="82" customWidth="1"/>
    <col min="7691" max="7691" width="27.7109375" style="82" customWidth="1"/>
    <col min="7692" max="7692" width="11.42578125" style="82"/>
    <col min="7693" max="7693" width="2.5703125" style="82" customWidth="1"/>
    <col min="7694" max="7694" width="5.7109375" style="82" customWidth="1"/>
    <col min="7695" max="7695" width="27.7109375" style="82" customWidth="1"/>
    <col min="7696" max="7936" width="11.42578125" style="82"/>
    <col min="7937" max="7937" width="5.7109375" style="82" customWidth="1"/>
    <col min="7938" max="7943" width="10.7109375" style="82" customWidth="1"/>
    <col min="7944" max="7944" width="5.7109375" style="82" customWidth="1"/>
    <col min="7945" max="7945" width="27.7109375" style="82" customWidth="1"/>
    <col min="7946" max="7946" width="11" style="82" customWidth="1"/>
    <col min="7947" max="7947" width="27.7109375" style="82" customWidth="1"/>
    <col min="7948" max="7948" width="11.42578125" style="82"/>
    <col min="7949" max="7949" width="2.5703125" style="82" customWidth="1"/>
    <col min="7950" max="7950" width="5.7109375" style="82" customWidth="1"/>
    <col min="7951" max="7951" width="27.7109375" style="82" customWidth="1"/>
    <col min="7952" max="8192" width="11.42578125" style="82"/>
    <col min="8193" max="8193" width="5.7109375" style="82" customWidth="1"/>
    <col min="8194" max="8199" width="10.7109375" style="82" customWidth="1"/>
    <col min="8200" max="8200" width="5.7109375" style="82" customWidth="1"/>
    <col min="8201" max="8201" width="27.7109375" style="82" customWidth="1"/>
    <col min="8202" max="8202" width="11" style="82" customWidth="1"/>
    <col min="8203" max="8203" width="27.7109375" style="82" customWidth="1"/>
    <col min="8204" max="8204" width="11.42578125" style="82"/>
    <col min="8205" max="8205" width="2.5703125" style="82" customWidth="1"/>
    <col min="8206" max="8206" width="5.7109375" style="82" customWidth="1"/>
    <col min="8207" max="8207" width="27.7109375" style="82" customWidth="1"/>
    <col min="8208" max="8448" width="11.42578125" style="82"/>
    <col min="8449" max="8449" width="5.7109375" style="82" customWidth="1"/>
    <col min="8450" max="8455" width="10.7109375" style="82" customWidth="1"/>
    <col min="8456" max="8456" width="5.7109375" style="82" customWidth="1"/>
    <col min="8457" max="8457" width="27.7109375" style="82" customWidth="1"/>
    <col min="8458" max="8458" width="11" style="82" customWidth="1"/>
    <col min="8459" max="8459" width="27.7109375" style="82" customWidth="1"/>
    <col min="8460" max="8460" width="11.42578125" style="82"/>
    <col min="8461" max="8461" width="2.5703125" style="82" customWidth="1"/>
    <col min="8462" max="8462" width="5.7109375" style="82" customWidth="1"/>
    <col min="8463" max="8463" width="27.7109375" style="82" customWidth="1"/>
    <col min="8464" max="8704" width="11.42578125" style="82"/>
    <col min="8705" max="8705" width="5.7109375" style="82" customWidth="1"/>
    <col min="8706" max="8711" width="10.7109375" style="82" customWidth="1"/>
    <col min="8712" max="8712" width="5.7109375" style="82" customWidth="1"/>
    <col min="8713" max="8713" width="27.7109375" style="82" customWidth="1"/>
    <col min="8714" max="8714" width="11" style="82" customWidth="1"/>
    <col min="8715" max="8715" width="27.7109375" style="82" customWidth="1"/>
    <col min="8716" max="8716" width="11.42578125" style="82"/>
    <col min="8717" max="8717" width="2.5703125" style="82" customWidth="1"/>
    <col min="8718" max="8718" width="5.7109375" style="82" customWidth="1"/>
    <col min="8719" max="8719" width="27.7109375" style="82" customWidth="1"/>
    <col min="8720" max="8960" width="11.42578125" style="82"/>
    <col min="8961" max="8961" width="5.7109375" style="82" customWidth="1"/>
    <col min="8962" max="8967" width="10.7109375" style="82" customWidth="1"/>
    <col min="8968" max="8968" width="5.7109375" style="82" customWidth="1"/>
    <col min="8969" max="8969" width="27.7109375" style="82" customWidth="1"/>
    <col min="8970" max="8970" width="11" style="82" customWidth="1"/>
    <col min="8971" max="8971" width="27.7109375" style="82" customWidth="1"/>
    <col min="8972" max="8972" width="11.42578125" style="82"/>
    <col min="8973" max="8973" width="2.5703125" style="82" customWidth="1"/>
    <col min="8974" max="8974" width="5.7109375" style="82" customWidth="1"/>
    <col min="8975" max="8975" width="27.7109375" style="82" customWidth="1"/>
    <col min="8976" max="9216" width="11.42578125" style="82"/>
    <col min="9217" max="9217" width="5.7109375" style="82" customWidth="1"/>
    <col min="9218" max="9223" width="10.7109375" style="82" customWidth="1"/>
    <col min="9224" max="9224" width="5.7109375" style="82" customWidth="1"/>
    <col min="9225" max="9225" width="27.7109375" style="82" customWidth="1"/>
    <col min="9226" max="9226" width="11" style="82" customWidth="1"/>
    <col min="9227" max="9227" width="27.7109375" style="82" customWidth="1"/>
    <col min="9228" max="9228" width="11.42578125" style="82"/>
    <col min="9229" max="9229" width="2.5703125" style="82" customWidth="1"/>
    <col min="9230" max="9230" width="5.7109375" style="82" customWidth="1"/>
    <col min="9231" max="9231" width="27.7109375" style="82" customWidth="1"/>
    <col min="9232" max="9472" width="11.42578125" style="82"/>
    <col min="9473" max="9473" width="5.7109375" style="82" customWidth="1"/>
    <col min="9474" max="9479" width="10.7109375" style="82" customWidth="1"/>
    <col min="9480" max="9480" width="5.7109375" style="82" customWidth="1"/>
    <col min="9481" max="9481" width="27.7109375" style="82" customWidth="1"/>
    <col min="9482" max="9482" width="11" style="82" customWidth="1"/>
    <col min="9483" max="9483" width="27.7109375" style="82" customWidth="1"/>
    <col min="9484" max="9484" width="11.42578125" style="82"/>
    <col min="9485" max="9485" width="2.5703125" style="82" customWidth="1"/>
    <col min="9486" max="9486" width="5.7109375" style="82" customWidth="1"/>
    <col min="9487" max="9487" width="27.7109375" style="82" customWidth="1"/>
    <col min="9488" max="9728" width="11.42578125" style="82"/>
    <col min="9729" max="9729" width="5.7109375" style="82" customWidth="1"/>
    <col min="9730" max="9735" width="10.7109375" style="82" customWidth="1"/>
    <col min="9736" max="9736" width="5.7109375" style="82" customWidth="1"/>
    <col min="9737" max="9737" width="27.7109375" style="82" customWidth="1"/>
    <col min="9738" max="9738" width="11" style="82" customWidth="1"/>
    <col min="9739" max="9739" width="27.7109375" style="82" customWidth="1"/>
    <col min="9740" max="9740" width="11.42578125" style="82"/>
    <col min="9741" max="9741" width="2.5703125" style="82" customWidth="1"/>
    <col min="9742" max="9742" width="5.7109375" style="82" customWidth="1"/>
    <col min="9743" max="9743" width="27.7109375" style="82" customWidth="1"/>
    <col min="9744" max="9984" width="11.42578125" style="82"/>
    <col min="9985" max="9985" width="5.7109375" style="82" customWidth="1"/>
    <col min="9986" max="9991" width="10.7109375" style="82" customWidth="1"/>
    <col min="9992" max="9992" width="5.7109375" style="82" customWidth="1"/>
    <col min="9993" max="9993" width="27.7109375" style="82" customWidth="1"/>
    <col min="9994" max="9994" width="11" style="82" customWidth="1"/>
    <col min="9995" max="9995" width="27.7109375" style="82" customWidth="1"/>
    <col min="9996" max="9996" width="11.42578125" style="82"/>
    <col min="9997" max="9997" width="2.5703125" style="82" customWidth="1"/>
    <col min="9998" max="9998" width="5.7109375" style="82" customWidth="1"/>
    <col min="9999" max="9999" width="27.7109375" style="82" customWidth="1"/>
    <col min="10000" max="10240" width="11.42578125" style="82"/>
    <col min="10241" max="10241" width="5.7109375" style="82" customWidth="1"/>
    <col min="10242" max="10247" width="10.7109375" style="82" customWidth="1"/>
    <col min="10248" max="10248" width="5.7109375" style="82" customWidth="1"/>
    <col min="10249" max="10249" width="27.7109375" style="82" customWidth="1"/>
    <col min="10250" max="10250" width="11" style="82" customWidth="1"/>
    <col min="10251" max="10251" width="27.7109375" style="82" customWidth="1"/>
    <col min="10252" max="10252" width="11.42578125" style="82"/>
    <col min="10253" max="10253" width="2.5703125" style="82" customWidth="1"/>
    <col min="10254" max="10254" width="5.7109375" style="82" customWidth="1"/>
    <col min="10255" max="10255" width="27.7109375" style="82" customWidth="1"/>
    <col min="10256" max="10496" width="11.42578125" style="82"/>
    <col min="10497" max="10497" width="5.7109375" style="82" customWidth="1"/>
    <col min="10498" max="10503" width="10.7109375" style="82" customWidth="1"/>
    <col min="10504" max="10504" width="5.7109375" style="82" customWidth="1"/>
    <col min="10505" max="10505" width="27.7109375" style="82" customWidth="1"/>
    <col min="10506" max="10506" width="11" style="82" customWidth="1"/>
    <col min="10507" max="10507" width="27.7109375" style="82" customWidth="1"/>
    <col min="10508" max="10508" width="11.42578125" style="82"/>
    <col min="10509" max="10509" width="2.5703125" style="82" customWidth="1"/>
    <col min="10510" max="10510" width="5.7109375" style="82" customWidth="1"/>
    <col min="10511" max="10511" width="27.7109375" style="82" customWidth="1"/>
    <col min="10512" max="10752" width="11.42578125" style="82"/>
    <col min="10753" max="10753" width="5.7109375" style="82" customWidth="1"/>
    <col min="10754" max="10759" width="10.7109375" style="82" customWidth="1"/>
    <col min="10760" max="10760" width="5.7109375" style="82" customWidth="1"/>
    <col min="10761" max="10761" width="27.7109375" style="82" customWidth="1"/>
    <col min="10762" max="10762" width="11" style="82" customWidth="1"/>
    <col min="10763" max="10763" width="27.7109375" style="82" customWidth="1"/>
    <col min="10764" max="10764" width="11.42578125" style="82"/>
    <col min="10765" max="10765" width="2.5703125" style="82" customWidth="1"/>
    <col min="10766" max="10766" width="5.7109375" style="82" customWidth="1"/>
    <col min="10767" max="10767" width="27.7109375" style="82" customWidth="1"/>
    <col min="10768" max="11008" width="11.42578125" style="82"/>
    <col min="11009" max="11009" width="5.7109375" style="82" customWidth="1"/>
    <col min="11010" max="11015" width="10.7109375" style="82" customWidth="1"/>
    <col min="11016" max="11016" width="5.7109375" style="82" customWidth="1"/>
    <col min="11017" max="11017" width="27.7109375" style="82" customWidth="1"/>
    <col min="11018" max="11018" width="11" style="82" customWidth="1"/>
    <col min="11019" max="11019" width="27.7109375" style="82" customWidth="1"/>
    <col min="11020" max="11020" width="11.42578125" style="82"/>
    <col min="11021" max="11021" width="2.5703125" style="82" customWidth="1"/>
    <col min="11022" max="11022" width="5.7109375" style="82" customWidth="1"/>
    <col min="11023" max="11023" width="27.7109375" style="82" customWidth="1"/>
    <col min="11024" max="11264" width="11.42578125" style="82"/>
    <col min="11265" max="11265" width="5.7109375" style="82" customWidth="1"/>
    <col min="11266" max="11271" width="10.7109375" style="82" customWidth="1"/>
    <col min="11272" max="11272" width="5.7109375" style="82" customWidth="1"/>
    <col min="11273" max="11273" width="27.7109375" style="82" customWidth="1"/>
    <col min="11274" max="11274" width="11" style="82" customWidth="1"/>
    <col min="11275" max="11275" width="27.7109375" style="82" customWidth="1"/>
    <col min="11276" max="11276" width="11.42578125" style="82"/>
    <col min="11277" max="11277" width="2.5703125" style="82" customWidth="1"/>
    <col min="11278" max="11278" width="5.7109375" style="82" customWidth="1"/>
    <col min="11279" max="11279" width="27.7109375" style="82" customWidth="1"/>
    <col min="11280" max="11520" width="11.42578125" style="82"/>
    <col min="11521" max="11521" width="5.7109375" style="82" customWidth="1"/>
    <col min="11522" max="11527" width="10.7109375" style="82" customWidth="1"/>
    <col min="11528" max="11528" width="5.7109375" style="82" customWidth="1"/>
    <col min="11529" max="11529" width="27.7109375" style="82" customWidth="1"/>
    <col min="11530" max="11530" width="11" style="82" customWidth="1"/>
    <col min="11531" max="11531" width="27.7109375" style="82" customWidth="1"/>
    <col min="11532" max="11532" width="11.42578125" style="82"/>
    <col min="11533" max="11533" width="2.5703125" style="82" customWidth="1"/>
    <col min="11534" max="11534" width="5.7109375" style="82" customWidth="1"/>
    <col min="11535" max="11535" width="27.7109375" style="82" customWidth="1"/>
    <col min="11536" max="11776" width="11.42578125" style="82"/>
    <col min="11777" max="11777" width="5.7109375" style="82" customWidth="1"/>
    <col min="11778" max="11783" width="10.7109375" style="82" customWidth="1"/>
    <col min="11784" max="11784" width="5.7109375" style="82" customWidth="1"/>
    <col min="11785" max="11785" width="27.7109375" style="82" customWidth="1"/>
    <col min="11786" max="11786" width="11" style="82" customWidth="1"/>
    <col min="11787" max="11787" width="27.7109375" style="82" customWidth="1"/>
    <col min="11788" max="11788" width="11.42578125" style="82"/>
    <col min="11789" max="11789" width="2.5703125" style="82" customWidth="1"/>
    <col min="11790" max="11790" width="5.7109375" style="82" customWidth="1"/>
    <col min="11791" max="11791" width="27.7109375" style="82" customWidth="1"/>
    <col min="11792" max="12032" width="11.42578125" style="82"/>
    <col min="12033" max="12033" width="5.7109375" style="82" customWidth="1"/>
    <col min="12034" max="12039" width="10.7109375" style="82" customWidth="1"/>
    <col min="12040" max="12040" width="5.7109375" style="82" customWidth="1"/>
    <col min="12041" max="12041" width="27.7109375" style="82" customWidth="1"/>
    <col min="12042" max="12042" width="11" style="82" customWidth="1"/>
    <col min="12043" max="12043" width="27.7109375" style="82" customWidth="1"/>
    <col min="12044" max="12044" width="11.42578125" style="82"/>
    <col min="12045" max="12045" width="2.5703125" style="82" customWidth="1"/>
    <col min="12046" max="12046" width="5.7109375" style="82" customWidth="1"/>
    <col min="12047" max="12047" width="27.7109375" style="82" customWidth="1"/>
    <col min="12048" max="12288" width="11.42578125" style="82"/>
    <col min="12289" max="12289" width="5.7109375" style="82" customWidth="1"/>
    <col min="12290" max="12295" width="10.7109375" style="82" customWidth="1"/>
    <col min="12296" max="12296" width="5.7109375" style="82" customWidth="1"/>
    <col min="12297" max="12297" width="27.7109375" style="82" customWidth="1"/>
    <col min="12298" max="12298" width="11" style="82" customWidth="1"/>
    <col min="12299" max="12299" width="27.7109375" style="82" customWidth="1"/>
    <col min="12300" max="12300" width="11.42578125" style="82"/>
    <col min="12301" max="12301" width="2.5703125" style="82" customWidth="1"/>
    <col min="12302" max="12302" width="5.7109375" style="82" customWidth="1"/>
    <col min="12303" max="12303" width="27.7109375" style="82" customWidth="1"/>
    <col min="12304" max="12544" width="11.42578125" style="82"/>
    <col min="12545" max="12545" width="5.7109375" style="82" customWidth="1"/>
    <col min="12546" max="12551" width="10.7109375" style="82" customWidth="1"/>
    <col min="12552" max="12552" width="5.7109375" style="82" customWidth="1"/>
    <col min="12553" max="12553" width="27.7109375" style="82" customWidth="1"/>
    <col min="12554" max="12554" width="11" style="82" customWidth="1"/>
    <col min="12555" max="12555" width="27.7109375" style="82" customWidth="1"/>
    <col min="12556" max="12556" width="11.42578125" style="82"/>
    <col min="12557" max="12557" width="2.5703125" style="82" customWidth="1"/>
    <col min="12558" max="12558" width="5.7109375" style="82" customWidth="1"/>
    <col min="12559" max="12559" width="27.7109375" style="82" customWidth="1"/>
    <col min="12560" max="12800" width="11.42578125" style="82"/>
    <col min="12801" max="12801" width="5.7109375" style="82" customWidth="1"/>
    <col min="12802" max="12807" width="10.7109375" style="82" customWidth="1"/>
    <col min="12808" max="12808" width="5.7109375" style="82" customWidth="1"/>
    <col min="12809" max="12809" width="27.7109375" style="82" customWidth="1"/>
    <col min="12810" max="12810" width="11" style="82" customWidth="1"/>
    <col min="12811" max="12811" width="27.7109375" style="82" customWidth="1"/>
    <col min="12812" max="12812" width="11.42578125" style="82"/>
    <col min="12813" max="12813" width="2.5703125" style="82" customWidth="1"/>
    <col min="12814" max="12814" width="5.7109375" style="82" customWidth="1"/>
    <col min="12815" max="12815" width="27.7109375" style="82" customWidth="1"/>
    <col min="12816" max="13056" width="11.42578125" style="82"/>
    <col min="13057" max="13057" width="5.7109375" style="82" customWidth="1"/>
    <col min="13058" max="13063" width="10.7109375" style="82" customWidth="1"/>
    <col min="13064" max="13064" width="5.7109375" style="82" customWidth="1"/>
    <col min="13065" max="13065" width="27.7109375" style="82" customWidth="1"/>
    <col min="13066" max="13066" width="11" style="82" customWidth="1"/>
    <col min="13067" max="13067" width="27.7109375" style="82" customWidth="1"/>
    <col min="13068" max="13068" width="11.42578125" style="82"/>
    <col min="13069" max="13069" width="2.5703125" style="82" customWidth="1"/>
    <col min="13070" max="13070" width="5.7109375" style="82" customWidth="1"/>
    <col min="13071" max="13071" width="27.7109375" style="82" customWidth="1"/>
    <col min="13072" max="13312" width="11.42578125" style="82"/>
    <col min="13313" max="13313" width="5.7109375" style="82" customWidth="1"/>
    <col min="13314" max="13319" width="10.7109375" style="82" customWidth="1"/>
    <col min="13320" max="13320" width="5.7109375" style="82" customWidth="1"/>
    <col min="13321" max="13321" width="27.7109375" style="82" customWidth="1"/>
    <col min="13322" max="13322" width="11" style="82" customWidth="1"/>
    <col min="13323" max="13323" width="27.7109375" style="82" customWidth="1"/>
    <col min="13324" max="13324" width="11.42578125" style="82"/>
    <col min="13325" max="13325" width="2.5703125" style="82" customWidth="1"/>
    <col min="13326" max="13326" width="5.7109375" style="82" customWidth="1"/>
    <col min="13327" max="13327" width="27.7109375" style="82" customWidth="1"/>
    <col min="13328" max="13568" width="11.42578125" style="82"/>
    <col min="13569" max="13569" width="5.7109375" style="82" customWidth="1"/>
    <col min="13570" max="13575" width="10.7109375" style="82" customWidth="1"/>
    <col min="13576" max="13576" width="5.7109375" style="82" customWidth="1"/>
    <col min="13577" max="13577" width="27.7109375" style="82" customWidth="1"/>
    <col min="13578" max="13578" width="11" style="82" customWidth="1"/>
    <col min="13579" max="13579" width="27.7109375" style="82" customWidth="1"/>
    <col min="13580" max="13580" width="11.42578125" style="82"/>
    <col min="13581" max="13581" width="2.5703125" style="82" customWidth="1"/>
    <col min="13582" max="13582" width="5.7109375" style="82" customWidth="1"/>
    <col min="13583" max="13583" width="27.7109375" style="82" customWidth="1"/>
    <col min="13584" max="13824" width="11.42578125" style="82"/>
    <col min="13825" max="13825" width="5.7109375" style="82" customWidth="1"/>
    <col min="13826" max="13831" width="10.7109375" style="82" customWidth="1"/>
    <col min="13832" max="13832" width="5.7109375" style="82" customWidth="1"/>
    <col min="13833" max="13833" width="27.7109375" style="82" customWidth="1"/>
    <col min="13834" max="13834" width="11" style="82" customWidth="1"/>
    <col min="13835" max="13835" width="27.7109375" style="82" customWidth="1"/>
    <col min="13836" max="13836" width="11.42578125" style="82"/>
    <col min="13837" max="13837" width="2.5703125" style="82" customWidth="1"/>
    <col min="13838" max="13838" width="5.7109375" style="82" customWidth="1"/>
    <col min="13839" max="13839" width="27.7109375" style="82" customWidth="1"/>
    <col min="13840" max="14080" width="11.42578125" style="82"/>
    <col min="14081" max="14081" width="5.7109375" style="82" customWidth="1"/>
    <col min="14082" max="14087" width="10.7109375" style="82" customWidth="1"/>
    <col min="14088" max="14088" width="5.7109375" style="82" customWidth="1"/>
    <col min="14089" max="14089" width="27.7109375" style="82" customWidth="1"/>
    <col min="14090" max="14090" width="11" style="82" customWidth="1"/>
    <col min="14091" max="14091" width="27.7109375" style="82" customWidth="1"/>
    <col min="14092" max="14092" width="11.42578125" style="82"/>
    <col min="14093" max="14093" width="2.5703125" style="82" customWidth="1"/>
    <col min="14094" max="14094" width="5.7109375" style="82" customWidth="1"/>
    <col min="14095" max="14095" width="27.7109375" style="82" customWidth="1"/>
    <col min="14096" max="14336" width="11.42578125" style="82"/>
    <col min="14337" max="14337" width="5.7109375" style="82" customWidth="1"/>
    <col min="14338" max="14343" width="10.7109375" style="82" customWidth="1"/>
    <col min="14344" max="14344" width="5.7109375" style="82" customWidth="1"/>
    <col min="14345" max="14345" width="27.7109375" style="82" customWidth="1"/>
    <col min="14346" max="14346" width="11" style="82" customWidth="1"/>
    <col min="14347" max="14347" width="27.7109375" style="82" customWidth="1"/>
    <col min="14348" max="14348" width="11.42578125" style="82"/>
    <col min="14349" max="14349" width="2.5703125" style="82" customWidth="1"/>
    <col min="14350" max="14350" width="5.7109375" style="82" customWidth="1"/>
    <col min="14351" max="14351" width="27.7109375" style="82" customWidth="1"/>
    <col min="14352" max="14592" width="11.42578125" style="82"/>
    <col min="14593" max="14593" width="5.7109375" style="82" customWidth="1"/>
    <col min="14594" max="14599" width="10.7109375" style="82" customWidth="1"/>
    <col min="14600" max="14600" width="5.7109375" style="82" customWidth="1"/>
    <col min="14601" max="14601" width="27.7109375" style="82" customWidth="1"/>
    <col min="14602" max="14602" width="11" style="82" customWidth="1"/>
    <col min="14603" max="14603" width="27.7109375" style="82" customWidth="1"/>
    <col min="14604" max="14604" width="11.42578125" style="82"/>
    <col min="14605" max="14605" width="2.5703125" style="82" customWidth="1"/>
    <col min="14606" max="14606" width="5.7109375" style="82" customWidth="1"/>
    <col min="14607" max="14607" width="27.7109375" style="82" customWidth="1"/>
    <col min="14608" max="14848" width="11.42578125" style="82"/>
    <col min="14849" max="14849" width="5.7109375" style="82" customWidth="1"/>
    <col min="14850" max="14855" width="10.7109375" style="82" customWidth="1"/>
    <col min="14856" max="14856" width="5.7109375" style="82" customWidth="1"/>
    <col min="14857" max="14857" width="27.7109375" style="82" customWidth="1"/>
    <col min="14858" max="14858" width="11" style="82" customWidth="1"/>
    <col min="14859" max="14859" width="27.7109375" style="82" customWidth="1"/>
    <col min="14860" max="14860" width="11.42578125" style="82"/>
    <col min="14861" max="14861" width="2.5703125" style="82" customWidth="1"/>
    <col min="14862" max="14862" width="5.7109375" style="82" customWidth="1"/>
    <col min="14863" max="14863" width="27.7109375" style="82" customWidth="1"/>
    <col min="14864" max="15104" width="11.42578125" style="82"/>
    <col min="15105" max="15105" width="5.7109375" style="82" customWidth="1"/>
    <col min="15106" max="15111" width="10.7109375" style="82" customWidth="1"/>
    <col min="15112" max="15112" width="5.7109375" style="82" customWidth="1"/>
    <col min="15113" max="15113" width="27.7109375" style="82" customWidth="1"/>
    <col min="15114" max="15114" width="11" style="82" customWidth="1"/>
    <col min="15115" max="15115" width="27.7109375" style="82" customWidth="1"/>
    <col min="15116" max="15116" width="11.42578125" style="82"/>
    <col min="15117" max="15117" width="2.5703125" style="82" customWidth="1"/>
    <col min="15118" max="15118" width="5.7109375" style="82" customWidth="1"/>
    <col min="15119" max="15119" width="27.7109375" style="82" customWidth="1"/>
    <col min="15120" max="15360" width="11.42578125" style="82"/>
    <col min="15361" max="15361" width="5.7109375" style="82" customWidth="1"/>
    <col min="15362" max="15367" width="10.7109375" style="82" customWidth="1"/>
    <col min="15368" max="15368" width="5.7109375" style="82" customWidth="1"/>
    <col min="15369" max="15369" width="27.7109375" style="82" customWidth="1"/>
    <col min="15370" max="15370" width="11" style="82" customWidth="1"/>
    <col min="15371" max="15371" width="27.7109375" style="82" customWidth="1"/>
    <col min="15372" max="15372" width="11.42578125" style="82"/>
    <col min="15373" max="15373" width="2.5703125" style="82" customWidth="1"/>
    <col min="15374" max="15374" width="5.7109375" style="82" customWidth="1"/>
    <col min="15375" max="15375" width="27.7109375" style="82" customWidth="1"/>
    <col min="15376" max="15616" width="11.42578125" style="82"/>
    <col min="15617" max="15617" width="5.7109375" style="82" customWidth="1"/>
    <col min="15618" max="15623" width="10.7109375" style="82" customWidth="1"/>
    <col min="15624" max="15624" width="5.7109375" style="82" customWidth="1"/>
    <col min="15625" max="15625" width="27.7109375" style="82" customWidth="1"/>
    <col min="15626" max="15626" width="11" style="82" customWidth="1"/>
    <col min="15627" max="15627" width="27.7109375" style="82" customWidth="1"/>
    <col min="15628" max="15628" width="11.42578125" style="82"/>
    <col min="15629" max="15629" width="2.5703125" style="82" customWidth="1"/>
    <col min="15630" max="15630" width="5.7109375" style="82" customWidth="1"/>
    <col min="15631" max="15631" width="27.7109375" style="82" customWidth="1"/>
    <col min="15632" max="15872" width="11.42578125" style="82"/>
    <col min="15873" max="15873" width="5.7109375" style="82" customWidth="1"/>
    <col min="15874" max="15879" width="10.7109375" style="82" customWidth="1"/>
    <col min="15880" max="15880" width="5.7109375" style="82" customWidth="1"/>
    <col min="15881" max="15881" width="27.7109375" style="82" customWidth="1"/>
    <col min="15882" max="15882" width="11" style="82" customWidth="1"/>
    <col min="15883" max="15883" width="27.7109375" style="82" customWidth="1"/>
    <col min="15884" max="15884" width="11.42578125" style="82"/>
    <col min="15885" max="15885" width="2.5703125" style="82" customWidth="1"/>
    <col min="15886" max="15886" width="5.7109375" style="82" customWidth="1"/>
    <col min="15887" max="15887" width="27.7109375" style="82" customWidth="1"/>
    <col min="15888" max="16128" width="11.42578125" style="82"/>
    <col min="16129" max="16129" width="5.7109375" style="82" customWidth="1"/>
    <col min="16130" max="16135" width="10.7109375" style="82" customWidth="1"/>
    <col min="16136" max="16136" width="5.7109375" style="82" customWidth="1"/>
    <col min="16137" max="16137" width="27.7109375" style="82" customWidth="1"/>
    <col min="16138" max="16138" width="11" style="82" customWidth="1"/>
    <col min="16139" max="16139" width="27.7109375" style="82" customWidth="1"/>
    <col min="16140" max="16140" width="11.42578125" style="82"/>
    <col min="16141" max="16141" width="2.5703125" style="82" customWidth="1"/>
    <col min="16142" max="16142" width="5.7109375" style="82" customWidth="1"/>
    <col min="16143" max="16143" width="27.7109375" style="82" customWidth="1"/>
    <col min="16144" max="16384" width="11.42578125" style="82"/>
  </cols>
  <sheetData>
    <row r="1" spans="1:11" ht="12.75" customHeight="1" x14ac:dyDescent="0.2">
      <c r="A1" s="235"/>
      <c r="B1" s="235"/>
      <c r="C1" s="237" t="s">
        <v>402</v>
      </c>
      <c r="D1" s="237"/>
      <c r="E1" s="237"/>
      <c r="F1" s="237"/>
      <c r="G1" s="237"/>
      <c r="H1" s="237"/>
      <c r="I1" s="237"/>
      <c r="J1" s="139"/>
      <c r="K1" s="139"/>
    </row>
    <row r="2" spans="1:11" ht="41.25" customHeight="1" thickBot="1" x14ac:dyDescent="0.25">
      <c r="A2" s="236"/>
      <c r="B2" s="236"/>
      <c r="C2" s="238"/>
      <c r="D2" s="238"/>
      <c r="E2" s="238"/>
      <c r="F2" s="238"/>
      <c r="G2" s="238"/>
      <c r="H2" s="238"/>
      <c r="I2" s="238"/>
      <c r="J2" s="104"/>
      <c r="K2" s="104"/>
    </row>
    <row r="3" spans="1:11" x14ac:dyDescent="0.2">
      <c r="A3" s="239" t="s">
        <v>401</v>
      </c>
      <c r="B3" s="240"/>
      <c r="C3" s="135">
        <f>IF(ISBLANK([1]INTRO!C32),"",[1]INTRO!C32)</f>
        <v>730370001</v>
      </c>
      <c r="D3" s="136"/>
      <c r="E3" s="134"/>
      <c r="F3" s="132" t="s">
        <v>400</v>
      </c>
      <c r="G3" s="131"/>
      <c r="H3" s="138" t="str">
        <f>IF(ISBLANK([1]INTRO!C45),"",[1]INTRO!C45)</f>
        <v>DELRIN 100 NATURAL</v>
      </c>
      <c r="I3" s="137"/>
    </row>
    <row r="4" spans="1:11" x14ac:dyDescent="0.2">
      <c r="A4" s="239" t="s">
        <v>399</v>
      </c>
      <c r="B4" s="240"/>
      <c r="C4" s="135" t="str">
        <f>IF(ISBLANK([1]INTRO!C34),"",[1]INTRO!C34)</f>
        <v>Assy Drive Shaft</v>
      </c>
      <c r="D4" s="136"/>
      <c r="E4" s="134"/>
      <c r="F4" s="132" t="s">
        <v>398</v>
      </c>
      <c r="G4" s="131"/>
      <c r="H4" s="135" t="str">
        <f>IF(ISBLANK([1]INTRO!C49),"",[1]INTRO!C49)</f>
        <v>na</v>
      </c>
      <c r="I4" s="134"/>
      <c r="J4" s="94"/>
      <c r="K4" s="94"/>
    </row>
    <row r="5" spans="1:11" x14ac:dyDescent="0.2">
      <c r="A5" s="224" t="s">
        <v>397</v>
      </c>
      <c r="B5" s="225"/>
      <c r="C5" s="225"/>
      <c r="D5" s="226"/>
      <c r="E5" s="133"/>
      <c r="F5" s="132" t="s">
        <v>396</v>
      </c>
      <c r="G5" s="131"/>
      <c r="H5" s="241"/>
      <c r="I5" s="227"/>
      <c r="J5" s="94"/>
      <c r="K5" s="94"/>
    </row>
    <row r="6" spans="1:11" ht="14.25" customHeight="1" x14ac:dyDescent="0.2">
      <c r="A6" s="224" t="s">
        <v>395</v>
      </c>
      <c r="B6" s="225"/>
      <c r="C6" s="225"/>
      <c r="D6" s="226"/>
      <c r="E6" s="227"/>
      <c r="F6" s="227"/>
      <c r="G6" s="227"/>
      <c r="H6" s="227"/>
      <c r="I6" s="228"/>
    </row>
    <row r="7" spans="1:11" ht="14.25" customHeight="1" x14ac:dyDescent="0.2">
      <c r="A7" s="229"/>
      <c r="B7" s="230"/>
      <c r="C7" s="230"/>
      <c r="D7" s="230"/>
      <c r="E7" s="230"/>
      <c r="F7" s="230"/>
      <c r="G7" s="230"/>
      <c r="H7" s="230"/>
      <c r="I7" s="231"/>
      <c r="J7" s="94"/>
      <c r="K7" s="94"/>
    </row>
    <row r="8" spans="1:11" ht="14.25" customHeight="1" x14ac:dyDescent="0.2">
      <c r="A8" s="194" t="s">
        <v>394</v>
      </c>
      <c r="B8" s="194"/>
      <c r="C8" s="194"/>
      <c r="D8" s="101"/>
      <c r="E8" s="232" t="s">
        <v>393</v>
      </c>
      <c r="F8" s="233"/>
      <c r="G8" s="234"/>
      <c r="H8" s="94"/>
      <c r="I8" s="93"/>
      <c r="J8" s="94"/>
      <c r="K8" s="94"/>
    </row>
    <row r="9" spans="1:11" ht="15.75" customHeight="1" x14ac:dyDescent="0.2">
      <c r="A9" s="194"/>
      <c r="B9" s="194"/>
      <c r="C9" s="194"/>
      <c r="D9" s="101"/>
      <c r="E9" s="232"/>
      <c r="F9" s="233"/>
      <c r="G9" s="234"/>
      <c r="H9" s="94"/>
      <c r="I9" s="93"/>
    </row>
    <row r="10" spans="1:11" ht="15" x14ac:dyDescent="0.25">
      <c r="A10" s="126" t="s">
        <v>329</v>
      </c>
      <c r="B10" s="126" t="s">
        <v>328</v>
      </c>
      <c r="C10" s="126" t="s">
        <v>327</v>
      </c>
      <c r="D10" s="101"/>
      <c r="E10" s="130" t="s">
        <v>329</v>
      </c>
      <c r="F10" s="129" t="s">
        <v>392</v>
      </c>
      <c r="G10" s="128" t="s">
        <v>327</v>
      </c>
      <c r="H10" s="117"/>
      <c r="I10" s="118"/>
      <c r="J10" s="117"/>
      <c r="K10" s="117"/>
    </row>
    <row r="11" spans="1:11" ht="15" x14ac:dyDescent="0.25">
      <c r="A11" s="127" t="s">
        <v>391</v>
      </c>
      <c r="B11" s="126"/>
      <c r="C11" s="126"/>
      <c r="D11" s="101"/>
      <c r="E11" s="111" t="s">
        <v>390</v>
      </c>
      <c r="F11" s="125">
        <f>IF(B15*B20=0,B13,B15*B20)</f>
        <v>9</v>
      </c>
      <c r="G11" s="109" t="s">
        <v>386</v>
      </c>
      <c r="H11" s="94"/>
      <c r="I11" s="93"/>
    </row>
    <row r="12" spans="1:11" ht="15" x14ac:dyDescent="0.25">
      <c r="A12" s="103" t="s">
        <v>387</v>
      </c>
      <c r="B12" s="114"/>
      <c r="C12" s="103" t="s">
        <v>384</v>
      </c>
      <c r="D12" s="101"/>
      <c r="E12" s="111" t="s">
        <v>389</v>
      </c>
      <c r="F12" s="125">
        <f>IF(B16*B20=0,B14,B16*B20)</f>
        <v>12.5</v>
      </c>
      <c r="G12" s="109" t="s">
        <v>386</v>
      </c>
      <c r="H12" s="218"/>
      <c r="I12" s="219"/>
      <c r="J12" s="115"/>
      <c r="K12" s="115"/>
    </row>
    <row r="13" spans="1:11" ht="15" customHeight="1" x14ac:dyDescent="0.25">
      <c r="A13" s="103" t="s">
        <v>388</v>
      </c>
      <c r="B13" s="114">
        <v>9</v>
      </c>
      <c r="C13" s="103" t="s">
        <v>384</v>
      </c>
      <c r="D13" s="101"/>
      <c r="E13" s="111" t="s">
        <v>387</v>
      </c>
      <c r="F13" s="125">
        <f>IF(B12=0,(B13*B17)+B14*B18,B12)</f>
        <v>97</v>
      </c>
      <c r="G13" s="109" t="s">
        <v>386</v>
      </c>
      <c r="H13" s="94"/>
      <c r="I13" s="93"/>
      <c r="J13" s="94"/>
      <c r="K13" s="94"/>
    </row>
    <row r="14" spans="1:11" ht="15" customHeight="1" x14ac:dyDescent="0.25">
      <c r="A14" s="103" t="s">
        <v>385</v>
      </c>
      <c r="B14" s="114">
        <v>12.5</v>
      </c>
      <c r="C14" s="103" t="s">
        <v>384</v>
      </c>
      <c r="D14" s="101"/>
      <c r="E14" s="111" t="s">
        <v>383</v>
      </c>
      <c r="F14" s="124">
        <f>IFERROR(F13*(1.06/B20)/B19*100, 0)</f>
        <v>30.923308270676685</v>
      </c>
      <c r="G14" s="109" t="s">
        <v>382</v>
      </c>
      <c r="H14" s="94"/>
      <c r="I14" s="93"/>
      <c r="J14" s="94"/>
      <c r="K14" s="94"/>
    </row>
    <row r="15" spans="1:11" ht="15" customHeight="1" x14ac:dyDescent="0.25">
      <c r="A15" s="103" t="s">
        <v>381</v>
      </c>
      <c r="B15" s="114"/>
      <c r="C15" s="103" t="s">
        <v>332</v>
      </c>
      <c r="D15" s="101"/>
      <c r="E15" s="111" t="s">
        <v>379</v>
      </c>
      <c r="F15" s="124">
        <f>IFERROR(B19/F13*(1.06/B20)*B21,0)</f>
        <v>1824.0446477017288</v>
      </c>
      <c r="G15" s="109" t="s">
        <v>340</v>
      </c>
      <c r="H15" s="94"/>
      <c r="I15" s="93"/>
      <c r="J15" s="94"/>
      <c r="K15" s="94"/>
    </row>
    <row r="16" spans="1:11" ht="15" customHeight="1" x14ac:dyDescent="0.25">
      <c r="A16" s="103" t="s">
        <v>380</v>
      </c>
      <c r="B16" s="114"/>
      <c r="C16" s="103" t="s">
        <v>332</v>
      </c>
      <c r="D16" s="101"/>
      <c r="E16" s="111" t="s">
        <v>379</v>
      </c>
      <c r="F16" s="124">
        <f>CONVERT(F15,"sec","mn")</f>
        <v>30.400744128362145</v>
      </c>
      <c r="G16" s="109" t="s">
        <v>378</v>
      </c>
      <c r="H16" s="94"/>
      <c r="I16" s="93"/>
      <c r="J16" s="94"/>
      <c r="K16" s="94"/>
    </row>
    <row r="17" spans="1:11" ht="15" customHeight="1" x14ac:dyDescent="0.25">
      <c r="A17" s="103" t="s">
        <v>377</v>
      </c>
      <c r="B17" s="114">
        <v>8</v>
      </c>
      <c r="C17" s="103" t="s">
        <v>355</v>
      </c>
      <c r="D17" s="101"/>
      <c r="E17" s="221" t="s">
        <v>376</v>
      </c>
      <c r="F17" s="222"/>
      <c r="G17" s="223"/>
      <c r="H17" s="94"/>
      <c r="I17" s="93"/>
      <c r="J17" s="94"/>
      <c r="K17" s="94"/>
    </row>
    <row r="18" spans="1:11" ht="15" customHeight="1" x14ac:dyDescent="0.25">
      <c r="A18" s="103" t="s">
        <v>375</v>
      </c>
      <c r="B18" s="114">
        <v>2</v>
      </c>
      <c r="C18" s="103" t="s">
        <v>355</v>
      </c>
      <c r="D18" s="101"/>
      <c r="E18" s="111" t="s">
        <v>374</v>
      </c>
      <c r="F18" s="123">
        <f>IFERROR(3.6*F12/B21*B22, 0)</f>
        <v>0</v>
      </c>
      <c r="G18" s="109" t="s">
        <v>342</v>
      </c>
      <c r="H18" s="94"/>
      <c r="I18" s="93"/>
      <c r="J18" s="94"/>
      <c r="K18" s="94"/>
    </row>
    <row r="19" spans="1:11" ht="15.75" customHeight="1" x14ac:dyDescent="0.25">
      <c r="A19" s="103" t="s">
        <v>373</v>
      </c>
      <c r="B19" s="114">
        <v>250</v>
      </c>
      <c r="C19" s="103" t="s">
        <v>372</v>
      </c>
      <c r="D19" s="101"/>
      <c r="E19" s="111" t="s">
        <v>371</v>
      </c>
      <c r="F19" s="123">
        <f>IFERROR(3.6*F12/B21*B23,0)</f>
        <v>0</v>
      </c>
      <c r="G19" s="109" t="s">
        <v>342</v>
      </c>
      <c r="H19" s="94"/>
      <c r="I19" s="93"/>
    </row>
    <row r="20" spans="1:11" ht="15" x14ac:dyDescent="0.25">
      <c r="A20" s="103" t="s">
        <v>370</v>
      </c>
      <c r="B20" s="114">
        <v>1.33</v>
      </c>
      <c r="C20" s="103" t="s">
        <v>369</v>
      </c>
      <c r="D20" s="101"/>
      <c r="E20" s="221" t="s">
        <v>368</v>
      </c>
      <c r="F20" s="222"/>
      <c r="G20" s="223"/>
      <c r="H20" s="117"/>
      <c r="I20" s="118"/>
      <c r="J20" s="117"/>
      <c r="K20" s="117"/>
    </row>
    <row r="21" spans="1:11" ht="15" x14ac:dyDescent="0.25">
      <c r="A21" s="103" t="s">
        <v>246</v>
      </c>
      <c r="B21" s="114">
        <v>888</v>
      </c>
      <c r="C21" s="103" t="s">
        <v>340</v>
      </c>
      <c r="D21" s="101"/>
      <c r="E21" s="111" t="s">
        <v>367</v>
      </c>
      <c r="F21" s="116">
        <f>IFERROR((B27*B17+B28*B18)*B24,0)</f>
        <v>5.9767799999999989</v>
      </c>
      <c r="G21" s="109" t="s">
        <v>366</v>
      </c>
      <c r="H21" s="94"/>
      <c r="I21" s="93"/>
    </row>
    <row r="22" spans="1:11" ht="15" x14ac:dyDescent="0.25">
      <c r="A22" s="103" t="s">
        <v>365</v>
      </c>
      <c r="B22" s="114"/>
      <c r="C22" s="103" t="s">
        <v>362</v>
      </c>
      <c r="D22" s="101"/>
      <c r="E22" s="221" t="s">
        <v>364</v>
      </c>
      <c r="F22" s="222"/>
      <c r="G22" s="223"/>
      <c r="H22" s="218"/>
      <c r="I22" s="219"/>
      <c r="J22" s="115"/>
      <c r="K22" s="115"/>
    </row>
    <row r="23" spans="1:11" ht="15" customHeight="1" x14ac:dyDescent="0.25">
      <c r="A23" s="103" t="s">
        <v>363</v>
      </c>
      <c r="B23" s="114"/>
      <c r="C23" s="103" t="s">
        <v>362</v>
      </c>
      <c r="D23" s="101"/>
      <c r="E23" s="111" t="s">
        <v>361</v>
      </c>
      <c r="F23" s="122">
        <f>IFERROR((3600/B21)*B17,"0")</f>
        <v>32.432432432432435</v>
      </c>
      <c r="G23" s="109" t="s">
        <v>355</v>
      </c>
      <c r="H23" s="94"/>
      <c r="I23" s="93"/>
      <c r="J23" s="94"/>
      <c r="K23" s="94"/>
    </row>
    <row r="24" spans="1:11" ht="15" customHeight="1" x14ac:dyDescent="0.25">
      <c r="A24" s="103" t="s">
        <v>360</v>
      </c>
      <c r="B24" s="108">
        <v>0.14199999999999999</v>
      </c>
      <c r="C24" s="103" t="s">
        <v>272</v>
      </c>
      <c r="D24" s="101"/>
      <c r="E24" s="111" t="s">
        <v>359</v>
      </c>
      <c r="F24" s="122">
        <f>F23*8</f>
        <v>259.45945945945948</v>
      </c>
      <c r="G24" s="109" t="s">
        <v>355</v>
      </c>
      <c r="H24" s="94"/>
      <c r="I24" s="93"/>
      <c r="J24" s="94"/>
      <c r="K24" s="94"/>
    </row>
    <row r="25" spans="1:11" ht="15" customHeight="1" x14ac:dyDescent="0.25">
      <c r="A25" s="103" t="s">
        <v>354</v>
      </c>
      <c r="B25" s="108">
        <v>526</v>
      </c>
      <c r="C25" s="103" t="s">
        <v>357</v>
      </c>
      <c r="D25" s="102"/>
      <c r="E25" s="111" t="s">
        <v>358</v>
      </c>
      <c r="F25" s="122">
        <f>F23*24</f>
        <v>778.37837837837844</v>
      </c>
      <c r="G25" s="109" t="s">
        <v>355</v>
      </c>
      <c r="H25" s="94"/>
      <c r="I25" s="93"/>
      <c r="J25" s="94"/>
      <c r="K25" s="94"/>
    </row>
    <row r="26" spans="1:11" ht="15" customHeight="1" x14ac:dyDescent="0.25">
      <c r="A26" s="103" t="s">
        <v>351</v>
      </c>
      <c r="B26" s="108">
        <v>0.5</v>
      </c>
      <c r="C26" s="103" t="s">
        <v>357</v>
      </c>
      <c r="D26" s="102"/>
      <c r="E26" s="111" t="s">
        <v>356</v>
      </c>
      <c r="F26" s="121">
        <f>F23*6000</f>
        <v>194594.59459459462</v>
      </c>
      <c r="G26" s="109" t="s">
        <v>355</v>
      </c>
      <c r="H26" s="94"/>
      <c r="I26" s="93"/>
      <c r="J26" s="94"/>
      <c r="K26" s="94"/>
    </row>
    <row r="27" spans="1:11" ht="15" customHeight="1" x14ac:dyDescent="0.25">
      <c r="A27" s="103" t="s">
        <v>354</v>
      </c>
      <c r="B27" s="119">
        <f>B25*0.01</f>
        <v>5.26</v>
      </c>
      <c r="C27" s="103" t="s">
        <v>350</v>
      </c>
      <c r="D27" s="102"/>
      <c r="E27" s="111" t="s">
        <v>353</v>
      </c>
      <c r="F27" s="120">
        <f>IFERROR(B21*100/60/B17, " ")</f>
        <v>185</v>
      </c>
      <c r="G27" s="109" t="s">
        <v>352</v>
      </c>
      <c r="H27" s="94"/>
      <c r="I27" s="93"/>
      <c r="J27" s="94"/>
      <c r="K27" s="94"/>
    </row>
    <row r="28" spans="1:11" ht="15" customHeight="1" x14ac:dyDescent="0.25">
      <c r="A28" s="103" t="s">
        <v>351</v>
      </c>
      <c r="B28" s="119">
        <f>B26*0.01</f>
        <v>5.0000000000000001E-3</v>
      </c>
      <c r="C28" s="103" t="s">
        <v>350</v>
      </c>
      <c r="D28" s="102"/>
      <c r="E28" s="221" t="s">
        <v>349</v>
      </c>
      <c r="F28" s="222"/>
      <c r="G28" s="223"/>
      <c r="H28" s="94"/>
      <c r="I28" s="93"/>
      <c r="J28" s="94"/>
      <c r="K28" s="94"/>
    </row>
    <row r="29" spans="1:11" ht="15.75" customHeight="1" x14ac:dyDescent="0.25">
      <c r="A29" s="103" t="s">
        <v>348</v>
      </c>
      <c r="B29" s="114">
        <v>35</v>
      </c>
      <c r="C29" s="103" t="s">
        <v>323</v>
      </c>
      <c r="D29" s="102"/>
      <c r="E29" s="111" t="s">
        <v>347</v>
      </c>
      <c r="F29" s="116">
        <f>((3.6/B21)*F13)</f>
        <v>0.39324324324324328</v>
      </c>
      <c r="G29" s="109" t="s">
        <v>342</v>
      </c>
      <c r="H29" s="94"/>
      <c r="I29" s="93"/>
    </row>
    <row r="30" spans="1:11" ht="15" x14ac:dyDescent="0.25">
      <c r="A30" s="103" t="s">
        <v>346</v>
      </c>
      <c r="B30" s="114">
        <v>10</v>
      </c>
      <c r="C30" s="103" t="s">
        <v>323</v>
      </c>
      <c r="D30" s="102"/>
      <c r="E30" s="111" t="s">
        <v>345</v>
      </c>
      <c r="F30" s="116">
        <f>F29*8</f>
        <v>3.1459459459459462</v>
      </c>
      <c r="G30" s="109" t="s">
        <v>342</v>
      </c>
      <c r="H30" s="117"/>
      <c r="I30" s="118"/>
      <c r="J30" s="117"/>
      <c r="K30" s="117"/>
    </row>
    <row r="31" spans="1:11" ht="15" x14ac:dyDescent="0.25">
      <c r="A31" s="103" t="s">
        <v>344</v>
      </c>
      <c r="B31" s="114">
        <v>5</v>
      </c>
      <c r="C31" s="103" t="s">
        <v>323</v>
      </c>
      <c r="D31" s="102"/>
      <c r="E31" s="111" t="s">
        <v>343</v>
      </c>
      <c r="F31" s="116">
        <f>F29*24</f>
        <v>9.4378378378378383</v>
      </c>
      <c r="G31" s="109" t="s">
        <v>342</v>
      </c>
      <c r="H31" s="94"/>
      <c r="I31" s="93"/>
    </row>
    <row r="32" spans="1:11" ht="15" x14ac:dyDescent="0.25">
      <c r="A32" s="103" t="s">
        <v>341</v>
      </c>
      <c r="B32" s="114">
        <v>2</v>
      </c>
      <c r="C32" s="103" t="s">
        <v>340</v>
      </c>
      <c r="D32" s="102"/>
      <c r="E32" s="221" t="s">
        <v>339</v>
      </c>
      <c r="F32" s="222"/>
      <c r="G32" s="223"/>
      <c r="H32" s="218"/>
      <c r="I32" s="219"/>
      <c r="J32" s="115"/>
      <c r="K32" s="115"/>
    </row>
    <row r="33" spans="1:12" ht="15" customHeight="1" x14ac:dyDescent="0.25">
      <c r="A33" s="103" t="s">
        <v>326</v>
      </c>
      <c r="B33" s="114">
        <v>40</v>
      </c>
      <c r="C33" s="103" t="s">
        <v>338</v>
      </c>
      <c r="D33" s="102"/>
      <c r="E33" s="111" t="s">
        <v>337</v>
      </c>
      <c r="F33" s="113" t="s">
        <v>261</v>
      </c>
      <c r="G33" s="109" t="s">
        <v>323</v>
      </c>
      <c r="H33" s="94"/>
      <c r="I33" s="93"/>
      <c r="J33" s="94"/>
      <c r="K33" s="94"/>
    </row>
    <row r="34" spans="1:12" ht="15" customHeight="1" x14ac:dyDescent="0.25">
      <c r="A34" s="101"/>
      <c r="B34" s="101"/>
      <c r="C34" s="101"/>
      <c r="D34" s="102"/>
      <c r="E34" s="111" t="s">
        <v>336</v>
      </c>
      <c r="F34" s="110" t="e">
        <f>F33/B32</f>
        <v>#VALUE!</v>
      </c>
      <c r="G34" s="109" t="s">
        <v>335</v>
      </c>
      <c r="H34" s="94"/>
      <c r="I34" s="93"/>
      <c r="J34" s="94"/>
      <c r="K34" s="94"/>
    </row>
    <row r="35" spans="1:12" ht="15" customHeight="1" x14ac:dyDescent="0.25">
      <c r="A35" s="194" t="s">
        <v>334</v>
      </c>
      <c r="B35" s="194"/>
      <c r="C35" s="194"/>
      <c r="D35" s="102"/>
      <c r="E35" s="111" t="s">
        <v>333</v>
      </c>
      <c r="F35" s="110">
        <f>(B29*B29*PI()/4)*(B30-B31)*0.001</f>
        <v>4.8105637508093704</v>
      </c>
      <c r="G35" s="109" t="s">
        <v>332</v>
      </c>
      <c r="H35" s="94"/>
      <c r="I35" s="93"/>
      <c r="J35" s="94"/>
      <c r="K35" s="94"/>
    </row>
    <row r="36" spans="1:12" ht="15" customHeight="1" x14ac:dyDescent="0.25">
      <c r="A36" s="194"/>
      <c r="B36" s="194"/>
      <c r="C36" s="194"/>
      <c r="D36" s="102"/>
      <c r="E36" s="111" t="s">
        <v>331</v>
      </c>
      <c r="F36" s="110">
        <f>F35/B32</f>
        <v>2.4052818754046852</v>
      </c>
      <c r="G36" s="109" t="s">
        <v>330</v>
      </c>
      <c r="H36" s="94"/>
      <c r="I36" s="93"/>
      <c r="J36" s="94"/>
      <c r="K36" s="94"/>
    </row>
    <row r="37" spans="1:12" ht="15" customHeight="1" x14ac:dyDescent="0.25">
      <c r="A37" s="103" t="s">
        <v>329</v>
      </c>
      <c r="B37" s="103" t="s">
        <v>328</v>
      </c>
      <c r="C37" s="103" t="s">
        <v>327</v>
      </c>
      <c r="D37" s="102"/>
      <c r="E37" s="111" t="s">
        <v>326</v>
      </c>
      <c r="F37" s="110">
        <f>(B29*PI()*B33)/1000</f>
        <v>4.3982297150257104</v>
      </c>
      <c r="G37" s="109" t="s">
        <v>325</v>
      </c>
      <c r="H37" s="94"/>
      <c r="I37" s="93"/>
      <c r="J37" s="94"/>
      <c r="K37" s="94"/>
    </row>
    <row r="38" spans="1:12" ht="15" customHeight="1" x14ac:dyDescent="0.25">
      <c r="A38" s="103" t="s">
        <v>324</v>
      </c>
      <c r="B38" s="108">
        <v>12.25</v>
      </c>
      <c r="C38" s="103" t="s">
        <v>323</v>
      </c>
      <c r="D38" s="102"/>
      <c r="E38" s="102"/>
      <c r="F38" s="102"/>
      <c r="G38" s="112"/>
      <c r="H38" s="94"/>
      <c r="I38" s="93"/>
      <c r="J38" s="94"/>
      <c r="K38" s="94"/>
    </row>
    <row r="39" spans="1:12" ht="15" x14ac:dyDescent="0.25">
      <c r="A39" s="103" t="s">
        <v>322</v>
      </c>
      <c r="B39" s="108">
        <v>70</v>
      </c>
      <c r="C39" s="103" t="s">
        <v>321</v>
      </c>
      <c r="D39" s="102"/>
      <c r="E39" s="111" t="s">
        <v>320</v>
      </c>
      <c r="F39" s="110" t="s">
        <v>319</v>
      </c>
      <c r="G39" s="109" t="s">
        <v>318</v>
      </c>
      <c r="H39" s="94"/>
      <c r="I39" s="93"/>
    </row>
    <row r="40" spans="1:12" ht="15" x14ac:dyDescent="0.25">
      <c r="A40" s="103" t="s">
        <v>317</v>
      </c>
      <c r="B40" s="108">
        <v>1</v>
      </c>
      <c r="C40" s="103" t="s">
        <v>316</v>
      </c>
      <c r="D40" s="102"/>
      <c r="E40" s="86"/>
      <c r="F40" s="86"/>
      <c r="G40" s="107"/>
      <c r="H40" s="94"/>
      <c r="I40" s="93"/>
    </row>
    <row r="41" spans="1:12" ht="15" x14ac:dyDescent="0.25">
      <c r="A41" s="103"/>
      <c r="B41" s="106">
        <f>0.0000166667*B40</f>
        <v>1.6666700000000001E-5</v>
      </c>
      <c r="C41" s="103" t="s">
        <v>315</v>
      </c>
      <c r="D41" s="102"/>
      <c r="E41" s="86"/>
      <c r="F41" s="86"/>
      <c r="G41" s="83"/>
      <c r="H41" s="94"/>
      <c r="I41" s="93"/>
    </row>
    <row r="42" spans="1:12" ht="15" x14ac:dyDescent="0.25">
      <c r="A42" s="103" t="s">
        <v>314</v>
      </c>
      <c r="B42" s="103">
        <f>B39+273</f>
        <v>343</v>
      </c>
      <c r="C42" s="103" t="s">
        <v>313</v>
      </c>
      <c r="D42" s="102"/>
      <c r="E42" s="86"/>
      <c r="F42" s="86"/>
      <c r="G42" s="83"/>
      <c r="H42" s="94"/>
      <c r="I42" s="93"/>
    </row>
    <row r="43" spans="1:12" ht="15" x14ac:dyDescent="0.25">
      <c r="A43" s="103" t="s">
        <v>312</v>
      </c>
      <c r="B43" s="106">
        <v>1</v>
      </c>
      <c r="C43" s="103"/>
      <c r="D43" s="102"/>
      <c r="E43" s="86"/>
      <c r="F43" s="86"/>
      <c r="G43" s="83"/>
      <c r="H43" s="94"/>
      <c r="I43" s="93"/>
      <c r="J43" s="94"/>
      <c r="K43" s="94"/>
    </row>
    <row r="44" spans="1:12" s="94" customFormat="1" ht="15" x14ac:dyDescent="0.25">
      <c r="A44" s="103" t="s">
        <v>311</v>
      </c>
      <c r="B44" s="103">
        <f>2.414*0.01*10^(247.8/(B42-140))</f>
        <v>0.40126097208938927</v>
      </c>
      <c r="C44" s="103" t="s">
        <v>310</v>
      </c>
      <c r="D44" s="105"/>
      <c r="E44" s="86"/>
      <c r="F44" s="86"/>
      <c r="G44" s="83"/>
      <c r="I44" s="93"/>
    </row>
    <row r="45" spans="1:12" ht="15" x14ac:dyDescent="0.25">
      <c r="A45" s="103" t="s">
        <v>309</v>
      </c>
      <c r="B45" s="103">
        <f>B38/1000</f>
        <v>1.225E-2</v>
      </c>
      <c r="C45" s="103" t="s">
        <v>308</v>
      </c>
      <c r="D45" s="102"/>
      <c r="E45" s="86"/>
      <c r="F45" s="86"/>
      <c r="G45" s="83"/>
      <c r="H45" s="94"/>
      <c r="I45" s="93"/>
    </row>
    <row r="46" spans="1:12" ht="15" x14ac:dyDescent="0.25">
      <c r="A46" s="103" t="s">
        <v>307</v>
      </c>
      <c r="B46" s="103">
        <f>IFERROR((4*B41)/(3.1415*(B45^2))*1000,0)</f>
        <v>141.41659236233932</v>
      </c>
      <c r="C46" s="103" t="s">
        <v>306</v>
      </c>
      <c r="D46" s="102"/>
      <c r="E46" s="86"/>
      <c r="F46" s="86"/>
      <c r="G46" s="83"/>
      <c r="H46" s="104"/>
      <c r="I46" s="93"/>
      <c r="L46" s="94"/>
    </row>
    <row r="47" spans="1:12" ht="15.75" thickBot="1" x14ac:dyDescent="0.3">
      <c r="A47" s="103" t="s">
        <v>305</v>
      </c>
      <c r="B47" s="103">
        <f>B46*B45*1000/B44</f>
        <v>4317.2732384567389</v>
      </c>
      <c r="C47" s="103" t="s">
        <v>304</v>
      </c>
      <c r="D47" s="102"/>
      <c r="E47" s="83"/>
      <c r="F47" s="83"/>
      <c r="G47" s="83"/>
      <c r="H47" s="94"/>
      <c r="I47" s="93"/>
      <c r="J47" s="94"/>
      <c r="K47" s="94"/>
      <c r="L47" s="94"/>
    </row>
    <row r="48" spans="1:12" ht="14.25" customHeight="1" thickTop="1" thickBot="1" x14ac:dyDescent="0.25">
      <c r="A48" s="220" t="str">
        <f>IF(B47&lt;4000,IF(B47&lt;2000,"Flow is Laminar","Flow is Transitional"),"Flow is Turbulent")</f>
        <v>Flow is Turbulent</v>
      </c>
      <c r="B48" s="220"/>
      <c r="C48" s="220"/>
      <c r="D48" s="101"/>
      <c r="E48" s="83"/>
      <c r="F48" s="83"/>
      <c r="G48" s="83"/>
      <c r="H48" s="94"/>
      <c r="I48" s="93"/>
      <c r="J48" s="94"/>
      <c r="K48" s="94"/>
      <c r="L48" s="94"/>
    </row>
    <row r="49" spans="1:12" ht="14.25" customHeight="1" thickTop="1" thickBot="1" x14ac:dyDescent="0.25">
      <c r="A49" s="220"/>
      <c r="B49" s="220"/>
      <c r="C49" s="220"/>
      <c r="D49" s="101"/>
      <c r="E49" s="83"/>
      <c r="F49" s="83"/>
      <c r="G49" s="83"/>
      <c r="H49" s="97"/>
      <c r="I49" s="93"/>
      <c r="J49" s="94"/>
      <c r="K49" s="94"/>
      <c r="L49" s="94"/>
    </row>
    <row r="50" spans="1:12" ht="13.5" thickTop="1" x14ac:dyDescent="0.2">
      <c r="A50" s="100"/>
      <c r="B50" s="94"/>
      <c r="C50" s="97"/>
      <c r="D50" s="97"/>
      <c r="E50" s="99"/>
      <c r="F50" s="97"/>
      <c r="G50" s="99"/>
      <c r="H50" s="97"/>
      <c r="I50" s="93"/>
      <c r="J50" s="94"/>
      <c r="K50" s="94"/>
      <c r="L50" s="94"/>
    </row>
    <row r="51" spans="1:12" x14ac:dyDescent="0.2">
      <c r="A51" s="98"/>
      <c r="B51" s="97"/>
      <c r="C51" s="97"/>
      <c r="D51" s="97"/>
      <c r="E51" s="97"/>
      <c r="F51" s="97"/>
      <c r="G51" s="97"/>
      <c r="H51" s="97"/>
      <c r="I51" s="93"/>
      <c r="L51" s="94"/>
    </row>
    <row r="52" spans="1:12" x14ac:dyDescent="0.2">
      <c r="A52" s="98"/>
      <c r="B52" s="97"/>
      <c r="C52" s="97"/>
      <c r="D52" s="97"/>
      <c r="E52" s="97"/>
      <c r="F52" s="97"/>
      <c r="G52" s="97"/>
      <c r="H52" s="97"/>
      <c r="I52" s="93"/>
    </row>
    <row r="53" spans="1:12" x14ac:dyDescent="0.2">
      <c r="A53" s="95"/>
      <c r="B53" s="94"/>
      <c r="C53" s="94"/>
      <c r="D53" s="94"/>
      <c r="E53" s="94"/>
      <c r="F53" s="94"/>
      <c r="G53" s="94"/>
      <c r="H53" s="94"/>
      <c r="I53" s="96"/>
    </row>
    <row r="54" spans="1:12" x14ac:dyDescent="0.2">
      <c r="A54" s="95"/>
      <c r="B54" s="94"/>
      <c r="C54" s="94"/>
      <c r="D54" s="94"/>
      <c r="E54" s="94"/>
      <c r="F54" s="94"/>
      <c r="G54" s="94"/>
      <c r="H54" s="94"/>
      <c r="I54" s="93"/>
    </row>
    <row r="55" spans="1:12" x14ac:dyDescent="0.2">
      <c r="A55" s="95"/>
      <c r="B55" s="94"/>
      <c r="C55" s="94"/>
      <c r="D55" s="94"/>
      <c r="E55" s="94"/>
      <c r="F55" s="94"/>
      <c r="G55" s="94"/>
      <c r="H55" s="94"/>
      <c r="I55" s="93"/>
    </row>
    <row r="56" spans="1:12" x14ac:dyDescent="0.2">
      <c r="A56" s="95"/>
      <c r="B56" s="94"/>
      <c r="C56" s="94"/>
      <c r="D56" s="94"/>
      <c r="E56" s="94"/>
      <c r="F56" s="94"/>
      <c r="G56" s="94"/>
      <c r="H56" s="94"/>
      <c r="I56" s="93"/>
    </row>
    <row r="57" spans="1:12" x14ac:dyDescent="0.2">
      <c r="A57" s="95"/>
      <c r="B57" s="94"/>
      <c r="C57" s="94"/>
      <c r="D57" s="94"/>
      <c r="E57" s="94"/>
      <c r="F57" s="94"/>
      <c r="G57" s="94"/>
      <c r="H57" s="94"/>
      <c r="I57" s="93"/>
    </row>
    <row r="58" spans="1:12" x14ac:dyDescent="0.2">
      <c r="A58" s="95"/>
      <c r="B58" s="94"/>
      <c r="C58" s="94"/>
      <c r="D58" s="94"/>
      <c r="E58" s="94"/>
      <c r="F58" s="94"/>
      <c r="G58" s="94"/>
      <c r="H58" s="94"/>
      <c r="I58" s="93"/>
    </row>
    <row r="59" spans="1:12" x14ac:dyDescent="0.2">
      <c r="A59" s="92"/>
      <c r="B59" s="91"/>
      <c r="C59" s="91"/>
      <c r="D59" s="91"/>
      <c r="E59" s="91"/>
      <c r="F59" s="91"/>
      <c r="G59" s="91"/>
      <c r="H59" s="91"/>
      <c r="I59" s="90"/>
    </row>
    <row r="64" spans="1:12" ht="15" x14ac:dyDescent="0.25">
      <c r="A64" s="89" t="s">
        <v>271</v>
      </c>
      <c r="B64" s="88" t="s">
        <v>272</v>
      </c>
      <c r="C64" s="87" t="s">
        <v>141</v>
      </c>
    </row>
    <row r="65" spans="1:3" ht="15" x14ac:dyDescent="0.25">
      <c r="A65" s="86" t="s">
        <v>273</v>
      </c>
      <c r="B65" s="85">
        <v>0.31</v>
      </c>
      <c r="C65" s="83">
        <v>1.06</v>
      </c>
    </row>
    <row r="66" spans="1:3" ht="15" x14ac:dyDescent="0.25">
      <c r="A66" s="86" t="s">
        <v>274</v>
      </c>
      <c r="B66" s="85">
        <v>0.62</v>
      </c>
      <c r="C66" s="83"/>
    </row>
    <row r="67" spans="1:3" ht="15" x14ac:dyDescent="0.25">
      <c r="A67" s="86" t="s">
        <v>275</v>
      </c>
      <c r="B67" s="85">
        <v>0.31</v>
      </c>
      <c r="C67" s="83"/>
    </row>
    <row r="68" spans="1:3" ht="15" x14ac:dyDescent="0.25">
      <c r="A68" s="86" t="s">
        <v>276</v>
      </c>
      <c r="B68" s="85">
        <v>0.54300000000000004</v>
      </c>
      <c r="C68" s="83"/>
    </row>
    <row r="69" spans="1:3" ht="15" x14ac:dyDescent="0.25">
      <c r="A69" s="86" t="s">
        <v>277</v>
      </c>
      <c r="B69" s="85">
        <v>0.62</v>
      </c>
      <c r="C69" s="83"/>
    </row>
    <row r="70" spans="1:3" ht="15" x14ac:dyDescent="0.25">
      <c r="A70" s="86" t="s">
        <v>278</v>
      </c>
      <c r="B70" s="85">
        <v>0.46500000000000002</v>
      </c>
      <c r="C70" s="83"/>
    </row>
    <row r="71" spans="1:3" ht="15" x14ac:dyDescent="0.25">
      <c r="A71" s="86" t="s">
        <v>279</v>
      </c>
      <c r="B71" s="85">
        <v>0.62</v>
      </c>
      <c r="C71" s="83"/>
    </row>
    <row r="72" spans="1:3" ht="15" x14ac:dyDescent="0.25">
      <c r="A72" s="86" t="s">
        <v>280</v>
      </c>
      <c r="B72" s="85">
        <v>0.31</v>
      </c>
      <c r="C72" s="83"/>
    </row>
    <row r="73" spans="1:3" ht="15" x14ac:dyDescent="0.25">
      <c r="A73" s="86" t="s">
        <v>281</v>
      </c>
      <c r="B73" s="85">
        <v>0.38800000000000001</v>
      </c>
      <c r="C73" s="83"/>
    </row>
    <row r="74" spans="1:3" ht="15" x14ac:dyDescent="0.25">
      <c r="A74" s="86" t="s">
        <v>282</v>
      </c>
      <c r="B74" s="85">
        <v>0.54300000000000004</v>
      </c>
      <c r="C74" s="83"/>
    </row>
    <row r="75" spans="1:3" ht="15" x14ac:dyDescent="0.25">
      <c r="A75" s="86" t="s">
        <v>283</v>
      </c>
      <c r="B75" s="85">
        <v>0.38800000000000001</v>
      </c>
      <c r="C75" s="83"/>
    </row>
    <row r="76" spans="1:3" ht="15" x14ac:dyDescent="0.25">
      <c r="A76" s="86" t="s">
        <v>284</v>
      </c>
      <c r="B76" s="85">
        <v>0.54300000000000004</v>
      </c>
      <c r="C76" s="83"/>
    </row>
    <row r="77" spans="1:3" ht="15" x14ac:dyDescent="0.25">
      <c r="A77" s="86" t="s">
        <v>285</v>
      </c>
      <c r="B77" s="85">
        <v>0.38800000000000001</v>
      </c>
      <c r="C77" s="83"/>
    </row>
    <row r="78" spans="1:3" ht="15" x14ac:dyDescent="0.25">
      <c r="A78" s="86" t="s">
        <v>286</v>
      </c>
      <c r="B78" s="85">
        <v>0.46500000000000002</v>
      </c>
      <c r="C78" s="83"/>
    </row>
    <row r="79" spans="1:3" ht="15" x14ac:dyDescent="0.25">
      <c r="A79" s="86" t="s">
        <v>287</v>
      </c>
      <c r="B79" s="85">
        <v>0.77500000000000002</v>
      </c>
      <c r="C79" s="83"/>
    </row>
    <row r="80" spans="1:3" ht="15" x14ac:dyDescent="0.25">
      <c r="A80" s="86" t="s">
        <v>288</v>
      </c>
      <c r="B80" s="85">
        <v>0.62</v>
      </c>
      <c r="C80" s="83"/>
    </row>
    <row r="81" spans="1:3" ht="15" x14ac:dyDescent="0.25">
      <c r="A81" s="86" t="s">
        <v>289</v>
      </c>
      <c r="B81" s="85">
        <v>0.77500000000000002</v>
      </c>
      <c r="C81" s="83"/>
    </row>
    <row r="82" spans="1:3" ht="15" x14ac:dyDescent="0.25">
      <c r="A82" s="86" t="s">
        <v>290</v>
      </c>
      <c r="B82" s="85">
        <v>0.77500000000000002</v>
      </c>
      <c r="C82" s="83"/>
    </row>
    <row r="83" spans="1:3" ht="15" x14ac:dyDescent="0.25">
      <c r="A83" s="86" t="s">
        <v>291</v>
      </c>
      <c r="B83" s="85">
        <v>0.38800000000000001</v>
      </c>
      <c r="C83" s="83"/>
    </row>
    <row r="84" spans="1:3" ht="15" x14ac:dyDescent="0.25">
      <c r="A84" s="86" t="s">
        <v>292</v>
      </c>
      <c r="B84" s="85">
        <v>0.93</v>
      </c>
      <c r="C84" s="83"/>
    </row>
    <row r="85" spans="1:3" ht="15" x14ac:dyDescent="0.25">
      <c r="A85" s="86" t="s">
        <v>293</v>
      </c>
      <c r="B85" s="85">
        <v>0.62</v>
      </c>
      <c r="C85" s="83"/>
    </row>
    <row r="86" spans="1:3" ht="15" x14ac:dyDescent="0.25">
      <c r="A86" s="86" t="s">
        <v>294</v>
      </c>
      <c r="B86" s="85">
        <v>0.31</v>
      </c>
      <c r="C86" s="83"/>
    </row>
    <row r="87" spans="1:3" ht="15" x14ac:dyDescent="0.25">
      <c r="A87" s="86" t="s">
        <v>295</v>
      </c>
      <c r="B87" s="85">
        <v>0.46500000000000002</v>
      </c>
      <c r="C87" s="83"/>
    </row>
    <row r="88" spans="1:3" x14ac:dyDescent="0.2">
      <c r="A88" s="83" t="s">
        <v>296</v>
      </c>
      <c r="B88" s="84">
        <v>0.77500000000000002</v>
      </c>
      <c r="C88" s="83"/>
    </row>
    <row r="89" spans="1:3" x14ac:dyDescent="0.2">
      <c r="A89" s="83" t="s">
        <v>297</v>
      </c>
      <c r="B89" s="84">
        <v>0.46500000000000002</v>
      </c>
      <c r="C89" s="83"/>
    </row>
  </sheetData>
  <dataConsolidate/>
  <mergeCells count="21">
    <mergeCell ref="A1:B2"/>
    <mergeCell ref="C1:I2"/>
    <mergeCell ref="A3:B3"/>
    <mergeCell ref="A4:B4"/>
    <mergeCell ref="A5:D5"/>
    <mergeCell ref="H5:I5"/>
    <mergeCell ref="A6:D6"/>
    <mergeCell ref="E6:I6"/>
    <mergeCell ref="A7:I7"/>
    <mergeCell ref="A8:C9"/>
    <mergeCell ref="E8:G9"/>
    <mergeCell ref="H12:I12"/>
    <mergeCell ref="A35:C36"/>
    <mergeCell ref="A48:C49"/>
    <mergeCell ref="E17:G17"/>
    <mergeCell ref="E20:G20"/>
    <mergeCell ref="E22:G22"/>
    <mergeCell ref="H22:I22"/>
    <mergeCell ref="E28:G28"/>
    <mergeCell ref="E32:G32"/>
    <mergeCell ref="H32:I32"/>
  </mergeCells>
  <conditionalFormatting sqref="F14">
    <cfRule type="cellIs" dxfId="22" priority="1" operator="greaterThan">
      <formula>81</formula>
    </cfRule>
    <cfRule type="cellIs" dxfId="21" priority="2" operator="between">
      <formula>0</formula>
      <formula>19</formula>
    </cfRule>
    <cfRule type="cellIs" dxfId="20" priority="3" operator="between">
      <formula>20</formula>
      <formula>80</formula>
    </cfRule>
  </conditionalFormatting>
  <dataValidations disablePrompts="1" count="1">
    <dataValidation type="list" allowBlank="1" showInputMessage="1" showErrorMessage="1" sqref="B11" xr:uid="{00000000-0002-0000-0200-000000000000}">
      <formula1>$A$65:$A$89</formula1>
    </dataValidation>
  </dataValidations>
  <printOptions horizontalCentered="1"/>
  <pageMargins left="0.39370078740157483" right="0.39370078740157483" top="0.59055118110236227" bottom="0.31496062992125984" header="0" footer="0"/>
  <pageSetup paperSize="9" scale="85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7"/>
  <sheetViews>
    <sheetView tabSelected="1" topLeftCell="H1" workbookViewId="0">
      <selection activeCell="J2" sqref="J2:J34"/>
    </sheetView>
  </sheetViews>
  <sheetFormatPr baseColWidth="10" defaultColWidth="9.140625" defaultRowHeight="12.75" x14ac:dyDescent="0.2"/>
  <cols>
    <col min="1" max="1" width="12.5703125" style="24" bestFit="1" customWidth="1"/>
    <col min="2" max="2" width="8" style="24" customWidth="1"/>
    <col min="3" max="3" width="16.140625" style="24" bestFit="1" customWidth="1"/>
    <col min="4" max="4" width="11.5703125" style="24" customWidth="1"/>
    <col min="5" max="5" width="10.7109375" style="24" bestFit="1" customWidth="1"/>
    <col min="6" max="9" width="9.140625" style="24"/>
    <col min="10" max="10" width="26.7109375" style="24" customWidth="1"/>
    <col min="11" max="11" width="24.85546875" style="24" customWidth="1"/>
    <col min="12" max="12" width="26.7109375" style="24" bestFit="1" customWidth="1"/>
    <col min="13" max="13" width="22.5703125" style="24" bestFit="1" customWidth="1"/>
    <col min="14" max="14" width="22.140625" style="24" bestFit="1" customWidth="1"/>
    <col min="15" max="15" width="24.85546875" style="24" bestFit="1" customWidth="1"/>
    <col min="16" max="16" width="13.140625" style="24" customWidth="1"/>
    <col min="17" max="17" width="16.7109375" style="24" customWidth="1"/>
    <col min="18" max="18" width="27.42578125" style="24" customWidth="1"/>
    <col min="19" max="21" width="9.140625" style="24"/>
    <col min="22" max="22" width="6.7109375" style="24" customWidth="1"/>
    <col min="23" max="23" width="19.7109375" style="24" customWidth="1"/>
    <col min="24" max="24" width="9.140625" style="24"/>
    <col min="25" max="25" width="20.140625" style="24" customWidth="1"/>
    <col min="26" max="26" width="21.85546875" style="24" customWidth="1"/>
    <col min="27" max="28" width="9.140625" style="24"/>
    <col min="29" max="29" width="35.28515625" style="24" customWidth="1"/>
    <col min="30" max="30" width="15.140625" style="24" customWidth="1"/>
    <col min="31" max="31" width="15.28515625" style="24" customWidth="1"/>
    <col min="32" max="32" width="16" style="24" customWidth="1"/>
    <col min="33" max="33" width="16.42578125" style="24" customWidth="1"/>
    <col min="34" max="16384" width="9.140625" style="24"/>
  </cols>
  <sheetData>
    <row r="1" spans="1:34" ht="13.5" thickBot="1" x14ac:dyDescent="0.25">
      <c r="A1" s="23" t="s">
        <v>161</v>
      </c>
      <c r="B1" s="23"/>
      <c r="C1" s="23" t="s">
        <v>177</v>
      </c>
      <c r="D1" s="23"/>
      <c r="E1" s="23" t="s">
        <v>208</v>
      </c>
      <c r="J1" s="167" t="s">
        <v>215</v>
      </c>
      <c r="K1" s="166" t="s">
        <v>417</v>
      </c>
      <c r="L1" s="167" t="s">
        <v>416</v>
      </c>
      <c r="M1" s="166" t="s">
        <v>418</v>
      </c>
      <c r="N1" s="167" t="s">
        <v>419</v>
      </c>
      <c r="O1" s="23" t="s">
        <v>431</v>
      </c>
      <c r="P1" s="80" t="s">
        <v>272</v>
      </c>
      <c r="Q1" s="80" t="s">
        <v>141</v>
      </c>
      <c r="R1" s="184" t="s">
        <v>437</v>
      </c>
      <c r="W1" s="77" t="s">
        <v>303</v>
      </c>
      <c r="Y1" s="177"/>
      <c r="Z1" s="178" t="s">
        <v>403</v>
      </c>
      <c r="AA1" s="177"/>
      <c r="AC1" s="169"/>
      <c r="AD1" s="242"/>
      <c r="AE1" s="242"/>
      <c r="AF1" s="242"/>
      <c r="AG1" s="242"/>
      <c r="AH1" s="169"/>
    </row>
    <row r="2" spans="1:34" ht="15.75" thickTop="1" x14ac:dyDescent="0.2">
      <c r="A2" s="25" t="s">
        <v>160</v>
      </c>
      <c r="B2" s="25"/>
      <c r="C2" s="25" t="s">
        <v>177</v>
      </c>
      <c r="D2" s="25"/>
      <c r="E2" s="25" t="s">
        <v>170</v>
      </c>
      <c r="J2" s="149" t="s">
        <v>216</v>
      </c>
      <c r="K2" s="150">
        <v>195</v>
      </c>
      <c r="L2" s="150">
        <v>195</v>
      </c>
      <c r="M2" s="150">
        <v>90</v>
      </c>
      <c r="N2" s="150">
        <v>90</v>
      </c>
      <c r="O2" s="175">
        <f>IFERROR(Calculation!O6/Calculation!O9*(1.06/Tabulka3[[#This Row],[Density]])*Calculation!W3/60,0)</f>
        <v>33.996092443020579</v>
      </c>
      <c r="P2" s="24">
        <v>0.77500000000000002</v>
      </c>
      <c r="Q2" s="24">
        <v>1.41</v>
      </c>
      <c r="R2" s="24">
        <v>1</v>
      </c>
      <c r="W2" s="78">
        <f>VLOOKUP(Calculation!R3 &amp;"",J2:Q34,7,FALSE)*0.01</f>
        <v>3.0999999999999999E-3</v>
      </c>
      <c r="Y2" s="178" t="s">
        <v>405</v>
      </c>
      <c r="Z2" s="179">
        <f>VLOOKUP('Heat Calc'!D7 &amp;"",J2:Q34,8,FALSE)</f>
        <v>1.3</v>
      </c>
      <c r="AA2" s="177"/>
      <c r="AC2" s="169"/>
      <c r="AD2" s="169"/>
      <c r="AE2" s="169"/>
      <c r="AF2" s="169"/>
      <c r="AG2" s="169"/>
      <c r="AH2" s="169"/>
    </row>
    <row r="3" spans="1:34" ht="15" x14ac:dyDescent="0.2">
      <c r="A3" s="25" t="s">
        <v>190</v>
      </c>
      <c r="B3" s="25"/>
      <c r="C3" s="25" t="s">
        <v>201</v>
      </c>
      <c r="D3" s="25"/>
      <c r="E3" s="25" t="s">
        <v>171</v>
      </c>
      <c r="J3" s="152" t="s">
        <v>262</v>
      </c>
      <c r="K3" s="153">
        <v>180</v>
      </c>
      <c r="L3" s="153">
        <v>220</v>
      </c>
      <c r="M3" s="153">
        <v>60</v>
      </c>
      <c r="N3" s="153">
        <v>120</v>
      </c>
      <c r="O3" s="175">
        <f>IFERROR(Calculation!O6/Calculation!O9*(1.06/Tabulka3[[#This Row],[Density]])*Calculation!W3/60,0)</f>
        <v>33.996092443020579</v>
      </c>
      <c r="P3" s="24">
        <v>0.77500000000000002</v>
      </c>
      <c r="Q3" s="24">
        <v>1.41</v>
      </c>
      <c r="R3" s="24">
        <v>1</v>
      </c>
      <c r="Y3" s="178" t="s">
        <v>404</v>
      </c>
      <c r="Z3" s="179">
        <f>VLOOKUP(Calculation!R3 &amp;"",J2:Q34,8,FALSE)</f>
        <v>1.06</v>
      </c>
      <c r="AA3" s="177"/>
      <c r="AC3" s="169"/>
      <c r="AD3" s="169"/>
      <c r="AE3" s="169"/>
      <c r="AF3" s="169"/>
      <c r="AG3" s="169"/>
      <c r="AH3" s="169"/>
    </row>
    <row r="4" spans="1:34" x14ac:dyDescent="0.2">
      <c r="A4" s="25" t="s">
        <v>191</v>
      </c>
      <c r="B4" s="25"/>
      <c r="C4" s="25" t="s">
        <v>202</v>
      </c>
      <c r="D4" s="25"/>
      <c r="J4" s="149" t="s">
        <v>155</v>
      </c>
      <c r="K4" s="150">
        <v>240</v>
      </c>
      <c r="L4" s="150">
        <v>275</v>
      </c>
      <c r="M4" s="150">
        <v>50</v>
      </c>
      <c r="N4" s="150">
        <v>80</v>
      </c>
      <c r="O4" s="175">
        <f>IFERROR(Calculation!O6/Calculation!O9*(1.06/Tabulka3[[#This Row],[Density]])*Calculation!W3/60,0)</f>
        <v>42.047798547946506</v>
      </c>
      <c r="P4" s="24">
        <v>0.77500000000000002</v>
      </c>
      <c r="Q4" s="24">
        <v>1.1399999999999999</v>
      </c>
      <c r="R4" s="24">
        <v>1</v>
      </c>
      <c r="Y4" s="177"/>
      <c r="Z4" s="177"/>
      <c r="AA4" s="177"/>
      <c r="AC4" s="169"/>
      <c r="AD4" s="169"/>
      <c r="AE4" s="169"/>
      <c r="AF4" s="169"/>
      <c r="AG4" s="169"/>
      <c r="AH4" s="169"/>
    </row>
    <row r="5" spans="1:34" x14ac:dyDescent="0.2">
      <c r="J5" s="152" t="s">
        <v>218</v>
      </c>
      <c r="K5" s="153">
        <v>270</v>
      </c>
      <c r="L5" s="153">
        <v>280</v>
      </c>
      <c r="M5" s="153">
        <v>85</v>
      </c>
      <c r="N5" s="153">
        <v>95</v>
      </c>
      <c r="O5" s="175">
        <f>IFERROR(Calculation!O6/Calculation!O9*(1.06/Tabulka3[[#This Row],[Density]])*Calculation!W3/60,0)</f>
        <v>35.245948782837509</v>
      </c>
      <c r="P5" s="79"/>
      <c r="Q5" s="79">
        <v>1.36</v>
      </c>
      <c r="R5" s="24">
        <v>1</v>
      </c>
      <c r="Y5" s="177"/>
      <c r="Z5" s="177"/>
      <c r="AA5" s="177"/>
      <c r="AC5" s="169"/>
      <c r="AD5" s="169"/>
      <c r="AE5" s="169"/>
      <c r="AF5" s="169"/>
      <c r="AG5" s="169"/>
      <c r="AH5" s="169"/>
    </row>
    <row r="6" spans="1:34" x14ac:dyDescent="0.2">
      <c r="J6" s="149" t="s">
        <v>150</v>
      </c>
      <c r="K6" s="150">
        <v>270</v>
      </c>
      <c r="L6" s="150">
        <v>295</v>
      </c>
      <c r="M6" s="150">
        <v>50</v>
      </c>
      <c r="N6" s="150">
        <v>80</v>
      </c>
      <c r="O6" s="175">
        <f>IFERROR(Calculation!O6/Calculation!O9*(1.06/Tabulka3[[#This Row],[Density]])*Calculation!W3/60,0)</f>
        <v>42.047798547946506</v>
      </c>
      <c r="P6" s="24">
        <v>0.77500000000000002</v>
      </c>
      <c r="Q6" s="24">
        <v>1.1399999999999999</v>
      </c>
      <c r="R6" s="24">
        <v>1</v>
      </c>
      <c r="Y6" s="177"/>
      <c r="Z6" s="177"/>
      <c r="AA6" s="177"/>
      <c r="AC6" s="169"/>
      <c r="AD6" s="169"/>
      <c r="AE6" s="169"/>
      <c r="AF6" s="169"/>
      <c r="AG6" s="169"/>
      <c r="AH6" s="169"/>
    </row>
    <row r="7" spans="1:34" ht="13.5" thickBot="1" x14ac:dyDescent="0.25">
      <c r="A7" s="167" t="s">
        <v>438</v>
      </c>
      <c r="B7" s="166" t="s">
        <v>439</v>
      </c>
      <c r="J7" s="152" t="s">
        <v>217</v>
      </c>
      <c r="K7" s="153">
        <v>275</v>
      </c>
      <c r="L7" s="153">
        <v>295</v>
      </c>
      <c r="M7" s="153">
        <v>85</v>
      </c>
      <c r="N7" s="153">
        <v>95</v>
      </c>
      <c r="O7" s="175">
        <f>IFERROR(Calculation!O6/Calculation!O9*(1.06/Tabulka3[[#This Row],[Density]])*Calculation!W3/60,0)</f>
        <v>35.245948782837509</v>
      </c>
      <c r="P7" s="79"/>
      <c r="Q7" s="79">
        <v>1.36</v>
      </c>
      <c r="R7" s="24">
        <v>1</v>
      </c>
      <c r="W7" s="77"/>
      <c r="X7" s="77"/>
      <c r="Y7" s="178"/>
      <c r="Z7" s="177"/>
      <c r="AA7" s="177"/>
      <c r="AC7" s="169"/>
      <c r="AD7" s="169"/>
      <c r="AE7" s="169"/>
      <c r="AF7" s="169"/>
      <c r="AG7" s="169"/>
      <c r="AH7" s="169"/>
    </row>
    <row r="8" spans="1:34" ht="13.5" thickTop="1" x14ac:dyDescent="0.2">
      <c r="A8" s="149" t="s">
        <v>440</v>
      </c>
      <c r="B8" s="185">
        <v>7.4999999999999997E-3</v>
      </c>
      <c r="J8" s="149" t="s">
        <v>220</v>
      </c>
      <c r="K8" s="150">
        <v>295</v>
      </c>
      <c r="L8" s="150">
        <v>295</v>
      </c>
      <c r="M8" s="150">
        <v>100</v>
      </c>
      <c r="N8" s="150">
        <v>100</v>
      </c>
      <c r="O8" s="175">
        <f>IFERROR(Calculation!O6/Calculation!O9*(1.06/Tabulka3[[#This Row],[Density]])*Calculation!W3/60,0)</f>
        <v>35.507029884932606</v>
      </c>
      <c r="Q8" s="24">
        <v>1.35</v>
      </c>
      <c r="R8" s="24">
        <v>1</v>
      </c>
      <c r="Y8" s="177"/>
      <c r="Z8" s="177"/>
      <c r="AA8" s="177"/>
      <c r="AC8" s="169"/>
      <c r="AD8" s="169"/>
      <c r="AE8" s="169"/>
      <c r="AF8" s="169"/>
      <c r="AG8" s="169"/>
      <c r="AH8" s="169"/>
    </row>
    <row r="9" spans="1:34" x14ac:dyDescent="0.2">
      <c r="A9" s="152" t="s">
        <v>441</v>
      </c>
      <c r="B9" s="186">
        <v>5.0000000000000001E-3</v>
      </c>
      <c r="J9" s="155" t="s">
        <v>293</v>
      </c>
      <c r="K9" s="153">
        <v>240</v>
      </c>
      <c r="L9" s="153">
        <v>270</v>
      </c>
      <c r="M9" s="153">
        <v>60</v>
      </c>
      <c r="N9" s="153">
        <v>100</v>
      </c>
      <c r="O9" s="175">
        <f>IFERROR(Calculation!O6/Calculation!O9*(1.06/Tabulka3[[#This Row],[Density]])*Calculation!W3/60,0)</f>
        <v>36.872684880506924</v>
      </c>
      <c r="P9" s="24">
        <v>0.62</v>
      </c>
      <c r="Q9" s="24">
        <v>1.3</v>
      </c>
      <c r="R9" s="24">
        <v>1</v>
      </c>
      <c r="Y9" s="177"/>
      <c r="Z9" s="177"/>
      <c r="AA9" s="177"/>
      <c r="AC9" s="169"/>
      <c r="AD9" s="169"/>
      <c r="AE9" s="169"/>
      <c r="AF9" s="169"/>
      <c r="AG9" s="169"/>
      <c r="AH9" s="169"/>
    </row>
    <row r="10" spans="1:34" x14ac:dyDescent="0.2">
      <c r="A10" s="149" t="s">
        <v>442</v>
      </c>
      <c r="B10" s="185">
        <v>3.0000000000000001E-3</v>
      </c>
      <c r="J10" s="149" t="s">
        <v>219</v>
      </c>
      <c r="K10" s="150">
        <v>250</v>
      </c>
      <c r="L10" s="150">
        <v>250</v>
      </c>
      <c r="M10" s="150">
        <v>80</v>
      </c>
      <c r="N10" s="150">
        <v>80</v>
      </c>
      <c r="O10" s="175">
        <f>IFERROR(Calculation!O6/Calculation!O9*(1.06/Tabulka3[[#This Row],[Density]])*Calculation!W3/60,0)</f>
        <v>28.363603754236109</v>
      </c>
      <c r="Q10" s="24">
        <v>1.69</v>
      </c>
      <c r="R10" s="24">
        <v>1</v>
      </c>
      <c r="Y10" s="177"/>
      <c r="Z10" s="177"/>
      <c r="AA10" s="177"/>
      <c r="AC10" s="169"/>
      <c r="AD10" s="169"/>
      <c r="AE10" s="169"/>
      <c r="AF10" s="169"/>
      <c r="AG10" s="169"/>
      <c r="AH10" s="169"/>
    </row>
    <row r="11" spans="1:34" x14ac:dyDescent="0.2">
      <c r="A11" s="183"/>
      <c r="B11" s="183"/>
      <c r="J11" s="152" t="s">
        <v>221</v>
      </c>
      <c r="K11" s="153">
        <v>280</v>
      </c>
      <c r="L11" s="153">
        <v>280</v>
      </c>
      <c r="M11" s="153">
        <v>60</v>
      </c>
      <c r="N11" s="153">
        <v>60</v>
      </c>
      <c r="O11" s="175">
        <f>IFERROR(Calculation!O6/Calculation!O9*(1.06/Tabulka3[[#This Row],[Density]])*Calculation!W3/60,0)</f>
        <v>39.945408620549181</v>
      </c>
      <c r="P11" s="79"/>
      <c r="Q11" s="79">
        <v>1.2</v>
      </c>
      <c r="R11" s="24">
        <v>1</v>
      </c>
      <c r="W11" s="77"/>
      <c r="AC11" s="169"/>
      <c r="AD11" s="169"/>
      <c r="AE11" s="169"/>
      <c r="AF11" s="169"/>
      <c r="AG11" s="169"/>
      <c r="AH11" s="169"/>
    </row>
    <row r="12" spans="1:34" x14ac:dyDescent="0.2">
      <c r="J12" s="149" t="s">
        <v>222</v>
      </c>
      <c r="K12" s="150">
        <v>330</v>
      </c>
      <c r="L12" s="150">
        <v>330</v>
      </c>
      <c r="M12" s="150">
        <v>145</v>
      </c>
      <c r="N12" s="150">
        <v>145</v>
      </c>
      <c r="O12" s="175">
        <f>IFERROR(Calculation!O6/Calculation!O9*(1.06/Tabulka3[[#This Row],[Density]])*Calculation!W3/60,0)</f>
        <v>29.589191570777167</v>
      </c>
      <c r="Q12" s="24">
        <v>1.62</v>
      </c>
      <c r="R12" s="24">
        <v>1</v>
      </c>
      <c r="AC12" s="169"/>
      <c r="AD12" s="169"/>
      <c r="AE12" s="169"/>
      <c r="AF12" s="169"/>
      <c r="AG12" s="169"/>
      <c r="AH12" s="169"/>
    </row>
    <row r="13" spans="1:34" x14ac:dyDescent="0.2">
      <c r="J13" s="152" t="s">
        <v>223</v>
      </c>
      <c r="K13" s="153">
        <v>190</v>
      </c>
      <c r="L13" s="153">
        <v>260</v>
      </c>
      <c r="M13" s="153">
        <v>10</v>
      </c>
      <c r="N13" s="153">
        <v>40</v>
      </c>
      <c r="O13" s="176">
        <f>IFERROR(Calculation!O6/Calculation!O9*(1.06/Tabulka3[[#This Row],[Density]])*Calculation!W3/60,0)</f>
        <v>50.457358257535809</v>
      </c>
      <c r="P13" s="79">
        <v>0.38800000000000001</v>
      </c>
      <c r="Q13" s="79">
        <v>0.95</v>
      </c>
      <c r="R13" s="24">
        <v>1</v>
      </c>
      <c r="AC13" s="169"/>
      <c r="AD13" s="169"/>
      <c r="AE13" s="169"/>
      <c r="AF13" s="169"/>
      <c r="AG13" s="169"/>
      <c r="AH13" s="169"/>
    </row>
    <row r="14" spans="1:34" x14ac:dyDescent="0.2">
      <c r="J14" s="156" t="s">
        <v>289</v>
      </c>
      <c r="K14" s="151">
        <v>270</v>
      </c>
      <c r="L14" s="151">
        <v>310</v>
      </c>
      <c r="M14" s="151">
        <v>80</v>
      </c>
      <c r="N14" s="151">
        <v>110</v>
      </c>
      <c r="O14" s="175">
        <f>IFERROR(Calculation!O6/Calculation!O9*(1.06/Tabulka3[[#This Row],[Density]])*Calculation!W3/60,0)</f>
        <v>39.615281276577697</v>
      </c>
      <c r="P14" s="24">
        <v>0.77500000000000002</v>
      </c>
      <c r="Q14" s="24">
        <v>1.21</v>
      </c>
      <c r="R14" s="24">
        <v>1</v>
      </c>
      <c r="W14" s="77"/>
      <c r="AC14" s="169"/>
      <c r="AD14" s="169"/>
      <c r="AE14" s="169"/>
      <c r="AF14" s="169"/>
      <c r="AG14" s="169"/>
      <c r="AH14" s="169"/>
    </row>
    <row r="15" spans="1:34" x14ac:dyDescent="0.2">
      <c r="J15" s="157" t="s">
        <v>294</v>
      </c>
      <c r="K15" s="154">
        <v>190</v>
      </c>
      <c r="L15" s="154">
        <v>215</v>
      </c>
      <c r="M15" s="154">
        <v>50</v>
      </c>
      <c r="N15" s="154">
        <v>60</v>
      </c>
      <c r="O15" s="175">
        <f>IFERROR(Calculation!O6/Calculation!O9*(1.06/Tabulka3[[#This Row],[Density]])*Calculation!W3/60,0)</f>
        <v>37.448820581764856</v>
      </c>
      <c r="P15" s="24">
        <v>0.31</v>
      </c>
      <c r="Q15" s="24">
        <v>1.28</v>
      </c>
      <c r="R15" s="24">
        <v>1</v>
      </c>
      <c r="AC15" s="169"/>
      <c r="AD15" s="169"/>
      <c r="AE15" s="169"/>
      <c r="AF15" s="169"/>
      <c r="AG15" s="169"/>
      <c r="AH15" s="169"/>
    </row>
    <row r="16" spans="1:34" x14ac:dyDescent="0.2">
      <c r="J16" s="156" t="s">
        <v>295</v>
      </c>
      <c r="K16" s="151"/>
      <c r="L16" s="151"/>
      <c r="M16" s="151"/>
      <c r="N16" s="151"/>
      <c r="O16" s="175">
        <f>IFERROR(Calculation!O6/Calculation!O9*(1.06/Tabulka3[[#This Row],[Density]])*Calculation!W3/60,0)</f>
        <v>43.576809404235469</v>
      </c>
      <c r="P16" s="24">
        <v>0.46500000000000002</v>
      </c>
      <c r="Q16" s="24">
        <v>1.1000000000000001</v>
      </c>
      <c r="R16" s="24">
        <v>1</v>
      </c>
      <c r="AC16" s="169"/>
      <c r="AD16" s="169"/>
      <c r="AE16" s="169"/>
      <c r="AF16" s="169"/>
      <c r="AG16" s="169"/>
      <c r="AH16" s="169"/>
    </row>
    <row r="17" spans="10:34" x14ac:dyDescent="0.2">
      <c r="J17" s="157" t="s">
        <v>296</v>
      </c>
      <c r="K17" s="154"/>
      <c r="L17" s="154"/>
      <c r="M17" s="154"/>
      <c r="N17" s="154"/>
      <c r="O17" s="175">
        <f>IFERROR(Calculation!O6/Calculation!O9*(1.06/Tabulka3[[#This Row],[Density]])*Calculation!W3/60,0)</f>
        <v>37.158519647022487</v>
      </c>
      <c r="P17" s="24">
        <v>0.77500000000000002</v>
      </c>
      <c r="Q17" s="24">
        <v>1.29</v>
      </c>
      <c r="R17" s="24">
        <v>1</v>
      </c>
      <c r="AC17" s="169"/>
      <c r="AD17" s="169"/>
      <c r="AE17" s="169"/>
      <c r="AF17" s="169"/>
      <c r="AG17" s="169"/>
      <c r="AH17" s="169"/>
    </row>
    <row r="18" spans="10:34" x14ac:dyDescent="0.2">
      <c r="J18" s="156" t="s">
        <v>297</v>
      </c>
      <c r="K18" s="151">
        <v>300</v>
      </c>
      <c r="L18" s="151">
        <v>340</v>
      </c>
      <c r="M18" s="151">
        <v>135</v>
      </c>
      <c r="N18" s="151">
        <v>155</v>
      </c>
      <c r="O18" s="175">
        <f>IFERROR(Calculation!O6/Calculation!O9*(1.06/Tabulka3[[#This Row],[Density]])*Calculation!W3/60,0)</f>
        <v>35.772007719894781</v>
      </c>
      <c r="P18" s="24">
        <v>0.46500000000000002</v>
      </c>
      <c r="Q18" s="24">
        <v>1.34</v>
      </c>
      <c r="R18" s="24">
        <v>1</v>
      </c>
      <c r="W18"/>
      <c r="AC18" s="169"/>
      <c r="AD18" s="169"/>
      <c r="AE18" s="169"/>
      <c r="AF18" s="169"/>
      <c r="AG18" s="169"/>
      <c r="AH18" s="169"/>
    </row>
    <row r="19" spans="10:34" x14ac:dyDescent="0.2">
      <c r="J19" s="157" t="s">
        <v>291</v>
      </c>
      <c r="K19" s="154"/>
      <c r="L19" s="154"/>
      <c r="M19" s="154"/>
      <c r="N19" s="154"/>
      <c r="O19" s="175">
        <f>IFERROR(Calculation!O6/Calculation!O9*(1.06/Tabulka3[[#This Row],[Density]])*Calculation!W3/60,0)</f>
        <v>34.988679083692702</v>
      </c>
      <c r="P19" s="24">
        <v>0.38800000000000001</v>
      </c>
      <c r="Q19" s="24">
        <v>1.37</v>
      </c>
      <c r="R19" s="24">
        <v>1</v>
      </c>
      <c r="W19"/>
      <c r="AC19" s="169"/>
      <c r="AD19" s="169"/>
      <c r="AE19" s="169"/>
      <c r="AF19" s="169"/>
      <c r="AG19" s="169"/>
      <c r="AH19" s="169"/>
    </row>
    <row r="20" spans="10:34" x14ac:dyDescent="0.2">
      <c r="J20" s="156" t="s">
        <v>292</v>
      </c>
      <c r="K20" s="151"/>
      <c r="L20" s="151"/>
      <c r="M20" s="151"/>
      <c r="N20" s="151"/>
      <c r="O20" s="175">
        <f>IFERROR(Calculation!O6/Calculation!O9*(1.06/Tabulka3[[#This Row],[Density]])*Calculation!W3/60,0)</f>
        <v>31.956326896439339</v>
      </c>
      <c r="P20" s="24">
        <v>0.93</v>
      </c>
      <c r="Q20" s="24">
        <v>1.5</v>
      </c>
      <c r="R20" s="24">
        <v>1</v>
      </c>
      <c r="W20"/>
      <c r="AC20" s="169"/>
      <c r="AD20" s="169"/>
      <c r="AE20" s="169"/>
      <c r="AF20" s="169"/>
      <c r="AG20" s="169"/>
      <c r="AH20" s="169"/>
    </row>
    <row r="21" spans="10:34" x14ac:dyDescent="0.2">
      <c r="J21" s="157" t="s">
        <v>288</v>
      </c>
      <c r="K21" s="154">
        <v>200</v>
      </c>
      <c r="L21" s="154">
        <v>250</v>
      </c>
      <c r="M21" s="154">
        <v>30</v>
      </c>
      <c r="N21" s="154">
        <v>60</v>
      </c>
      <c r="O21" s="175">
        <f>IFERROR(Calculation!O6/Calculation!O9*(1.06/Tabulka3[[#This Row],[Density]])*Calculation!W3/60,0)</f>
        <v>43.576809404235469</v>
      </c>
      <c r="P21" s="24">
        <v>0.62</v>
      </c>
      <c r="Q21" s="24">
        <v>1.1000000000000001</v>
      </c>
      <c r="R21" s="24">
        <v>1</v>
      </c>
      <c r="W21"/>
      <c r="AC21" s="169"/>
      <c r="AD21" s="169"/>
      <c r="AE21" s="169"/>
      <c r="AF21" s="169"/>
      <c r="AG21" s="169"/>
      <c r="AH21" s="169"/>
    </row>
    <row r="22" spans="10:34" x14ac:dyDescent="0.2">
      <c r="J22" s="156" t="s">
        <v>283</v>
      </c>
      <c r="K22" s="151">
        <v>200</v>
      </c>
      <c r="L22" s="151">
        <v>270</v>
      </c>
      <c r="M22" s="151">
        <v>20</v>
      </c>
      <c r="N22" s="151">
        <v>70</v>
      </c>
      <c r="O22" s="175">
        <f>IFERROR(Calculation!O6/Calculation!O9*(1.06/Tabulka3[[#This Row],[Density]])*Calculation!W3/60,0)</f>
        <v>53.260544827398903</v>
      </c>
      <c r="P22" s="24">
        <v>0.38800000000000001</v>
      </c>
      <c r="Q22" s="77">
        <v>0.9</v>
      </c>
      <c r="R22" s="24">
        <v>1</v>
      </c>
      <c r="AC22" s="169"/>
      <c r="AD22" s="169"/>
      <c r="AE22" s="169"/>
      <c r="AF22" s="169"/>
      <c r="AG22" s="169"/>
      <c r="AH22" s="169"/>
    </row>
    <row r="23" spans="10:34" x14ac:dyDescent="0.2">
      <c r="J23" s="157" t="s">
        <v>412</v>
      </c>
      <c r="K23" s="154"/>
      <c r="L23" s="154"/>
      <c r="M23" s="154"/>
      <c r="N23" s="154"/>
      <c r="O23" s="175">
        <f>IFERROR(Calculation!O6/Calculation!O9*(1.06/Tabulka3[[#This Row],[Density]])*Calculation!W3/60,0)</f>
        <v>53.260544827398903</v>
      </c>
      <c r="P23" s="24">
        <v>0.54300000000000004</v>
      </c>
      <c r="Q23" s="77">
        <v>0.9</v>
      </c>
      <c r="R23" s="24">
        <v>1</v>
      </c>
      <c r="AC23" s="169"/>
      <c r="AD23" s="169"/>
      <c r="AE23" s="169"/>
      <c r="AF23" s="169"/>
      <c r="AG23" s="169"/>
      <c r="AH23" s="169"/>
    </row>
    <row r="24" spans="10:34" x14ac:dyDescent="0.2">
      <c r="J24" s="156" t="s">
        <v>285</v>
      </c>
      <c r="K24" s="151">
        <v>165</v>
      </c>
      <c r="L24" s="151">
        <v>200</v>
      </c>
      <c r="M24" s="151">
        <v>20</v>
      </c>
      <c r="N24" s="151">
        <v>25</v>
      </c>
      <c r="O24" s="175">
        <f>IFERROR(Calculation!O6/Calculation!O9*(1.06/Tabulka3[[#This Row],[Density]])*Calculation!W3/60,0)</f>
        <v>39.290565856277887</v>
      </c>
      <c r="P24" s="24">
        <v>0.38800000000000001</v>
      </c>
      <c r="Q24" s="77">
        <v>1.22</v>
      </c>
      <c r="R24" s="24">
        <v>1</v>
      </c>
      <c r="AC24" s="169"/>
      <c r="AD24" s="169"/>
      <c r="AE24" s="169"/>
      <c r="AF24" s="169"/>
      <c r="AG24" s="169"/>
      <c r="AH24" s="169"/>
    </row>
    <row r="25" spans="10:34" x14ac:dyDescent="0.2">
      <c r="J25" s="157" t="s">
        <v>286</v>
      </c>
      <c r="K25" s="154">
        <v>160</v>
      </c>
      <c r="L25" s="154">
        <v>220</v>
      </c>
      <c r="M25" s="154">
        <v>20</v>
      </c>
      <c r="N25" s="154">
        <v>70</v>
      </c>
      <c r="O25" s="175">
        <f>IFERROR(Calculation!O6/Calculation!O9*(1.06/Tabulka3[[#This Row],[Density]])*Calculation!W3/60,0)</f>
        <v>34.485244852272679</v>
      </c>
      <c r="P25" s="24">
        <v>0.46500000000000002</v>
      </c>
      <c r="Q25" s="24">
        <v>1.39</v>
      </c>
      <c r="R25" s="24">
        <v>1</v>
      </c>
      <c r="AC25" s="169"/>
      <c r="AD25" s="169"/>
      <c r="AE25" s="169"/>
      <c r="AF25" s="169"/>
      <c r="AG25" s="169"/>
      <c r="AH25" s="169"/>
    </row>
    <row r="26" spans="10:34" x14ac:dyDescent="0.2">
      <c r="J26" s="156" t="s">
        <v>273</v>
      </c>
      <c r="K26" s="151">
        <v>180</v>
      </c>
      <c r="L26" s="151">
        <v>260</v>
      </c>
      <c r="M26" s="151">
        <v>10</v>
      </c>
      <c r="N26" s="151">
        <v>70</v>
      </c>
      <c r="O26" s="175">
        <f>IFERROR(Calculation!O6/Calculation!O9*(1.06/Tabulka3[[#This Row],[Density]])*Calculation!W3/60,0)</f>
        <v>45.221217306282092</v>
      </c>
      <c r="P26" s="24">
        <v>0.31</v>
      </c>
      <c r="Q26" s="24">
        <v>1.06</v>
      </c>
      <c r="R26" s="24">
        <v>1</v>
      </c>
      <c r="AC26" s="169"/>
      <c r="AD26" s="169"/>
      <c r="AE26" s="169"/>
      <c r="AF26" s="169"/>
      <c r="AG26" s="169"/>
      <c r="AH26" s="169"/>
    </row>
    <row r="27" spans="10:34" x14ac:dyDescent="0.2">
      <c r="J27" s="157" t="s">
        <v>274</v>
      </c>
      <c r="K27" s="154"/>
      <c r="L27" s="154"/>
      <c r="M27" s="154"/>
      <c r="N27" s="154"/>
      <c r="O27" s="175">
        <f>IFERROR(Calculation!O6/Calculation!O9*(1.06/Tabulka3[[#This Row],[Density]])*Calculation!W3/60,0)</f>
        <v>46.090856100633658</v>
      </c>
      <c r="P27" s="24">
        <v>0.62</v>
      </c>
      <c r="Q27" s="24">
        <v>1.04</v>
      </c>
      <c r="R27" s="24">
        <v>1</v>
      </c>
      <c r="AC27" s="169"/>
      <c r="AD27" s="169"/>
      <c r="AE27" s="169"/>
      <c r="AF27" s="169"/>
      <c r="AG27" s="169"/>
      <c r="AH27" s="169"/>
    </row>
    <row r="28" spans="10:34" x14ac:dyDescent="0.2">
      <c r="J28" s="156" t="s">
        <v>275</v>
      </c>
      <c r="K28" s="151">
        <v>210</v>
      </c>
      <c r="L28" s="151">
        <v>270</v>
      </c>
      <c r="M28" s="151">
        <v>20</v>
      </c>
      <c r="N28" s="151">
        <v>50</v>
      </c>
      <c r="O28" s="175">
        <f>IFERROR(Calculation!O6/Calculation!O9*(1.06/Tabulka3[[#This Row],[Density]])*Calculation!W3/60,0)</f>
        <v>44.383787356165755</v>
      </c>
      <c r="P28" s="24">
        <v>0.31</v>
      </c>
      <c r="Q28" s="24">
        <v>1.08</v>
      </c>
      <c r="R28" s="24">
        <v>1</v>
      </c>
      <c r="AC28" s="169"/>
      <c r="AD28" s="169"/>
      <c r="AE28" s="169"/>
      <c r="AF28" s="169"/>
      <c r="AG28" s="169"/>
      <c r="AH28" s="169"/>
    </row>
    <row r="29" spans="10:34" x14ac:dyDescent="0.2">
      <c r="J29" s="157" t="s">
        <v>276</v>
      </c>
      <c r="K29" s="154"/>
      <c r="L29" s="154"/>
      <c r="M29" s="154"/>
      <c r="N29" s="154"/>
      <c r="O29" s="175">
        <f>IFERROR(Calculation!O6/Calculation!O9*(1.06/Tabulka3[[#This Row],[Density]])*Calculation!W3/60,0)</f>
        <v>44.383787356165755</v>
      </c>
      <c r="P29" s="24">
        <v>0.54300000000000004</v>
      </c>
      <c r="Q29" s="77">
        <v>1.08</v>
      </c>
      <c r="R29" s="24">
        <v>1</v>
      </c>
      <c r="AC29" s="169"/>
      <c r="AD29" s="169"/>
      <c r="AE29" s="169"/>
      <c r="AF29" s="169"/>
      <c r="AG29" s="169"/>
      <c r="AH29" s="169"/>
    </row>
    <row r="30" spans="10:34" x14ac:dyDescent="0.2">
      <c r="J30" s="156" t="s">
        <v>277</v>
      </c>
      <c r="K30" s="151">
        <v>220</v>
      </c>
      <c r="L30" s="151">
        <v>260</v>
      </c>
      <c r="M30" s="151">
        <v>50</v>
      </c>
      <c r="N30" s="151">
        <v>80</v>
      </c>
      <c r="O30" s="175">
        <f>IFERROR(Calculation!O6/Calculation!O9*(1.06/Tabulka3[[#This Row],[Density]])*Calculation!W3/60,0)</f>
        <v>45.651895566341913</v>
      </c>
      <c r="P30" s="24">
        <v>0.62</v>
      </c>
      <c r="Q30" s="24">
        <v>1.05</v>
      </c>
      <c r="R30" s="24">
        <v>1</v>
      </c>
      <c r="W30" s="77"/>
      <c r="AC30" s="169"/>
      <c r="AD30" s="169"/>
      <c r="AE30" s="169"/>
      <c r="AF30" s="169"/>
      <c r="AG30" s="169"/>
      <c r="AH30" s="169"/>
    </row>
    <row r="31" spans="10:34" x14ac:dyDescent="0.2">
      <c r="J31" s="157" t="s">
        <v>278</v>
      </c>
      <c r="K31" s="154">
        <v>200</v>
      </c>
      <c r="L31" s="154">
        <v>250</v>
      </c>
      <c r="M31" s="154">
        <v>40</v>
      </c>
      <c r="N31" s="154">
        <v>75</v>
      </c>
      <c r="O31" s="175">
        <f>IFERROR(Calculation!O6/Calculation!O9*(1.06/Tabulka3[[#This Row],[Density]])*Calculation!W3/60,0)</f>
        <v>44.383787356165755</v>
      </c>
      <c r="P31" s="24">
        <v>0.46500000000000002</v>
      </c>
      <c r="Q31" s="24">
        <v>1.08</v>
      </c>
      <c r="R31" s="24">
        <v>1</v>
      </c>
      <c r="AC31" s="169"/>
      <c r="AD31" s="169"/>
      <c r="AE31" s="169"/>
      <c r="AF31" s="169"/>
      <c r="AG31" s="169"/>
      <c r="AH31" s="169"/>
    </row>
    <row r="32" spans="10:34" x14ac:dyDescent="0.2">
      <c r="J32" s="156" t="s">
        <v>411</v>
      </c>
      <c r="K32" s="151"/>
      <c r="L32" s="151"/>
      <c r="M32" s="151"/>
      <c r="N32" s="151"/>
      <c r="O32" s="175">
        <f>IFERROR(Calculation!O6/Calculation!O9*(1.06/Tabulka3[[#This Row],[Density]])*Calculation!W3/60,0)</f>
        <v>44.383787356165755</v>
      </c>
      <c r="P32" s="24">
        <v>0.62</v>
      </c>
      <c r="Q32" s="77">
        <v>1.08</v>
      </c>
      <c r="R32" s="24">
        <v>1</v>
      </c>
      <c r="AC32" s="169"/>
      <c r="AD32" s="169"/>
      <c r="AE32" s="169"/>
      <c r="AF32" s="169"/>
      <c r="AG32" s="169"/>
      <c r="AH32" s="169"/>
    </row>
    <row r="33" spans="10:34" x14ac:dyDescent="0.2">
      <c r="J33" s="157" t="s">
        <v>280</v>
      </c>
      <c r="K33" s="154">
        <v>160</v>
      </c>
      <c r="L33" s="154">
        <v>200</v>
      </c>
      <c r="M33" s="154">
        <v>10</v>
      </c>
      <c r="N33" s="154">
        <v>30</v>
      </c>
      <c r="O33" s="175">
        <f>IFERROR(Calculation!O6/Calculation!O9*(1.06/Tabulka3[[#This Row],[Density]])*Calculation!W3/60,0)</f>
        <v>52.102706896368495</v>
      </c>
      <c r="P33" s="24">
        <v>0.31</v>
      </c>
      <c r="Q33" s="24">
        <v>0.92</v>
      </c>
      <c r="R33" s="24">
        <v>1</v>
      </c>
      <c r="AC33" s="169"/>
      <c r="AD33" s="169"/>
      <c r="AE33" s="169"/>
      <c r="AF33" s="169"/>
      <c r="AG33" s="169"/>
      <c r="AH33" s="169"/>
    </row>
    <row r="34" spans="10:34" x14ac:dyDescent="0.2">
      <c r="J34" s="158" t="s">
        <v>410</v>
      </c>
      <c r="K34" s="159">
        <v>220</v>
      </c>
      <c r="L34" s="159">
        <v>275</v>
      </c>
      <c r="M34" s="159">
        <v>10</v>
      </c>
      <c r="N34" s="159">
        <v>40</v>
      </c>
      <c r="O34" s="175">
        <f>IFERROR(Calculation!O6/Calculation!O9*(1.06/Tabulka3[[#This Row],[Density]])*Calculation!W3/60,0)</f>
        <v>50.457358257535809</v>
      </c>
      <c r="P34" s="79">
        <v>0.54300000000000004</v>
      </c>
      <c r="Q34" s="79">
        <v>0.95</v>
      </c>
      <c r="R34" s="24">
        <v>1</v>
      </c>
      <c r="AC34" s="169"/>
      <c r="AD34" s="169"/>
      <c r="AE34" s="169"/>
      <c r="AF34" s="169"/>
      <c r="AG34" s="169"/>
      <c r="AH34" s="169"/>
    </row>
    <row r="35" spans="10:34" x14ac:dyDescent="0.2">
      <c r="K35" s="101"/>
    </row>
    <row r="36" spans="10:34" x14ac:dyDescent="0.2">
      <c r="K36" s="101"/>
      <c r="P36"/>
      <c r="Q36"/>
    </row>
    <row r="37" spans="10:34" x14ac:dyDescent="0.2">
      <c r="K37" s="101"/>
    </row>
  </sheetData>
  <mergeCells count="2">
    <mergeCell ref="AD1:AE1"/>
    <mergeCell ref="AF1:AG1"/>
  </mergeCells>
  <pageMargins left="0.7" right="0.7" top="0.78740157499999996" bottom="0.78740157499999996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view="pageBreakPreview" zoomScale="60" zoomScaleNormal="70" workbookViewId="0">
      <selection sqref="A1:D1"/>
    </sheetView>
  </sheetViews>
  <sheetFormatPr baseColWidth="10" defaultColWidth="11.42578125" defaultRowHeight="12.75" x14ac:dyDescent="0.2"/>
  <cols>
    <col min="1" max="1" width="18.140625" style="1" bestFit="1" customWidth="1"/>
    <col min="2" max="2" width="13.28515625" style="1" bestFit="1" customWidth="1"/>
    <col min="3" max="3" width="15.5703125" style="1" bestFit="1" customWidth="1"/>
    <col min="4" max="4" width="56.7109375" style="1" customWidth="1"/>
    <col min="5" max="16384" width="11.42578125" style="1"/>
  </cols>
  <sheetData>
    <row r="1" spans="1:4" ht="31.5" customHeight="1" thickBot="1" x14ac:dyDescent="0.25">
      <c r="A1" s="243" t="s">
        <v>164</v>
      </c>
      <c r="B1" s="244"/>
      <c r="C1" s="244"/>
      <c r="D1" s="245"/>
    </row>
    <row r="2" spans="1:4" ht="26.25" customHeight="1" thickBot="1" x14ac:dyDescent="0.25">
      <c r="A2" s="44" t="s">
        <v>245</v>
      </c>
      <c r="B2" s="45" t="s">
        <v>165</v>
      </c>
      <c r="C2" s="45" t="s">
        <v>243</v>
      </c>
      <c r="D2" s="46" t="s">
        <v>244</v>
      </c>
    </row>
    <row r="3" spans="1:4" ht="18" customHeight="1" x14ac:dyDescent="0.2">
      <c r="A3" s="37">
        <v>0</v>
      </c>
      <c r="B3" s="38">
        <v>42989</v>
      </c>
      <c r="C3" s="39" t="s">
        <v>241</v>
      </c>
      <c r="D3" s="47" t="s">
        <v>242</v>
      </c>
    </row>
    <row r="4" spans="1:4" ht="18" customHeight="1" x14ac:dyDescent="0.2">
      <c r="A4" s="37"/>
      <c r="B4" s="38"/>
      <c r="C4" s="39"/>
      <c r="D4" s="48"/>
    </row>
    <row r="5" spans="1:4" ht="18" customHeight="1" x14ac:dyDescent="0.2">
      <c r="A5" s="37"/>
      <c r="B5" s="38"/>
      <c r="C5" s="39"/>
      <c r="D5" s="48"/>
    </row>
    <row r="6" spans="1:4" ht="18" customHeight="1" x14ac:dyDescent="0.2">
      <c r="A6" s="37"/>
      <c r="B6" s="38"/>
      <c r="C6" s="39"/>
      <c r="D6" s="48"/>
    </row>
    <row r="7" spans="1:4" ht="14.25" x14ac:dyDescent="0.2">
      <c r="A7" s="37"/>
      <c r="B7" s="38"/>
      <c r="C7" s="39"/>
      <c r="D7" s="48"/>
    </row>
    <row r="8" spans="1:4" ht="18" customHeight="1" x14ac:dyDescent="0.2">
      <c r="A8" s="37"/>
      <c r="B8" s="38"/>
      <c r="C8" s="39"/>
      <c r="D8" s="48"/>
    </row>
    <row r="9" spans="1:4" ht="18" customHeight="1" x14ac:dyDescent="0.2">
      <c r="A9" s="37"/>
      <c r="B9" s="38"/>
      <c r="C9" s="39"/>
      <c r="D9" s="48"/>
    </row>
    <row r="10" spans="1:4" ht="18" customHeight="1" x14ac:dyDescent="0.2">
      <c r="A10" s="37"/>
      <c r="B10" s="38"/>
      <c r="C10" s="39"/>
      <c r="D10" s="48"/>
    </row>
    <row r="11" spans="1:4" ht="18" customHeight="1" x14ac:dyDescent="0.2">
      <c r="A11" s="37"/>
      <c r="B11" s="38"/>
      <c r="C11" s="39"/>
      <c r="D11" s="48"/>
    </row>
    <row r="12" spans="1:4" ht="18" customHeight="1" x14ac:dyDescent="0.2">
      <c r="A12" s="37"/>
      <c r="B12" s="38"/>
      <c r="C12" s="39"/>
      <c r="D12" s="48"/>
    </row>
    <row r="13" spans="1:4" ht="18" customHeight="1" x14ac:dyDescent="0.2">
      <c r="A13" s="37"/>
      <c r="B13" s="38"/>
      <c r="C13" s="39"/>
      <c r="D13" s="48"/>
    </row>
    <row r="14" spans="1:4" ht="18" customHeight="1" x14ac:dyDescent="0.2">
      <c r="A14" s="37"/>
      <c r="B14" s="38"/>
      <c r="C14" s="39"/>
      <c r="D14" s="48"/>
    </row>
    <row r="15" spans="1:4" ht="18" customHeight="1" x14ac:dyDescent="0.2">
      <c r="A15" s="37"/>
      <c r="B15" s="38"/>
      <c r="C15" s="39"/>
      <c r="D15" s="48"/>
    </row>
    <row r="16" spans="1:4" ht="18" customHeight="1" x14ac:dyDescent="0.2">
      <c r="A16" s="37"/>
      <c r="B16" s="38"/>
      <c r="C16" s="39"/>
      <c r="D16" s="48"/>
    </row>
    <row r="17" spans="1:4" ht="18" customHeight="1" x14ac:dyDescent="0.2">
      <c r="A17" s="37"/>
      <c r="B17" s="38"/>
      <c r="C17" s="39"/>
      <c r="D17" s="48"/>
    </row>
    <row r="18" spans="1:4" ht="18" customHeight="1" x14ac:dyDescent="0.2">
      <c r="A18" s="37"/>
      <c r="B18" s="38"/>
      <c r="C18" s="39"/>
      <c r="D18" s="48"/>
    </row>
    <row r="19" spans="1:4" ht="18" customHeight="1" x14ac:dyDescent="0.2">
      <c r="A19" s="37"/>
      <c r="B19" s="38"/>
      <c r="C19" s="39"/>
      <c r="D19" s="48"/>
    </row>
    <row r="20" spans="1:4" ht="18" customHeight="1" x14ac:dyDescent="0.2">
      <c r="A20" s="37"/>
      <c r="B20" s="38"/>
      <c r="C20" s="39"/>
      <c r="D20" s="48"/>
    </row>
    <row r="21" spans="1:4" ht="18" customHeight="1" x14ac:dyDescent="0.2">
      <c r="A21" s="37"/>
      <c r="B21" s="38"/>
      <c r="C21" s="39"/>
      <c r="D21" s="48"/>
    </row>
    <row r="22" spans="1:4" ht="18" customHeight="1" x14ac:dyDescent="0.2">
      <c r="A22" s="37"/>
      <c r="B22" s="38"/>
      <c r="C22" s="39"/>
      <c r="D22" s="48"/>
    </row>
    <row r="23" spans="1:4" ht="18" customHeight="1" x14ac:dyDescent="0.2">
      <c r="A23" s="37"/>
      <c r="B23" s="38"/>
      <c r="C23" s="39"/>
      <c r="D23" s="48"/>
    </row>
    <row r="24" spans="1:4" ht="18" customHeight="1" x14ac:dyDescent="0.2">
      <c r="A24" s="37"/>
      <c r="B24" s="38"/>
      <c r="C24" s="39"/>
      <c r="D24" s="48"/>
    </row>
    <row r="25" spans="1:4" ht="18" customHeight="1" x14ac:dyDescent="0.2">
      <c r="A25" s="37"/>
      <c r="B25" s="38"/>
      <c r="C25" s="39"/>
      <c r="D25" s="48"/>
    </row>
    <row r="26" spans="1:4" ht="18" customHeight="1" x14ac:dyDescent="0.2">
      <c r="A26" s="37"/>
      <c r="B26" s="38"/>
      <c r="C26" s="39"/>
      <c r="D26" s="48"/>
    </row>
    <row r="27" spans="1:4" ht="18" customHeight="1" x14ac:dyDescent="0.2">
      <c r="A27" s="37"/>
      <c r="B27" s="38"/>
      <c r="C27" s="39"/>
      <c r="D27" s="48"/>
    </row>
    <row r="28" spans="1:4" ht="18" customHeight="1" x14ac:dyDescent="0.2">
      <c r="A28" s="37"/>
      <c r="B28" s="38"/>
      <c r="C28" s="39"/>
      <c r="D28" s="48"/>
    </row>
    <row r="29" spans="1:4" ht="18" customHeight="1" x14ac:dyDescent="0.2">
      <c r="A29" s="37"/>
      <c r="B29" s="38"/>
      <c r="C29" s="39"/>
      <c r="D29" s="48"/>
    </row>
    <row r="30" spans="1:4" ht="18" customHeight="1" x14ac:dyDescent="0.2">
      <c r="A30" s="37"/>
      <c r="B30" s="38"/>
      <c r="C30" s="39"/>
      <c r="D30" s="48"/>
    </row>
    <row r="31" spans="1:4" ht="18" customHeight="1" x14ac:dyDescent="0.2">
      <c r="A31" s="40"/>
      <c r="B31" s="41"/>
      <c r="C31" s="41"/>
      <c r="D31" s="49"/>
    </row>
    <row r="32" spans="1:4" ht="18" customHeight="1" x14ac:dyDescent="0.2">
      <c r="A32" s="40"/>
      <c r="B32" s="41"/>
      <c r="C32" s="41"/>
      <c r="D32" s="49"/>
    </row>
    <row r="33" spans="1:4" ht="18" customHeight="1" thickBot="1" x14ac:dyDescent="0.25">
      <c r="A33" s="42"/>
      <c r="B33" s="43"/>
      <c r="C33" s="43"/>
      <c r="D33" s="50"/>
    </row>
  </sheetData>
  <mergeCells count="1">
    <mergeCell ref="A1:D1"/>
  </mergeCells>
  <pageMargins left="0.7" right="0.7" top="0.75" bottom="0.75" header="0.3" footer="0.3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4:J14"/>
  <sheetViews>
    <sheetView workbookViewId="0">
      <selection activeCell="F5" sqref="F5"/>
    </sheetView>
  </sheetViews>
  <sheetFormatPr baseColWidth="10" defaultColWidth="9.140625" defaultRowHeight="12.75" x14ac:dyDescent="0.2"/>
  <cols>
    <col min="4" max="4" width="26.5703125" customWidth="1"/>
    <col min="8" max="8" width="20.85546875" customWidth="1"/>
    <col min="10" max="10" width="16" customWidth="1"/>
  </cols>
  <sheetData>
    <row r="4" spans="4:10" ht="13.5" thickBot="1" x14ac:dyDescent="0.25">
      <c r="D4" s="80" t="s">
        <v>149</v>
      </c>
      <c r="F4" s="80" t="s">
        <v>438</v>
      </c>
      <c r="H4" s="80" t="s">
        <v>443</v>
      </c>
      <c r="J4" s="80" t="s">
        <v>444</v>
      </c>
    </row>
    <row r="5" spans="4:10" ht="15.75" thickBot="1" x14ac:dyDescent="0.3">
      <c r="D5" s="190" t="s">
        <v>277</v>
      </c>
      <c r="F5" s="189" t="s">
        <v>440</v>
      </c>
      <c r="H5" s="188">
        <v>100</v>
      </c>
      <c r="J5" s="187" t="str">
        <f>"+/-"&amp; " " &amp;VLOOKUP(D5,'Input Data'!J2:R34,9,FALSE)*VLOOKUP('Tolerance calculation'!F5,'Input Data'!A8:B10,2,FALSE)*'Tolerance calculation'!H5&amp; " " &amp;"mm"</f>
        <v>+/- 0,75 mm</v>
      </c>
    </row>
    <row r="9" spans="4:10" ht="13.5" thickBot="1" x14ac:dyDescent="0.25">
      <c r="D9" s="191" t="s">
        <v>445</v>
      </c>
    </row>
    <row r="10" spans="4:10" ht="15.75" thickBot="1" x14ac:dyDescent="0.3">
      <c r="D10" s="192">
        <v>0.02</v>
      </c>
    </row>
    <row r="13" spans="4:10" ht="13.5" thickBot="1" x14ac:dyDescent="0.25">
      <c r="D13" s="191" t="s">
        <v>446</v>
      </c>
    </row>
    <row r="14" spans="4:10" ht="15.75" thickBot="1" x14ac:dyDescent="0.3">
      <c r="D14" s="193" t="str">
        <f>IF(VLOOKUP(D5,'Input Data'!J2:R34,9,FALSE)*VLOOKUP('Tolerance calculation'!F5,'Input Data'!A8:B10,2,FALSE)*'Tolerance calculation'!H5&gt;D10,"No","Yes")</f>
        <v>No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'Input Data'!$J$2:$J$34</xm:f>
          </x14:formula1>
          <xm:sqref>D5</xm:sqref>
        </x14:dataValidation>
        <x14:dataValidation type="list" allowBlank="1" showInputMessage="1" showErrorMessage="1" xr:uid="{00000000-0002-0000-0500-000001000000}">
          <x14:formula1>
            <xm:f>'Input Data'!$A$8:$A$10</xm:f>
          </x14:formula1>
          <xm:sqref>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Heat Calc</vt:lpstr>
      <vt:lpstr>Calculation</vt:lpstr>
      <vt:lpstr>Equipment Qualification</vt:lpstr>
      <vt:lpstr>Input Data</vt:lpstr>
      <vt:lpstr>History</vt:lpstr>
      <vt:lpstr>Tolerance calculation</vt:lpstr>
      <vt:lpstr>'Equipment Qualification'!Área_de_impresión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Soler</dc:creator>
  <cp:lastModifiedBy>Ferran Colell</cp:lastModifiedBy>
  <cp:lastPrinted>2018-11-20T10:39:16Z</cp:lastPrinted>
  <dcterms:created xsi:type="dcterms:W3CDTF">2009-06-03T15:58:05Z</dcterms:created>
  <dcterms:modified xsi:type="dcterms:W3CDTF">2019-10-06T19:52:50Z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Moldometro (Versio sense D).xls</vt:lpwstr>
  </property>
</Properties>
</file>