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ec03\Documents\GitHub\Python_vstudio\"/>
    </mc:Choice>
  </mc:AlternateContent>
  <xr:revisionPtr revIDLastSave="0" documentId="8_{9D67E19C-229C-4A2E-9754-58D249744D9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jection Speed Calculations" sheetId="5" r:id="rId1"/>
    <sheet name="Shot Size Estimation" sheetId="7" r:id="rId2"/>
    <sheet name="Regrind Calculations" sheetId="6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5" i="7" l="1"/>
  <c r="F37" i="7"/>
  <c r="F23" i="7"/>
  <c r="F13" i="7"/>
  <c r="F29" i="7" l="1"/>
  <c r="F12" i="7"/>
  <c r="F18" i="7" s="1"/>
  <c r="F11" i="7"/>
  <c r="F19" i="7" l="1"/>
  <c r="F15" i="7"/>
  <c r="H4" i="7"/>
  <c r="C4" i="7"/>
  <c r="H3" i="7"/>
  <c r="C3" i="7"/>
  <c r="F14" i="7" l="1"/>
  <c r="B28" i="7"/>
  <c r="B27" i="7"/>
  <c r="F36" i="7" l="1"/>
  <c r="F33" i="7"/>
  <c r="F34" i="7" s="1"/>
  <c r="E5" i="5"/>
  <c r="E6" i="5" s="1"/>
  <c r="E3" i="5"/>
  <c r="E4" i="5" s="1"/>
  <c r="F26" i="7" l="1"/>
  <c r="F27" i="7"/>
  <c r="B45" i="7"/>
  <c r="B42" i="7"/>
  <c r="B44" i="7" s="1"/>
  <c r="B41" i="7"/>
  <c r="B46" i="7" l="1"/>
  <c r="B47" i="7" s="1"/>
  <c r="A48" i="7" s="1"/>
  <c r="F21" i="7" l="1"/>
  <c r="F25" i="7"/>
  <c r="F24" i="7" l="1"/>
  <c r="F16" i="7" l="1"/>
  <c r="F31" i="7"/>
  <c r="F30" i="7"/>
  <c r="C12" i="6" l="1"/>
  <c r="C11" i="6"/>
  <c r="N8" i="6" l="1"/>
  <c r="N7" i="6"/>
  <c r="N6" i="6"/>
  <c r="N5" i="6"/>
  <c r="N18" i="6"/>
  <c r="N17" i="6"/>
  <c r="N16" i="6"/>
  <c r="N15" i="6"/>
  <c r="G8" i="6"/>
  <c r="G7" i="6"/>
  <c r="G6" i="6"/>
  <c r="G5" i="6"/>
  <c r="O14" i="6" l="1"/>
  <c r="O19" i="6" s="1"/>
  <c r="H14" i="6"/>
  <c r="H19" i="6" s="1"/>
  <c r="G18" i="6"/>
  <c r="G17" i="6"/>
  <c r="G16" i="6"/>
  <c r="G15" i="6"/>
  <c r="O9" i="6"/>
  <c r="H9" i="6"/>
  <c r="C13" i="6" l="1"/>
  <c r="C15" i="6" s="1"/>
  <c r="C14" i="6" l="1"/>
  <c r="I14" i="6" s="1"/>
  <c r="P5" i="6"/>
  <c r="P14" i="6" l="1"/>
  <c r="P15" i="6" s="1"/>
  <c r="P19" i="6" s="1"/>
  <c r="L14" i="6"/>
  <c r="K14" i="6"/>
  <c r="J14" i="6"/>
  <c r="Q14" i="6"/>
  <c r="I15" i="6"/>
  <c r="K4" i="6"/>
  <c r="J4" i="6"/>
  <c r="I4" i="6"/>
  <c r="L4" i="6"/>
  <c r="R4" i="6"/>
  <c r="Q6" i="6"/>
  <c r="Q5" i="6" s="1"/>
  <c r="Q4" i="6"/>
  <c r="P4" i="6"/>
  <c r="P9" i="6" s="1"/>
  <c r="S4" i="6"/>
  <c r="K15" i="6" l="1"/>
  <c r="J15" i="6"/>
  <c r="J16" i="6" s="1"/>
  <c r="K16" i="6" s="1"/>
  <c r="L16" i="6" s="1"/>
  <c r="L15" i="6"/>
  <c r="I19" i="6"/>
  <c r="Q15" i="6"/>
  <c r="Q16" i="6" s="1"/>
  <c r="R15" i="6"/>
  <c r="S15" i="6" s="1"/>
  <c r="R14" i="6"/>
  <c r="R5" i="6"/>
  <c r="R7" i="6"/>
  <c r="Q9" i="6"/>
  <c r="I5" i="6"/>
  <c r="S5" i="6"/>
  <c r="R16" i="6" l="1"/>
  <c r="S16" i="6" s="1"/>
  <c r="Q19" i="6"/>
  <c r="J19" i="6"/>
  <c r="S14" i="6"/>
  <c r="L5" i="6"/>
  <c r="K5" i="6"/>
  <c r="J5" i="6"/>
  <c r="J6" i="6" s="1"/>
  <c r="S8" i="6"/>
  <c r="S7" i="6" s="1"/>
  <c r="R6" i="6"/>
  <c r="R9" i="6" s="1"/>
  <c r="S6" i="6"/>
  <c r="I9" i="6"/>
  <c r="R17" i="6" l="1"/>
  <c r="R19" i="6" s="1"/>
  <c r="S9" i="6"/>
  <c r="K6" i="6"/>
  <c r="K7" i="6" s="1"/>
  <c r="K9" i="6" s="1"/>
  <c r="L6" i="6"/>
  <c r="J9" i="6"/>
  <c r="S17" i="6" l="1"/>
  <c r="S18" i="6" s="1"/>
  <c r="S19" i="6" s="1"/>
  <c r="L7" i="6"/>
  <c r="K17" i="6"/>
  <c r="L17" i="6" l="1"/>
  <c r="L18" i="6" s="1"/>
  <c r="K19" i="6"/>
  <c r="L8" i="6"/>
  <c r="L9" i="6" s="1"/>
  <c r="L19" i="6" l="1"/>
</calcChain>
</file>

<file path=xl/sharedStrings.xml><?xml version="1.0" encoding="utf-8"?>
<sst xmlns="http://schemas.openxmlformats.org/spreadsheetml/2006/main" count="307" uniqueCount="156">
  <si>
    <t>Part Volume:</t>
  </si>
  <si>
    <t>Runner Volume:</t>
  </si>
  <si>
    <t>Part Weight:</t>
  </si>
  <si>
    <t>Runner Weight:</t>
  </si>
  <si>
    <t>Projected Area:</t>
  </si>
  <si>
    <t>[cm³]</t>
  </si>
  <si>
    <t>[grams]</t>
  </si>
  <si>
    <t>[tons]</t>
  </si>
  <si>
    <t>Inputs</t>
  </si>
  <si>
    <t>Runner Projected Area:</t>
  </si>
  <si>
    <t>Number of Runners:</t>
  </si>
  <si>
    <t>Number of Cavities:</t>
  </si>
  <si>
    <t>Results</t>
  </si>
  <si>
    <t>[%]</t>
  </si>
  <si>
    <t>[kg]</t>
  </si>
  <si>
    <t>[mins]</t>
  </si>
  <si>
    <t>Name:</t>
  </si>
  <si>
    <t>Input:</t>
  </si>
  <si>
    <t>Results:</t>
  </si>
  <si>
    <t>Shot Weight:</t>
  </si>
  <si>
    <t>Material required per 24 hours:</t>
  </si>
  <si>
    <t>Material required per 8 hours:</t>
  </si>
  <si>
    <t>Material required per hour:</t>
  </si>
  <si>
    <t>Time to mold 100 parts:</t>
  </si>
  <si>
    <t>Parts per 24 hours:</t>
  </si>
  <si>
    <t>Parts per 8 hours:</t>
  </si>
  <si>
    <t>Parts per hour:</t>
  </si>
  <si>
    <t>Required Tonnage:</t>
  </si>
  <si>
    <t>[secs]</t>
  </si>
  <si>
    <t>Unit:</t>
  </si>
  <si>
    <t>Pipe Diameter</t>
  </si>
  <si>
    <t>Water Temp.</t>
  </si>
  <si>
    <t>Flow Rate</t>
  </si>
  <si>
    <t>[°C]</t>
  </si>
  <si>
    <t>[mm]</t>
  </si>
  <si>
    <t>[L/min]</t>
  </si>
  <si>
    <t>kg/m*s</t>
  </si>
  <si>
    <t>m</t>
  </si>
  <si>
    <t>m/s</t>
  </si>
  <si>
    <t>[m³/s]</t>
  </si>
  <si>
    <t>Reynolds Number:</t>
  </si>
  <si>
    <t>K</t>
  </si>
  <si>
    <t>Cycle Time</t>
  </si>
  <si>
    <t>[g]</t>
  </si>
  <si>
    <t>Drying Time min</t>
  </si>
  <si>
    <t>Drying Time max</t>
  </si>
  <si>
    <t>[hours]</t>
  </si>
  <si>
    <t>Min Dryer Size</t>
  </si>
  <si>
    <t>Max Dryer Size</t>
  </si>
  <si>
    <t>Screw Diameter</t>
  </si>
  <si>
    <t>Fill Time</t>
  </si>
  <si>
    <t>Calc Inj Speed on Mach 1</t>
  </si>
  <si>
    <t>Injected Volume</t>
  </si>
  <si>
    <t>Fill Rate</t>
  </si>
  <si>
    <t>[mm³]</t>
  </si>
  <si>
    <t>[mm³/sec]</t>
  </si>
  <si>
    <t>[mm/sec]</t>
  </si>
  <si>
    <t>Single Part Weight:</t>
  </si>
  <si>
    <t>Single Runner Weight</t>
  </si>
  <si>
    <t>Number of Runners</t>
  </si>
  <si>
    <t>[#]</t>
  </si>
  <si>
    <t>Total Shot Weight:</t>
  </si>
  <si>
    <t>Total Weight all Cavities:</t>
  </si>
  <si>
    <t>Total Weight all Runners:</t>
  </si>
  <si>
    <t>Part</t>
  </si>
  <si>
    <t>Pass</t>
  </si>
  <si>
    <t>Virgin</t>
  </si>
  <si>
    <t>Total</t>
  </si>
  <si>
    <t>-</t>
  </si>
  <si>
    <t>% of 'g' generation regrind in 'p' number pass</t>
  </si>
  <si>
    <t>Runner</t>
  </si>
  <si>
    <t>Weight of 'g' generation regrind in 'p' number pass</t>
  </si>
  <si>
    <t>[g³/cm]</t>
  </si>
  <si>
    <t>[mm²]</t>
  </si>
  <si>
    <t>Input</t>
  </si>
  <si>
    <t>Material Density:</t>
  </si>
  <si>
    <t>(T )Temp Kelvin:</t>
  </si>
  <si>
    <t>(p) Density:</t>
  </si>
  <si>
    <t>µ Viscosity(T)</t>
  </si>
  <si>
    <t>L Diameter</t>
  </si>
  <si>
    <t>v Velocity</t>
  </si>
  <si>
    <t>Part Weight</t>
  </si>
  <si>
    <t>Number of Cavities</t>
  </si>
  <si>
    <t>Runner Weight</t>
  </si>
  <si>
    <t>% Shot Size Used:</t>
  </si>
  <si>
    <t>Residence time</t>
  </si>
  <si>
    <t xml:space="preserve">Hopper Size </t>
  </si>
  <si>
    <t>Tons/sq. cm for Material:</t>
  </si>
  <si>
    <t>Max Machine Shot weight</t>
  </si>
  <si>
    <t>[g]PS</t>
  </si>
  <si>
    <t>Parts per 6000 hours:</t>
  </si>
  <si>
    <t>Screw course</t>
  </si>
  <si>
    <t>Cushion</t>
  </si>
  <si>
    <t>Distance Travelled</t>
  </si>
  <si>
    <t>Screw Distance Travelled</t>
  </si>
  <si>
    <t>Injection Speed</t>
  </si>
  <si>
    <t>[rpm]</t>
  </si>
  <si>
    <t>Screw Speed</t>
  </si>
  <si>
    <t>[min]</t>
  </si>
  <si>
    <t>[cm²]</t>
  </si>
  <si>
    <t>PS (GPPS)</t>
  </si>
  <si>
    <t>0.155 - 0.31</t>
  </si>
  <si>
    <t>PS (GPPS) (paredes delgadas)</t>
  </si>
  <si>
    <t>0.465 - 0.62</t>
  </si>
  <si>
    <t>HIPS</t>
  </si>
  <si>
    <t>HIPS (paredes delgadas)</t>
  </si>
  <si>
    <t>0.388 - 0.543</t>
  </si>
  <si>
    <t>ABS</t>
  </si>
  <si>
    <t>0.388 - 0.62</t>
  </si>
  <si>
    <t>AS (SAN)</t>
  </si>
  <si>
    <t>0.388 - 0.465</t>
  </si>
  <si>
    <t>AS (SAN) (flujos largos)</t>
  </si>
  <si>
    <t>LDPE</t>
  </si>
  <si>
    <t>HDPE</t>
  </si>
  <si>
    <t>0.233 - 0.388</t>
  </si>
  <si>
    <t>HDPE (flujos largos)</t>
  </si>
  <si>
    <t>PP (Homo/Copolímero)</t>
  </si>
  <si>
    <t>PP (H/Co) (flujos largos)</t>
  </si>
  <si>
    <t>PPVC (blando)</t>
  </si>
  <si>
    <t>UPVC (rígido)</t>
  </si>
  <si>
    <t>0.31 - 0.465</t>
  </si>
  <si>
    <t>PA6, PA66</t>
  </si>
  <si>
    <t>0.62 - 0.775</t>
  </si>
  <si>
    <t>PMMA</t>
  </si>
  <si>
    <t>0.31 - 0.62</t>
  </si>
  <si>
    <t>PC</t>
  </si>
  <si>
    <t>0.465 - 0.775</t>
  </si>
  <si>
    <t>POM (Homo/Copolímero)</t>
  </si>
  <si>
    <t>PET (Amorfo)</t>
  </si>
  <si>
    <t>0.31 - 0.388</t>
  </si>
  <si>
    <t>PET (Cristalino)</t>
  </si>
  <si>
    <t>0.62 - 0.93</t>
  </si>
  <si>
    <t>PBT</t>
  </si>
  <si>
    <t>CA</t>
  </si>
  <si>
    <t>PPO-M (no reforzado)</t>
  </si>
  <si>
    <t>PPO-M (reforzado)</t>
  </si>
  <si>
    <t>PPS</t>
  </si>
  <si>
    <t xml:space="preserve">Raw material </t>
  </si>
  <si>
    <t>[tons/cm²]</t>
  </si>
  <si>
    <t xml:space="preserve">Material </t>
  </si>
  <si>
    <t>Density</t>
  </si>
  <si>
    <t>Re</t>
  </si>
  <si>
    <t>EQUIPMENT QUALIFICATION</t>
  </si>
  <si>
    <t>ITP REFERENCE:</t>
  </si>
  <si>
    <t>RAW MATERIAL 1</t>
  </si>
  <si>
    <t>PART NAME:</t>
  </si>
  <si>
    <t>RAW MATERIAL 2</t>
  </si>
  <si>
    <t>PRELIMINARY DRAWING CODE:</t>
  </si>
  <si>
    <t>DATE:</t>
  </si>
  <si>
    <t>RHEOLOGY ANALYSIS FILE CODE:</t>
  </si>
  <si>
    <t xml:space="preserve">HEATERS CALCULATION </t>
  </si>
  <si>
    <t>Machine Tonnage</t>
  </si>
  <si>
    <t xml:space="preserve">Production Outputs </t>
  </si>
  <si>
    <t>Material Consumption</t>
  </si>
  <si>
    <t>Injection Unit Performace</t>
  </si>
  <si>
    <t>m/min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</si>
</sst>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"/>
    <numFmt numFmtId="166" formatCode="_-* #,##0.0\ _€_-;\-* #,##0.0\ _€_-;_-* &quot;-&quot;??\ _€_-;_-@_-"/>
    <numFmt numFmtId="167" formatCode="_-* #,##0\ _€_-;\-* #,##0\ _€_-;_-* &quot;-&quot;??\ _€_-;_-@_-"/>
  </numFmts>
  <fonts count="1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21"/>
      <name val="Arial"/>
      <family val="2"/>
    </font>
    <font>
      <b/>
      <sz val="16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thin">
        <color rgb="FF3F3F3F"/>
      </top>
      <bottom/>
      <diagonal/>
    </border>
    <border>
      <left/>
      <right style="double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3" applyNumberFormat="0" applyAlignment="0" applyProtection="0"/>
    <xf numFmtId="0" fontId="4" fillId="0" borderId="0" applyNumberFormat="0" applyFill="0" applyBorder="0" applyAlignment="0" applyProtection="0"/>
    <xf numFmtId="164" fontId="14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6" fillId="0" borderId="0" xfId="0" applyFont="1" applyFill="1"/>
    <xf numFmtId="0" fontId="7" fillId="0" borderId="0" xfId="0" applyFont="1" applyAlignment="1"/>
    <xf numFmtId="0" fontId="2" fillId="2" borderId="0" xfId="2" applyBorder="1"/>
    <xf numFmtId="0" fontId="2" fillId="2" borderId="0" xfId="2" applyBorder="1" applyAlignment="1">
      <alignment vertical="center"/>
    </xf>
    <xf numFmtId="0" fontId="3" fillId="3" borderId="3" xfId="3" applyAlignment="1">
      <alignment horizontal="center"/>
    </xf>
    <xf numFmtId="16" fontId="3" fillId="3" borderId="3" xfId="3" applyNumberFormat="1" applyAlignment="1">
      <alignment horizontal="center"/>
    </xf>
    <xf numFmtId="2" fontId="4" fillId="0" borderId="0" xfId="4" applyNumberFormat="1" applyFill="1" applyAlignment="1">
      <alignment horizontal="center"/>
    </xf>
    <xf numFmtId="2" fontId="4" fillId="0" borderId="0" xfId="4" applyNumberFormat="1" applyFill="1" applyAlignment="1">
      <alignment horizontal="center" vertical="center"/>
    </xf>
    <xf numFmtId="9" fontId="4" fillId="0" borderId="0" xfId="4" applyNumberFormat="1" applyFill="1" applyAlignment="1">
      <alignment horizontal="center"/>
    </xf>
    <xf numFmtId="0" fontId="0" fillId="0" borderId="0" xfId="0" applyBorder="1"/>
    <xf numFmtId="10" fontId="4" fillId="0" borderId="0" xfId="4" applyNumberFormat="1" applyFill="1" applyAlignment="1">
      <alignment horizontal="center"/>
    </xf>
    <xf numFmtId="10" fontId="4" fillId="0" borderId="0" xfId="4" applyNumberFormat="1" applyFill="1" applyAlignment="1">
      <alignment horizontal="center" vertical="center"/>
    </xf>
    <xf numFmtId="0" fontId="3" fillId="3" borderId="3" xfId="3"/>
    <xf numFmtId="10" fontId="3" fillId="3" borderId="3" xfId="3" applyNumberFormat="1"/>
    <xf numFmtId="0" fontId="1" fillId="2" borderId="2" xfId="1"/>
    <xf numFmtId="0" fontId="1" fillId="2" borderId="2" xfId="1" applyProtection="1">
      <protection locked="0"/>
    </xf>
    <xf numFmtId="0" fontId="1" fillId="2" borderId="2" xfId="1"/>
    <xf numFmtId="2" fontId="3" fillId="3" borderId="3" xfId="3" applyNumberFormat="1"/>
    <xf numFmtId="0" fontId="1" fillId="2" borderId="2" xfId="1"/>
    <xf numFmtId="0" fontId="1" fillId="2" borderId="2" xfId="1"/>
    <xf numFmtId="0" fontId="6" fillId="0" borderId="0" xfId="0" applyFont="1"/>
    <xf numFmtId="0" fontId="6" fillId="0" borderId="0" xfId="0" applyFont="1" applyFill="1" applyBorder="1"/>
    <xf numFmtId="0" fontId="6" fillId="0" borderId="0" xfId="0" applyFont="1" applyAlignment="1"/>
    <xf numFmtId="0" fontId="1" fillId="4" borderId="2" xfId="1" applyFill="1" applyProtection="1">
      <protection locked="0"/>
    </xf>
    <xf numFmtId="0" fontId="1" fillId="2" borderId="2" xfId="1"/>
    <xf numFmtId="0" fontId="1" fillId="4" borderId="2" xfId="1" applyFill="1"/>
    <xf numFmtId="0" fontId="1" fillId="2" borderId="2" xfId="1" applyAlignment="1">
      <alignment horizontal="center"/>
    </xf>
    <xf numFmtId="0" fontId="1" fillId="2" borderId="2" xfId="1"/>
    <xf numFmtId="0" fontId="1" fillId="2" borderId="2" xfId="1"/>
    <xf numFmtId="0" fontId="6" fillId="0" borderId="0" xfId="0" applyFont="1" applyProtection="1">
      <protection hidden="1"/>
    </xf>
    <xf numFmtId="0" fontId="1" fillId="2" borderId="2" xfId="1"/>
    <xf numFmtId="0" fontId="13" fillId="5" borderId="3" xfId="3" applyFont="1" applyFill="1" applyAlignment="1">
      <alignment horizontal="center"/>
    </xf>
    <xf numFmtId="0" fontId="13" fillId="5" borderId="3" xfId="3" applyFont="1" applyFill="1" applyBorder="1"/>
    <xf numFmtId="0" fontId="13" fillId="5" borderId="3" xfId="3" applyFont="1" applyFill="1"/>
    <xf numFmtId="0" fontId="13" fillId="5" borderId="3" xfId="3" applyFont="1" applyFill="1" applyProtection="1">
      <protection hidden="1"/>
    </xf>
    <xf numFmtId="1" fontId="13" fillId="5" borderId="3" xfId="3" applyNumberFormat="1" applyFont="1" applyFill="1" applyProtection="1">
      <protection hidden="1"/>
    </xf>
    <xf numFmtId="1" fontId="13" fillId="5" borderId="3" xfId="3" applyNumberFormat="1" applyFont="1" applyFill="1" applyAlignment="1" applyProtection="1">
      <alignment horizontal="center"/>
      <protection hidden="1"/>
    </xf>
    <xf numFmtId="0" fontId="1" fillId="2" borderId="2" xfId="1"/>
    <xf numFmtId="164" fontId="0" fillId="0" borderId="0" xfId="5" applyFont="1"/>
    <xf numFmtId="166" fontId="13" fillId="5" borderId="3" xfId="5" applyNumberFormat="1" applyFont="1" applyFill="1" applyBorder="1" applyProtection="1">
      <protection hidden="1"/>
    </xf>
    <xf numFmtId="167" fontId="13" fillId="5" borderId="3" xfId="5" applyNumberFormat="1" applyFont="1" applyFill="1" applyBorder="1" applyProtection="1">
      <protection hidden="1"/>
    </xf>
    <xf numFmtId="0" fontId="1" fillId="2" borderId="11" xfId="1" applyBorder="1" applyAlignment="1"/>
    <xf numFmtId="0" fontId="1" fillId="2" borderId="12" xfId="1" applyBorder="1" applyAlignment="1"/>
    <xf numFmtId="0" fontId="1" fillId="2" borderId="20" xfId="1" applyBorder="1" applyAlignment="1"/>
    <xf numFmtId="0" fontId="1" fillId="2" borderId="14" xfId="1" applyBorder="1" applyAlignment="1"/>
    <xf numFmtId="0" fontId="1" fillId="2" borderId="15" xfId="1" applyBorder="1" applyAlignment="1"/>
    <xf numFmtId="0" fontId="1" fillId="2" borderId="21" xfId="1" applyBorder="1" applyAlignment="1"/>
    <xf numFmtId="0" fontId="3" fillId="3" borderId="3" xfId="3" applyAlignment="1"/>
    <xf numFmtId="165" fontId="13" fillId="5" borderId="3" xfId="3" applyNumberFormat="1" applyFont="1" applyFill="1" applyProtection="1">
      <protection hidden="1"/>
    </xf>
    <xf numFmtId="2" fontId="13" fillId="5" borderId="3" xfId="3" applyNumberFormat="1" applyFont="1" applyFill="1" applyProtection="1">
      <protection hidden="1"/>
    </xf>
    <xf numFmtId="2" fontId="13" fillId="5" borderId="3" xfId="3" applyNumberFormat="1" applyFont="1" applyFill="1" applyBorder="1"/>
    <xf numFmtId="166" fontId="13" fillId="5" borderId="3" xfId="5" applyNumberFormat="1" applyFont="1" applyFill="1" applyBorder="1" applyAlignment="1" applyProtection="1">
      <alignment horizontal="right"/>
      <protection hidden="1"/>
    </xf>
    <xf numFmtId="0" fontId="1" fillId="2" borderId="2" xfId="1" applyAlignment="1">
      <alignment horizontal="center"/>
    </xf>
    <xf numFmtId="0" fontId="1" fillId="2" borderId="2" xfId="1"/>
    <xf numFmtId="2" fontId="1" fillId="2" borderId="2" xfId="1" applyNumberFormat="1"/>
    <xf numFmtId="0" fontId="1" fillId="2" borderId="2" xfId="1" applyAlignment="1">
      <alignment horizontal="left"/>
    </xf>
    <xf numFmtId="0" fontId="1" fillId="2" borderId="23" xfId="1" applyBorder="1"/>
    <xf numFmtId="0" fontId="6" fillId="0" borderId="22" xfId="0" applyFont="1" applyBorder="1"/>
    <xf numFmtId="0" fontId="0" fillId="0" borderId="22" xfId="0" applyBorder="1"/>
    <xf numFmtId="0" fontId="1" fillId="2" borderId="11" xfId="1" applyBorder="1"/>
    <xf numFmtId="0" fontId="6" fillId="0" borderId="24" xfId="0" applyFont="1" applyBorder="1"/>
    <xf numFmtId="0" fontId="0" fillId="0" borderId="24" xfId="0" applyBorder="1"/>
    <xf numFmtId="0" fontId="1" fillId="2" borderId="22" xfId="1" applyBorder="1"/>
    <xf numFmtId="0" fontId="1" fillId="2" borderId="2" xfId="1"/>
    <xf numFmtId="0" fontId="17" fillId="8" borderId="22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7" fillId="7" borderId="24" xfId="0" applyFont="1" applyFill="1" applyBorder="1" applyAlignment="1">
      <alignment horizontal="left" vertical="center"/>
    </xf>
    <xf numFmtId="0" fontId="17" fillId="7" borderId="27" xfId="0" applyFont="1" applyFill="1" applyBorder="1" applyAlignment="1">
      <alignment horizontal="left" vertical="center"/>
    </xf>
    <xf numFmtId="0" fontId="17" fillId="7" borderId="28" xfId="0" applyFont="1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6" fillId="6" borderId="29" xfId="0" applyFont="1" applyFill="1" applyBorder="1" applyAlignment="1">
      <alignment horizontal="center" vertical="center"/>
    </xf>
    <xf numFmtId="0" fontId="16" fillId="6" borderId="30" xfId="0" applyFont="1" applyFill="1" applyBorder="1" applyAlignment="1">
      <alignment horizontal="center" vertical="center"/>
    </xf>
    <xf numFmtId="0" fontId="16" fillId="6" borderId="31" xfId="0" applyFont="1" applyFill="1" applyBorder="1" applyAlignment="1">
      <alignment horizontal="center" vertical="center"/>
    </xf>
    <xf numFmtId="0" fontId="16" fillId="6" borderId="32" xfId="0" applyFont="1" applyFill="1" applyBorder="1" applyAlignment="1">
      <alignment horizontal="center" vertical="center"/>
    </xf>
    <xf numFmtId="0" fontId="16" fillId="6" borderId="33" xfId="0" applyFont="1" applyFill="1" applyBorder="1" applyAlignment="1">
      <alignment horizontal="center" vertical="center"/>
    </xf>
    <xf numFmtId="0" fontId="16" fillId="6" borderId="34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7" fillId="7" borderId="22" xfId="0" applyFont="1" applyFill="1" applyBorder="1" applyAlignment="1">
      <alignment vertical="center"/>
    </xf>
    <xf numFmtId="0" fontId="0" fillId="7" borderId="22" xfId="0" applyFill="1" applyBorder="1" applyAlignment="1">
      <alignment vertical="center"/>
    </xf>
    <xf numFmtId="0" fontId="17" fillId="0" borderId="24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7" borderId="24" xfId="0" applyFont="1" applyFill="1" applyBorder="1" applyAlignment="1">
      <alignment horizontal="center" vertical="center"/>
    </xf>
    <xf numFmtId="0" fontId="17" fillId="7" borderId="28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7" fillId="0" borderId="24" xfId="0" applyNumberFormat="1" applyFont="1" applyBorder="1" applyAlignment="1">
      <alignment horizontal="center" vertical="center"/>
    </xf>
    <xf numFmtId="0" fontId="17" fillId="0" borderId="28" xfId="0" applyNumberFormat="1" applyFont="1" applyBorder="1" applyAlignment="1">
      <alignment horizontal="center" vertical="center"/>
    </xf>
    <xf numFmtId="0" fontId="12" fillId="3" borderId="3" xfId="3" applyFont="1" applyAlignment="1">
      <alignment horizontal="center" vertical="center"/>
    </xf>
    <xf numFmtId="0" fontId="1" fillId="2" borderId="2" xfId="1" applyAlignment="1">
      <alignment horizontal="center"/>
    </xf>
    <xf numFmtId="0" fontId="13" fillId="5" borderId="3" xfId="3" applyFont="1" applyFill="1" applyAlignment="1">
      <alignment horizontal="center"/>
    </xf>
    <xf numFmtId="0" fontId="13" fillId="5" borderId="18" xfId="3" applyFont="1" applyFill="1" applyBorder="1" applyAlignment="1">
      <alignment horizontal="center"/>
    </xf>
    <xf numFmtId="0" fontId="13" fillId="5" borderId="19" xfId="3" applyFont="1" applyFill="1" applyBorder="1" applyAlignment="1">
      <alignment horizontal="center"/>
    </xf>
    <xf numFmtId="0" fontId="13" fillId="5" borderId="17" xfId="3" applyFont="1" applyFill="1" applyBorder="1" applyAlignment="1">
      <alignment horizontal="center"/>
    </xf>
    <xf numFmtId="0" fontId="9" fillId="3" borderId="5" xfId="3" applyFont="1" applyBorder="1" applyAlignment="1">
      <alignment horizontal="center"/>
    </xf>
    <xf numFmtId="0" fontId="9" fillId="3" borderId="6" xfId="3" applyFont="1" applyBorder="1" applyAlignment="1">
      <alignment horizontal="center"/>
    </xf>
    <xf numFmtId="0" fontId="3" fillId="3" borderId="8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3" fillId="3" borderId="9" xfId="3" applyBorder="1" applyAlignment="1">
      <alignment horizontal="center" vertical="center"/>
    </xf>
    <xf numFmtId="0" fontId="5" fillId="2" borderId="0" xfId="2" applyFont="1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8" fillId="3" borderId="7" xfId="3" applyFont="1" applyBorder="1" applyAlignment="1">
      <alignment horizontal="center"/>
    </xf>
    <xf numFmtId="0" fontId="8" fillId="3" borderId="6" xfId="3" applyFont="1" applyBorder="1" applyAlignment="1">
      <alignment horizontal="center"/>
    </xf>
    <xf numFmtId="0" fontId="11" fillId="3" borderId="3" xfId="3" applyFont="1" applyAlignment="1">
      <alignment horizontal="center"/>
    </xf>
    <xf numFmtId="0" fontId="10" fillId="2" borderId="11" xfId="1" applyFont="1" applyBorder="1" applyAlignment="1">
      <alignment horizontal="center" vertical="center"/>
    </xf>
    <xf numFmtId="0" fontId="10" fillId="2" borderId="12" xfId="1" applyFont="1" applyBorder="1" applyAlignment="1">
      <alignment horizontal="center" vertical="center"/>
    </xf>
    <xf numFmtId="0" fontId="10" fillId="2" borderId="13" xfId="1" applyFont="1" applyBorder="1" applyAlignment="1">
      <alignment horizontal="center" vertical="center"/>
    </xf>
    <xf numFmtId="0" fontId="10" fillId="2" borderId="14" xfId="1" applyFont="1" applyBorder="1" applyAlignment="1">
      <alignment horizontal="center" vertical="center"/>
    </xf>
    <xf numFmtId="0" fontId="10" fillId="2" borderId="15" xfId="1" applyFont="1" applyBorder="1" applyAlignment="1">
      <alignment horizontal="center" vertical="center"/>
    </xf>
    <xf numFmtId="0" fontId="10" fillId="2" borderId="16" xfId="1" applyFont="1" applyBorder="1" applyAlignment="1">
      <alignment horizontal="center" vertical="center"/>
    </xf>
    <xf numFmtId="0" fontId="3" fillId="3" borderId="3" xfId="3" applyAlignment="1">
      <alignment horizontal="center"/>
    </xf>
    <xf numFmtId="0" fontId="8" fillId="3" borderId="3" xfId="3" applyFont="1" applyAlignment="1">
      <alignment horizontal="center"/>
    </xf>
    <xf numFmtId="0" fontId="1" fillId="2" borderId="2" xfId="1"/>
    <xf numFmtId="0" fontId="5" fillId="2" borderId="10" xfId="2" applyFont="1" applyBorder="1" applyAlignment="1">
      <alignment horizontal="center" vertical="center"/>
    </xf>
    <xf numFmtId="0" fontId="3" fillId="3" borderId="3" xfId="3" applyAlignment="1">
      <alignment horizontal="center" vertical="center"/>
    </xf>
    <xf numFmtId="0" fontId="8" fillId="3" borderId="5" xfId="3" applyFont="1" applyBorder="1" applyAlignment="1">
      <alignment horizontal="center"/>
    </xf>
    <xf numFmtId="0" fontId="3" fillId="3" borderId="18" xfId="3" applyBorder="1" applyAlignment="1">
      <alignment horizontal="center" vertical="center"/>
    </xf>
    <xf numFmtId="0" fontId="3" fillId="3" borderId="19" xfId="3" applyBorder="1" applyAlignment="1">
      <alignment horizontal="center" vertical="center"/>
    </xf>
    <xf numFmtId="0" fontId="3" fillId="3" borderId="17" xfId="3" applyBorder="1" applyAlignment="1">
      <alignment horizontal="center" vertical="center"/>
    </xf>
  </cellXfs>
  <cellStyles count="6">
    <cellStyle name="Cálculo" xfId="2" builtinId="22"/>
    <cellStyle name="Celda de comprobación" xfId="3" builtinId="23" customBuiltin="1"/>
    <cellStyle name="Millares" xfId="5" builtinId="3"/>
    <cellStyle name="Normal" xfId="0" builtinId="0"/>
    <cellStyle name="Salida" xfId="1" builtinId="21"/>
    <cellStyle name="Texto explicativo" xfId="4" builtinId="53"/>
  </cellStyles>
  <dxfs count="3"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239806</xdr:colOff>
      <xdr:row>0</xdr:row>
      <xdr:rowOff>53975</xdr:rowOff>
    </xdr:from>
    <xdr:to>
      <xdr:col>0</xdr:col>
      <xdr:colOff>1152301</xdr:colOff>
      <xdr:row>1</xdr:row>
      <xdr:rowOff>518795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21A8FC-3CC0-4EBA-A1EC-CAE4511B2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806" y="53975"/>
          <a:ext cx="912495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J48"/>
  <sheetViews>
    <sheetView workbookViewId="0">
      <selection activeCell="E42" sqref="E42"/>
    </sheetView>
  </sheetViews>
  <sheetFormatPr baseColWidth="10" defaultColWidth="9.140625" defaultRowHeight="15" x14ac:dyDescent="0.25"/>
  <cols>
    <col min="1" max="1" width="15" bestFit="1" customWidth="1"/>
    <col min="2" max="2" width="8.5703125" customWidth="1"/>
    <col min="3" max="3" width="6.140625" bestFit="1" customWidth="1"/>
    <col min="4" max="4" width="23" bestFit="1" customWidth="1"/>
    <col min="9" max="9" width="23.140625" customWidth="1"/>
    <col min="10" max="10" width="11.7109375" customWidth="1"/>
    <col min="11" max="11" width="10" customWidth="1"/>
  </cols>
  <sheetData>
    <row r="1" spans="1:36" ht="16.5" thickTop="1" thickBot="1" x14ac:dyDescent="0.3">
      <c r="A1" s="44" t="s">
        <v>74</v>
      </c>
      <c r="B1" s="45"/>
      <c r="C1" s="46"/>
      <c r="D1" s="50" t="s">
        <v>12</v>
      </c>
      <c r="E1" s="50"/>
      <c r="F1" s="50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</row>
    <row r="2" spans="1:36" ht="16.5" thickTop="1" thickBot="1" x14ac:dyDescent="0.3">
      <c r="A2" s="47"/>
      <c r="B2" s="48"/>
      <c r="C2" s="49"/>
      <c r="D2" s="50"/>
      <c r="E2" s="50"/>
      <c r="F2" s="50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</row>
    <row r="3" spans="1:36" ht="16.5" thickTop="1" thickBot="1" x14ac:dyDescent="0.3">
      <c r="A3" s="21" t="s">
        <v>49</v>
      </c>
      <c r="B3" s="21">
        <v>25</v>
      </c>
      <c r="C3" s="21" t="s">
        <v>34</v>
      </c>
      <c r="D3" s="15" t="s">
        <v>93</v>
      </c>
      <c r="E3" s="15">
        <f>B4-B5</f>
        <v>95</v>
      </c>
      <c r="F3" s="15" t="s">
        <v>34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</row>
    <row r="4" spans="1:36" ht="15.75" customHeight="1" thickTop="1" thickBot="1" x14ac:dyDescent="0.3">
      <c r="A4" s="19" t="s">
        <v>91</v>
      </c>
      <c r="B4" s="19">
        <v>100</v>
      </c>
      <c r="C4" s="19" t="s">
        <v>34</v>
      </c>
      <c r="D4" s="15" t="s">
        <v>51</v>
      </c>
      <c r="E4" s="15">
        <f>E3/B6</f>
        <v>4.75</v>
      </c>
      <c r="F4" s="15" t="s">
        <v>56</v>
      </c>
      <c r="G4" s="23"/>
      <c r="H4" s="23"/>
      <c r="I4" s="23"/>
      <c r="J4" s="23"/>
      <c r="K4" s="23"/>
      <c r="L4" s="25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</row>
    <row r="5" spans="1:36" ht="15.75" customHeight="1" thickTop="1" thickBot="1" x14ac:dyDescent="0.3">
      <c r="A5" s="19" t="s">
        <v>92</v>
      </c>
      <c r="B5" s="19">
        <v>5</v>
      </c>
      <c r="C5" s="19" t="s">
        <v>34</v>
      </c>
      <c r="D5" s="15" t="s">
        <v>52</v>
      </c>
      <c r="E5" s="20">
        <f>(B3*B3*PI()/4)*(B4-B5)</f>
        <v>46633.015951723493</v>
      </c>
      <c r="F5" s="15" t="s">
        <v>54</v>
      </c>
      <c r="G5" s="23"/>
      <c r="H5" s="23"/>
      <c r="I5" s="23"/>
      <c r="J5" s="23"/>
      <c r="K5" s="23"/>
      <c r="L5" s="25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</row>
    <row r="6" spans="1:36" ht="16.5" thickTop="1" thickBot="1" x14ac:dyDescent="0.3">
      <c r="A6" s="19" t="s">
        <v>50</v>
      </c>
      <c r="B6" s="19">
        <v>20</v>
      </c>
      <c r="C6" s="19" t="s">
        <v>28</v>
      </c>
      <c r="D6" s="15" t="s">
        <v>53</v>
      </c>
      <c r="E6" s="20">
        <f>E5/B6</f>
        <v>2331.6507975861746</v>
      </c>
      <c r="F6" s="15" t="s">
        <v>55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</row>
    <row r="7" spans="1:36" ht="15.75" thickTop="1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</row>
    <row r="8" spans="1:36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spans="1:36" x14ac:dyDescent="0.25">
      <c r="A9" s="23"/>
      <c r="B9" s="23"/>
      <c r="C9" s="23"/>
      <c r="D9" s="23"/>
      <c r="E9" s="23"/>
      <c r="F9" s="23"/>
      <c r="G9" s="23"/>
      <c r="H9" s="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</row>
    <row r="10" spans="1:36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</row>
    <row r="11" spans="1:36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</row>
    <row r="12" spans="1:36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</row>
    <row r="13" spans="1:36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</row>
    <row r="14" spans="1:36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</row>
    <row r="15" spans="1:36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</row>
    <row r="16" spans="1:36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</row>
    <row r="17" spans="1:36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</row>
    <row r="18" spans="1:36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</row>
    <row r="19" spans="1:36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spans="1:36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spans="1:36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spans="1:36" x14ac:dyDescent="0.25">
      <c r="A22" s="23"/>
      <c r="B22" s="23"/>
      <c r="C22" s="23"/>
      <c r="D22" s="23" t="s">
        <v>100</v>
      </c>
      <c r="E22" s="23" t="s">
        <v>101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spans="1:36" x14ac:dyDescent="0.25">
      <c r="A23" s="23"/>
      <c r="B23" s="23"/>
      <c r="C23" s="23"/>
      <c r="D23" s="23" t="s">
        <v>102</v>
      </c>
      <c r="E23" s="23" t="s">
        <v>103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spans="1:36" x14ac:dyDescent="0.25">
      <c r="A24" s="23"/>
      <c r="B24" s="23"/>
      <c r="C24" s="23"/>
      <c r="D24" s="23" t="s">
        <v>104</v>
      </c>
      <c r="E24" s="23" t="s">
        <v>101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spans="1:36" x14ac:dyDescent="0.25">
      <c r="A25" s="23"/>
      <c r="B25" s="23"/>
      <c r="C25" s="23"/>
      <c r="D25" s="23" t="s">
        <v>105</v>
      </c>
      <c r="E25" s="23" t="s">
        <v>106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spans="1:36" x14ac:dyDescent="0.25">
      <c r="A26" s="23"/>
      <c r="B26" s="23"/>
      <c r="C26" s="23"/>
      <c r="D26" s="23" t="s">
        <v>107</v>
      </c>
      <c r="E26" s="23" t="s">
        <v>108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x14ac:dyDescent="0.25">
      <c r="A27" s="23"/>
      <c r="B27" s="23"/>
      <c r="C27" s="23"/>
      <c r="D27" s="23" t="s">
        <v>109</v>
      </c>
      <c r="E27" s="23" t="s">
        <v>110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x14ac:dyDescent="0.25">
      <c r="A28" s="23"/>
      <c r="B28" s="23"/>
      <c r="C28" s="23"/>
      <c r="D28" s="23" t="s">
        <v>111</v>
      </c>
      <c r="E28" s="23" t="s">
        <v>103</v>
      </c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x14ac:dyDescent="0.25">
      <c r="A29" s="23"/>
      <c r="B29" s="23"/>
      <c r="C29" s="23"/>
      <c r="D29" s="23" t="s">
        <v>112</v>
      </c>
      <c r="E29" s="23" t="s">
        <v>101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x14ac:dyDescent="0.25">
      <c r="A30" s="23"/>
      <c r="B30" s="23"/>
      <c r="C30" s="23"/>
      <c r="D30" s="23" t="s">
        <v>113</v>
      </c>
      <c r="E30" s="23" t="s">
        <v>114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</row>
    <row r="31" spans="1:36" x14ac:dyDescent="0.25">
      <c r="A31" s="23"/>
      <c r="B31" s="23"/>
      <c r="C31" s="23"/>
      <c r="D31" s="23" t="s">
        <v>115</v>
      </c>
      <c r="E31" s="23" t="s">
        <v>106</v>
      </c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x14ac:dyDescent="0.25">
      <c r="A32" s="23"/>
      <c r="B32" s="23"/>
      <c r="C32" s="23"/>
      <c r="D32" s="23" t="s">
        <v>116</v>
      </c>
      <c r="E32" s="23" t="s">
        <v>114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x14ac:dyDescent="0.25">
      <c r="A33" s="23"/>
      <c r="B33" s="23"/>
      <c r="C33" s="23"/>
      <c r="D33" s="23" t="s">
        <v>117</v>
      </c>
      <c r="E33" s="23" t="s">
        <v>106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</row>
    <row r="34" spans="1:36" x14ac:dyDescent="0.25">
      <c r="A34" s="23"/>
      <c r="B34" s="23"/>
      <c r="C34" s="23"/>
      <c r="D34" s="23" t="s">
        <v>118</v>
      </c>
      <c r="E34" s="23" t="s">
        <v>114</v>
      </c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</row>
    <row r="35" spans="1:36" x14ac:dyDescent="0.25">
      <c r="A35" s="23"/>
      <c r="B35" s="23"/>
      <c r="C35" s="23"/>
      <c r="D35" s="23" t="s">
        <v>119</v>
      </c>
      <c r="E35" s="23" t="s">
        <v>120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1:36" x14ac:dyDescent="0.25">
      <c r="A36" s="23"/>
      <c r="B36" s="23"/>
      <c r="C36" s="23"/>
      <c r="D36" s="23" t="s">
        <v>121</v>
      </c>
      <c r="E36" s="23" t="s">
        <v>122</v>
      </c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x14ac:dyDescent="0.25">
      <c r="A37" s="23"/>
      <c r="B37" s="23"/>
      <c r="C37" s="23"/>
      <c r="D37" s="23" t="s">
        <v>123</v>
      </c>
      <c r="E37" s="23" t="s">
        <v>124</v>
      </c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x14ac:dyDescent="0.25">
      <c r="A38" s="23"/>
      <c r="B38" s="23"/>
      <c r="C38" s="23"/>
      <c r="D38" s="23" t="s">
        <v>125</v>
      </c>
      <c r="E38" s="23" t="s">
        <v>126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x14ac:dyDescent="0.25">
      <c r="A39" s="23"/>
      <c r="B39" s="23"/>
      <c r="C39" s="23"/>
      <c r="D39" s="23" t="s">
        <v>127</v>
      </c>
      <c r="E39" s="23" t="s">
        <v>126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x14ac:dyDescent="0.25">
      <c r="A40" s="23"/>
      <c r="B40" s="23"/>
      <c r="C40" s="23"/>
      <c r="D40" s="23" t="s">
        <v>128</v>
      </c>
      <c r="E40" s="23" t="s">
        <v>129</v>
      </c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x14ac:dyDescent="0.25">
      <c r="A41" s="23"/>
      <c r="B41" s="23"/>
      <c r="C41" s="23"/>
      <c r="D41" s="23" t="s">
        <v>130</v>
      </c>
      <c r="E41" s="23" t="s">
        <v>131</v>
      </c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x14ac:dyDescent="0.25">
      <c r="A42" s="23"/>
      <c r="B42" s="23"/>
      <c r="C42" s="23"/>
      <c r="D42" s="23" t="s">
        <v>132</v>
      </c>
      <c r="E42" s="23" t="s">
        <v>103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x14ac:dyDescent="0.25">
      <c r="A43" s="23"/>
      <c r="B43" s="23"/>
      <c r="C43" s="23"/>
      <c r="D43" s="23" t="s">
        <v>133</v>
      </c>
      <c r="E43" s="23" t="s">
        <v>101</v>
      </c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x14ac:dyDescent="0.25">
      <c r="A44" s="23"/>
      <c r="B44" s="23"/>
      <c r="C44" s="23"/>
      <c r="D44" s="23" t="s">
        <v>134</v>
      </c>
      <c r="E44" s="23" t="s">
        <v>120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x14ac:dyDescent="0.25">
      <c r="D45" t="s">
        <v>135</v>
      </c>
      <c r="E45" t="s">
        <v>122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x14ac:dyDescent="0.25">
      <c r="D46" t="s">
        <v>136</v>
      </c>
      <c r="E46" t="s">
        <v>120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x14ac:dyDescent="0.25"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x14ac:dyDescent="0.25"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I84"/>
  <sheetViews>
    <sheetView showGridLines="0" tabSelected="1" zoomScale="80" zoomScaleNormal="80" workbookViewId="0">
      <selection activeCell="I32" sqref="I32"/>
    </sheetView>
  </sheetViews>
  <sheetFormatPr baseColWidth="10" defaultColWidth="9.140625" defaultRowHeight="15" x14ac:dyDescent="0.25"/>
  <cols>
    <col min="1" max="1" width="24.5703125" bestFit="1" customWidth="1"/>
    <col min="2" max="2" width="12" bestFit="1" customWidth="1"/>
    <col min="3" max="3" width="10.42578125" bestFit="1" customWidth="1"/>
    <col min="5" max="5" width="29" bestFit="1" customWidth="1"/>
    <col min="6" max="6" width="14.28515625" customWidth="1"/>
    <col min="9" max="9" width="14.5703125" bestFit="1" customWidth="1"/>
  </cols>
  <sheetData>
    <row r="1" spans="1:9" ht="15" customHeight="1" x14ac:dyDescent="0.25">
      <c r="A1" s="81"/>
      <c r="B1" s="75" t="s">
        <v>142</v>
      </c>
      <c r="C1" s="76"/>
      <c r="D1" s="76"/>
      <c r="E1" s="76"/>
      <c r="F1" s="76"/>
      <c r="G1" s="76"/>
      <c r="H1" s="76"/>
      <c r="I1" s="77"/>
    </row>
    <row r="2" spans="1:9" ht="46.5" customHeight="1" thickBot="1" x14ac:dyDescent="0.3">
      <c r="A2" s="82"/>
      <c r="B2" s="78"/>
      <c r="C2" s="79"/>
      <c r="D2" s="79"/>
      <c r="E2" s="79"/>
      <c r="F2" s="79"/>
      <c r="G2" s="79"/>
      <c r="H2" s="79"/>
      <c r="I2" s="80"/>
    </row>
    <row r="3" spans="1:9" x14ac:dyDescent="0.25">
      <c r="A3" s="83" t="s">
        <v>143</v>
      </c>
      <c r="B3" s="84"/>
      <c r="C3" s="85" t="e">
        <f>IF(ISBLANK(#REF!),"",#REF!)</f>
        <v>#REF!</v>
      </c>
      <c r="D3" s="86"/>
      <c r="E3" s="87"/>
      <c r="F3" s="88" t="s">
        <v>144</v>
      </c>
      <c r="G3" s="89"/>
      <c r="H3" s="91" t="e">
        <f>IF(ISBLANK(#REF!),"",#REF!)</f>
        <v>#REF!</v>
      </c>
      <c r="I3" s="92"/>
    </row>
    <row r="4" spans="1:9" x14ac:dyDescent="0.25">
      <c r="A4" s="83" t="s">
        <v>145</v>
      </c>
      <c r="B4" s="84"/>
      <c r="C4" s="85" t="e">
        <f>IF(ISBLANK(#REF!),"",#REF!)</f>
        <v>#REF!</v>
      </c>
      <c r="D4" s="86"/>
      <c r="E4" s="87"/>
      <c r="F4" s="88" t="s">
        <v>146</v>
      </c>
      <c r="G4" s="89"/>
      <c r="H4" s="85" t="e">
        <f>IF(ISBLANK(#REF!),"",#REF!)</f>
        <v>#REF!</v>
      </c>
      <c r="I4" s="87"/>
    </row>
    <row r="5" spans="1:9" x14ac:dyDescent="0.25">
      <c r="A5" s="70" t="s">
        <v>147</v>
      </c>
      <c r="B5" s="71"/>
      <c r="C5" s="71"/>
      <c r="D5" s="72"/>
      <c r="E5" s="90"/>
      <c r="F5" s="73"/>
      <c r="G5" s="73"/>
      <c r="H5" s="74"/>
      <c r="I5" s="67" t="s">
        <v>148</v>
      </c>
    </row>
    <row r="6" spans="1:9" x14ac:dyDescent="0.25">
      <c r="A6" s="70" t="s">
        <v>149</v>
      </c>
      <c r="B6" s="71"/>
      <c r="C6" s="71"/>
      <c r="D6" s="72"/>
      <c r="E6" s="73"/>
      <c r="F6" s="73"/>
      <c r="G6" s="73"/>
      <c r="H6" s="73"/>
      <c r="I6" s="74"/>
    </row>
    <row r="7" spans="1:9" ht="15.75" thickBot="1" x14ac:dyDescent="0.3">
      <c r="A7" s="68"/>
      <c r="B7" s="68"/>
      <c r="C7" s="68"/>
      <c r="D7" s="68"/>
      <c r="E7" s="69"/>
      <c r="F7" s="69"/>
      <c r="G7" s="69"/>
      <c r="H7" s="69"/>
      <c r="I7" s="69"/>
    </row>
    <row r="8" spans="1:9" ht="16.5" thickTop="1" thickBot="1" x14ac:dyDescent="0.3">
      <c r="A8" s="94" t="s">
        <v>74</v>
      </c>
      <c r="B8" s="94"/>
      <c r="C8" s="94"/>
      <c r="E8" s="95" t="s">
        <v>12</v>
      </c>
      <c r="F8" s="95"/>
      <c r="G8" s="95"/>
    </row>
    <row r="9" spans="1:9" ht="16.5" thickTop="1" thickBot="1" x14ac:dyDescent="0.3">
      <c r="A9" s="94"/>
      <c r="B9" s="94"/>
      <c r="C9" s="94"/>
      <c r="E9" s="95"/>
      <c r="F9" s="95"/>
      <c r="G9" s="95"/>
    </row>
    <row r="10" spans="1:9" ht="16.5" thickTop="1" thickBot="1" x14ac:dyDescent="0.3">
      <c r="A10" s="29" t="s">
        <v>16</v>
      </c>
      <c r="B10" s="29" t="s">
        <v>17</v>
      </c>
      <c r="C10" s="29" t="s">
        <v>29</v>
      </c>
      <c r="E10" s="34" t="s">
        <v>16</v>
      </c>
      <c r="F10" s="34" t="s">
        <v>18</v>
      </c>
      <c r="G10" s="34" t="s">
        <v>29</v>
      </c>
    </row>
    <row r="11" spans="1:9" ht="16.5" thickTop="1" thickBot="1" x14ac:dyDescent="0.3">
      <c r="A11" s="58" t="s">
        <v>137</v>
      </c>
      <c r="B11" s="55" t="s">
        <v>134</v>
      </c>
      <c r="C11" s="55"/>
      <c r="E11" s="36" t="s">
        <v>2</v>
      </c>
      <c r="F11" s="37">
        <f>IF(B15*B20=0,B13,B15*B20)</f>
        <v>4.2750000000000003E-2</v>
      </c>
      <c r="G11" s="36" t="s">
        <v>6</v>
      </c>
    </row>
    <row r="12" spans="1:9" ht="16.5" thickTop="1" thickBot="1" x14ac:dyDescent="0.3">
      <c r="A12" s="19" t="s">
        <v>19</v>
      </c>
      <c r="B12" s="28"/>
      <c r="C12" s="19" t="s">
        <v>43</v>
      </c>
      <c r="E12" s="36" t="s">
        <v>3</v>
      </c>
      <c r="F12" s="37">
        <f>IF(B16*B20=0,B14,B16*B20)</f>
        <v>0.52200000000000002</v>
      </c>
      <c r="G12" s="36" t="s">
        <v>6</v>
      </c>
    </row>
    <row r="13" spans="1:9" ht="16.5" thickTop="1" thickBot="1" x14ac:dyDescent="0.3">
      <c r="A13" s="22" t="s">
        <v>81</v>
      </c>
      <c r="B13" s="28">
        <v>4.2750000000000003E-2</v>
      </c>
      <c r="C13" s="22" t="s">
        <v>43</v>
      </c>
      <c r="E13" s="36" t="s">
        <v>19</v>
      </c>
      <c r="F13" s="37">
        <f>IF(B12=0,(B13*B17)+B14*B18,B12)</f>
        <v>2.4300000000000002</v>
      </c>
      <c r="G13" s="36" t="s">
        <v>6</v>
      </c>
    </row>
    <row r="14" spans="1:9" ht="16.5" thickTop="1" thickBot="1" x14ac:dyDescent="0.3">
      <c r="A14" s="22" t="s">
        <v>83</v>
      </c>
      <c r="B14" s="28">
        <v>0.52200000000000002</v>
      </c>
      <c r="C14" s="22" t="s">
        <v>43</v>
      </c>
      <c r="E14" s="35" t="s">
        <v>84</v>
      </c>
      <c r="F14" s="53">
        <f>IFERROR(F13*(1.06/B20)/B19*100, 0)</f>
        <v>4.2212389380530988</v>
      </c>
      <c r="G14" s="35" t="s">
        <v>13</v>
      </c>
    </row>
    <row r="15" spans="1:9" ht="16.5" thickTop="1" thickBot="1" x14ac:dyDescent="0.3">
      <c r="A15" s="30" t="s">
        <v>0</v>
      </c>
      <c r="B15" s="28"/>
      <c r="C15" s="31" t="s">
        <v>5</v>
      </c>
      <c r="E15" s="35" t="s">
        <v>85</v>
      </c>
      <c r="F15" s="53">
        <f>IFERROR(B19/F13*(1.06/B20)*B21,0)</f>
        <v>208.45624385447397</v>
      </c>
      <c r="G15" s="35" t="s">
        <v>28</v>
      </c>
    </row>
    <row r="16" spans="1:9" ht="16.5" thickTop="1" thickBot="1" x14ac:dyDescent="0.3">
      <c r="A16" s="30" t="s">
        <v>1</v>
      </c>
      <c r="B16" s="28"/>
      <c r="C16" s="31" t="s">
        <v>5</v>
      </c>
      <c r="E16" s="35" t="s">
        <v>85</v>
      </c>
      <c r="F16" s="53">
        <f>CONVERT(F15,"sec","mn")</f>
        <v>3.4742707309078993</v>
      </c>
      <c r="G16" s="35" t="s">
        <v>98</v>
      </c>
    </row>
    <row r="17" spans="1:9" ht="16.5" thickTop="1" thickBot="1" x14ac:dyDescent="0.3">
      <c r="A17" s="22" t="s">
        <v>82</v>
      </c>
      <c r="B17" s="28">
        <v>8</v>
      </c>
      <c r="C17" s="22" t="s">
        <v>60</v>
      </c>
      <c r="E17" s="96" t="s">
        <v>86</v>
      </c>
      <c r="F17" s="97"/>
      <c r="G17" s="98"/>
    </row>
    <row r="18" spans="1:9" ht="16.5" thickTop="1" thickBot="1" x14ac:dyDescent="0.3">
      <c r="A18" s="30" t="s">
        <v>10</v>
      </c>
      <c r="B18" s="28">
        <v>4</v>
      </c>
      <c r="C18" s="31" t="s">
        <v>60</v>
      </c>
      <c r="E18" s="36" t="s">
        <v>47</v>
      </c>
      <c r="F18" s="36">
        <f>IFERROR(3.6*F12/B21*B22, 0)</f>
        <v>0.75168000000000013</v>
      </c>
      <c r="G18" s="36" t="s">
        <v>14</v>
      </c>
    </row>
    <row r="19" spans="1:9" ht="16.5" thickTop="1" thickBot="1" x14ac:dyDescent="0.3">
      <c r="A19" s="22" t="s">
        <v>88</v>
      </c>
      <c r="B19" s="28">
        <v>54</v>
      </c>
      <c r="C19" s="22" t="s">
        <v>89</v>
      </c>
      <c r="E19" s="36" t="s">
        <v>48</v>
      </c>
      <c r="F19" s="36">
        <f>IFERROR(3.6*F12/B21*B23,0)</f>
        <v>2.2550400000000002</v>
      </c>
      <c r="G19" s="36" t="s">
        <v>14</v>
      </c>
    </row>
    <row r="20" spans="1:9" ht="16.5" thickTop="1" thickBot="1" x14ac:dyDescent="0.3">
      <c r="A20" s="19" t="s">
        <v>75</v>
      </c>
      <c r="B20" s="28">
        <v>1.1299999999999999</v>
      </c>
      <c r="C20" s="19" t="s">
        <v>72</v>
      </c>
      <c r="E20" s="96" t="s">
        <v>151</v>
      </c>
      <c r="F20" s="97"/>
      <c r="G20" s="98"/>
    </row>
    <row r="21" spans="1:9" ht="16.5" thickTop="1" thickBot="1" x14ac:dyDescent="0.3">
      <c r="A21" s="22" t="s">
        <v>42</v>
      </c>
      <c r="B21" s="28">
        <v>10</v>
      </c>
      <c r="C21" s="22" t="s">
        <v>28</v>
      </c>
      <c r="E21" s="36" t="s">
        <v>27</v>
      </c>
      <c r="F21" s="51">
        <f>IFERROR((B27*B17+B28*B18)*B24,0)</f>
        <v>0</v>
      </c>
      <c r="G21" s="36" t="s">
        <v>7</v>
      </c>
    </row>
    <row r="22" spans="1:9" ht="16.5" thickTop="1" thickBot="1" x14ac:dyDescent="0.3">
      <c r="A22" s="27" t="s">
        <v>44</v>
      </c>
      <c r="B22" s="28">
        <v>4</v>
      </c>
      <c r="C22" s="27" t="s">
        <v>46</v>
      </c>
      <c r="E22" s="96" t="s">
        <v>152</v>
      </c>
      <c r="F22" s="97"/>
      <c r="G22" s="98"/>
      <c r="I22" s="41"/>
    </row>
    <row r="23" spans="1:9" ht="16.5" thickTop="1" thickBot="1" x14ac:dyDescent="0.3">
      <c r="A23" s="27" t="s">
        <v>45</v>
      </c>
      <c r="B23" s="28">
        <v>12</v>
      </c>
      <c r="C23" s="27" t="s">
        <v>46</v>
      </c>
      <c r="E23" s="36" t="s">
        <v>26</v>
      </c>
      <c r="F23" s="54">
        <f>IFERROR((3600/B21)*B17,"0")</f>
        <v>2880</v>
      </c>
      <c r="G23" s="36" t="s">
        <v>60</v>
      </c>
    </row>
    <row r="24" spans="1:9" ht="16.5" thickTop="1" thickBot="1" x14ac:dyDescent="0.3">
      <c r="A24" s="30" t="s">
        <v>87</v>
      </c>
      <c r="B24" s="26"/>
      <c r="C24" s="30" t="s">
        <v>138</v>
      </c>
      <c r="E24" s="36" t="s">
        <v>25</v>
      </c>
      <c r="F24" s="54">
        <f>F23*8</f>
        <v>23040</v>
      </c>
      <c r="G24" s="36" t="s">
        <v>60</v>
      </c>
    </row>
    <row r="25" spans="1:9" ht="16.5" thickTop="1" thickBot="1" x14ac:dyDescent="0.3">
      <c r="A25" s="30" t="s">
        <v>4</v>
      </c>
      <c r="B25" s="26"/>
      <c r="C25" s="30" t="s">
        <v>73</v>
      </c>
      <c r="D25" s="23"/>
      <c r="E25" s="36" t="s">
        <v>24</v>
      </c>
      <c r="F25" s="42">
        <f>F23*24</f>
        <v>69120</v>
      </c>
      <c r="G25" s="36" t="s">
        <v>60</v>
      </c>
    </row>
    <row r="26" spans="1:9" ht="16.5" thickTop="1" thickBot="1" x14ac:dyDescent="0.3">
      <c r="A26" s="30" t="s">
        <v>9</v>
      </c>
      <c r="B26" s="26"/>
      <c r="C26" s="30" t="s">
        <v>73</v>
      </c>
      <c r="D26" s="23"/>
      <c r="E26" s="36" t="s">
        <v>90</v>
      </c>
      <c r="F26" s="43">
        <f>F23*6000</f>
        <v>17280000</v>
      </c>
      <c r="G26" s="36" t="s">
        <v>60</v>
      </c>
    </row>
    <row r="27" spans="1:9" ht="16.5" thickTop="1" thickBot="1" x14ac:dyDescent="0.3">
      <c r="A27" s="56" t="s">
        <v>4</v>
      </c>
      <c r="B27" s="57">
        <f>B25*0.01</f>
        <v>0</v>
      </c>
      <c r="C27" s="56" t="s">
        <v>99</v>
      </c>
      <c r="D27" s="23"/>
      <c r="E27" s="36" t="s">
        <v>23</v>
      </c>
      <c r="F27" s="39">
        <f>IFERROR(B21*100/60/B17, " ")</f>
        <v>2.0833333333333335</v>
      </c>
      <c r="G27" s="36" t="s">
        <v>15</v>
      </c>
    </row>
    <row r="28" spans="1:9" ht="16.5" thickTop="1" thickBot="1" x14ac:dyDescent="0.3">
      <c r="A28" s="56" t="s">
        <v>9</v>
      </c>
      <c r="B28" s="57">
        <f>B26*0.01</f>
        <v>0</v>
      </c>
      <c r="C28" s="56" t="s">
        <v>99</v>
      </c>
      <c r="D28" s="23"/>
      <c r="E28" s="96" t="s">
        <v>153</v>
      </c>
      <c r="F28" s="97"/>
      <c r="G28" s="98"/>
    </row>
    <row r="29" spans="1:9" ht="16.5" thickTop="1" thickBot="1" x14ac:dyDescent="0.3">
      <c r="A29" s="40" t="s">
        <v>49</v>
      </c>
      <c r="B29" s="28">
        <v>25</v>
      </c>
      <c r="C29" s="40" t="s">
        <v>34</v>
      </c>
      <c r="D29" s="23"/>
      <c r="E29" s="36" t="s">
        <v>22</v>
      </c>
      <c r="F29" s="38">
        <f>((3.6/B21)*F13)</f>
        <v>0.87480000000000002</v>
      </c>
      <c r="G29" s="36" t="s">
        <v>14</v>
      </c>
    </row>
    <row r="30" spans="1:9" ht="16.5" thickTop="1" thickBot="1" x14ac:dyDescent="0.3">
      <c r="A30" s="40" t="s">
        <v>91</v>
      </c>
      <c r="B30" s="28">
        <v>8</v>
      </c>
      <c r="C30" s="40" t="s">
        <v>34</v>
      </c>
      <c r="D30" s="23"/>
      <c r="E30" s="36" t="s">
        <v>21</v>
      </c>
      <c r="F30" s="51">
        <f>F29*8</f>
        <v>6.9984000000000002</v>
      </c>
      <c r="G30" s="36" t="s">
        <v>14</v>
      </c>
    </row>
    <row r="31" spans="1:9" ht="16.5" thickTop="1" thickBot="1" x14ac:dyDescent="0.3">
      <c r="A31" s="40" t="s">
        <v>92</v>
      </c>
      <c r="B31" s="28">
        <v>3.5</v>
      </c>
      <c r="C31" s="40" t="s">
        <v>34</v>
      </c>
      <c r="D31" s="23"/>
      <c r="E31" s="36" t="s">
        <v>20</v>
      </c>
      <c r="F31" s="51">
        <f>F29*24</f>
        <v>20.995200000000001</v>
      </c>
      <c r="G31" s="36" t="s">
        <v>14</v>
      </c>
    </row>
    <row r="32" spans="1:9" ht="16.5" thickTop="1" thickBot="1" x14ac:dyDescent="0.3">
      <c r="A32" s="40" t="s">
        <v>50</v>
      </c>
      <c r="B32" s="28">
        <v>2</v>
      </c>
      <c r="C32" s="40" t="s">
        <v>28</v>
      </c>
      <c r="D32" s="23"/>
      <c r="E32" s="96" t="s">
        <v>154</v>
      </c>
      <c r="F32" s="97"/>
      <c r="G32" s="98"/>
    </row>
    <row r="33" spans="1:7" ht="16.5" thickTop="1" thickBot="1" x14ac:dyDescent="0.3">
      <c r="A33" s="40" t="s">
        <v>97</v>
      </c>
      <c r="B33" s="28">
        <v>40</v>
      </c>
      <c r="C33" s="40" t="s">
        <v>96</v>
      </c>
      <c r="D33" s="23"/>
      <c r="E33" s="36" t="s">
        <v>94</v>
      </c>
      <c r="F33" s="38">
        <f>B30-B31</f>
        <v>4.5</v>
      </c>
      <c r="G33" s="36" t="s">
        <v>34</v>
      </c>
    </row>
    <row r="34" spans="1:7" ht="16.5" thickTop="1" thickBot="1" x14ac:dyDescent="0.3">
      <c r="D34" s="23"/>
      <c r="E34" s="36" t="s">
        <v>95</v>
      </c>
      <c r="F34" s="52">
        <f>F33/B32</f>
        <v>2.25</v>
      </c>
      <c r="G34" s="36" t="s">
        <v>56</v>
      </c>
    </row>
    <row r="35" spans="1:7" ht="16.5" thickTop="1" thickBot="1" x14ac:dyDescent="0.3">
      <c r="A35" s="94" t="s">
        <v>150</v>
      </c>
      <c r="B35" s="94"/>
      <c r="C35" s="94"/>
      <c r="D35" s="23"/>
      <c r="E35" s="36" t="s">
        <v>52</v>
      </c>
      <c r="F35" s="52">
        <f>(B29*B29*PI()/4)*(B30-B31)*0.001</f>
        <v>2.2089323345553233</v>
      </c>
      <c r="G35" s="36" t="s">
        <v>5</v>
      </c>
    </row>
    <row r="36" spans="1:7" ht="16.5" thickTop="1" thickBot="1" x14ac:dyDescent="0.3">
      <c r="A36" s="94"/>
      <c r="B36" s="94"/>
      <c r="C36" s="94"/>
      <c r="D36" s="23"/>
      <c r="E36" s="36" t="s">
        <v>53</v>
      </c>
      <c r="F36" s="52">
        <f>F35/B32</f>
        <v>1.1044661672776617</v>
      </c>
      <c r="G36" s="36" t="s">
        <v>55</v>
      </c>
    </row>
    <row r="37" spans="1:7" ht="16.5" thickTop="1" thickBot="1" x14ac:dyDescent="0.3">
      <c r="A37" s="33" t="s">
        <v>16</v>
      </c>
      <c r="B37" s="33" t="s">
        <v>17</v>
      </c>
      <c r="C37" s="33" t="s">
        <v>29</v>
      </c>
      <c r="D37" s="23"/>
      <c r="E37" s="36" t="s">
        <v>97</v>
      </c>
      <c r="F37" s="52">
        <f>(B29*PI()*B33)/1000</f>
        <v>3.1415926535897936</v>
      </c>
      <c r="G37" s="36" t="s">
        <v>155</v>
      </c>
    </row>
    <row r="38" spans="1:7" ht="15.75" thickTop="1" x14ac:dyDescent="0.25">
      <c r="A38" s="33" t="s">
        <v>30</v>
      </c>
      <c r="B38" s="26">
        <v>12.25</v>
      </c>
      <c r="C38" s="33" t="s">
        <v>34</v>
      </c>
      <c r="D38" s="23"/>
      <c r="E38" s="23"/>
      <c r="F38" s="23"/>
      <c r="G38" s="32"/>
    </row>
    <row r="39" spans="1:7" x14ac:dyDescent="0.25">
      <c r="A39" s="33" t="s">
        <v>31</v>
      </c>
      <c r="B39" s="26">
        <v>70</v>
      </c>
      <c r="C39" s="33" t="s">
        <v>33</v>
      </c>
      <c r="D39" s="23"/>
      <c r="E39" s="23"/>
      <c r="F39" s="23"/>
      <c r="G39" s="32"/>
    </row>
    <row r="40" spans="1:7" x14ac:dyDescent="0.25">
      <c r="A40" s="33" t="s">
        <v>32</v>
      </c>
      <c r="B40" s="26">
        <v>0.379</v>
      </c>
      <c r="C40" s="33" t="s">
        <v>35</v>
      </c>
      <c r="D40" s="23"/>
      <c r="E40" s="23"/>
      <c r="F40" s="23"/>
      <c r="G40" s="32"/>
    </row>
    <row r="41" spans="1:7" ht="16.5" customHeight="1" x14ac:dyDescent="0.25">
      <c r="A41" s="33"/>
      <c r="B41" s="18">
        <f>0.0000166667*B40</f>
        <v>6.3166793000000007E-6</v>
      </c>
      <c r="C41" s="33" t="s">
        <v>39</v>
      </c>
      <c r="D41" s="23"/>
      <c r="E41" s="23"/>
      <c r="F41" s="23"/>
    </row>
    <row r="42" spans="1:7" x14ac:dyDescent="0.25">
      <c r="A42" s="33" t="s">
        <v>76</v>
      </c>
      <c r="B42" s="33">
        <f>B39+273</f>
        <v>343</v>
      </c>
      <c r="C42" s="33" t="s">
        <v>41</v>
      </c>
      <c r="D42" s="23"/>
      <c r="E42" s="23"/>
      <c r="F42" s="23"/>
    </row>
    <row r="43" spans="1:7" x14ac:dyDescent="0.25">
      <c r="A43" s="33" t="s">
        <v>77</v>
      </c>
      <c r="B43" s="18">
        <v>1</v>
      </c>
      <c r="C43" s="33"/>
      <c r="D43" s="23"/>
      <c r="E43" s="23"/>
      <c r="F43" s="23"/>
    </row>
    <row r="44" spans="1:7" x14ac:dyDescent="0.25">
      <c r="A44" s="33" t="s">
        <v>78</v>
      </c>
      <c r="B44" s="33">
        <f>2.414*0.01*10^(247.8/(B42-140))</f>
        <v>0.40126097208938927</v>
      </c>
      <c r="C44" s="33" t="s">
        <v>36</v>
      </c>
      <c r="D44" s="24"/>
      <c r="E44" s="23"/>
      <c r="F44" s="23"/>
    </row>
    <row r="45" spans="1:7" x14ac:dyDescent="0.25">
      <c r="A45" s="33" t="s">
        <v>79</v>
      </c>
      <c r="B45" s="33">
        <f>B38/1000</f>
        <v>1.225E-2</v>
      </c>
      <c r="C45" s="33" t="s">
        <v>37</v>
      </c>
      <c r="D45" s="23"/>
      <c r="E45" s="23"/>
      <c r="F45" s="23"/>
    </row>
    <row r="46" spans="1:7" x14ac:dyDescent="0.25">
      <c r="A46" s="33" t="s">
        <v>80</v>
      </c>
      <c r="B46" s="33">
        <f>IFERROR((4*B41)/(3.1415*(B45^2))*1000,0)</f>
        <v>53.596888505326604</v>
      </c>
      <c r="C46" s="33" t="s">
        <v>38</v>
      </c>
      <c r="D46" s="23"/>
      <c r="E46" s="23"/>
      <c r="F46" s="23"/>
    </row>
    <row r="47" spans="1:7" ht="15.75" thickBot="1" x14ac:dyDescent="0.3">
      <c r="A47" s="66" t="s">
        <v>40</v>
      </c>
      <c r="B47" s="66">
        <f>B46*B45*1000/B44</f>
        <v>1636.2465573751044</v>
      </c>
      <c r="C47" s="66" t="s">
        <v>141</v>
      </c>
      <c r="D47" s="23"/>
    </row>
    <row r="48" spans="1:7" ht="16.5" thickTop="1" thickBot="1" x14ac:dyDescent="0.3">
      <c r="A48" s="93" t="str">
        <f>IF(B47&lt;4000,IF(B47&lt;2000,"Flow is Laminar","Flow is Transitional"),"Flow is Turbulent")</f>
        <v>Flow is Laminar</v>
      </c>
      <c r="B48" s="93"/>
      <c r="C48" s="93"/>
    </row>
    <row r="49" spans="1:3" ht="16.5" thickTop="1" thickBot="1" x14ac:dyDescent="0.3">
      <c r="A49" s="93"/>
      <c r="B49" s="93"/>
      <c r="C49" s="93"/>
    </row>
    <row r="50" spans="1:3" ht="15.75" thickTop="1" x14ac:dyDescent="0.25"/>
    <row r="59" spans="1:3" x14ac:dyDescent="0.25">
      <c r="A59" s="59" t="s">
        <v>139</v>
      </c>
      <c r="B59" s="62" t="s">
        <v>138</v>
      </c>
      <c r="C59" s="65" t="s">
        <v>140</v>
      </c>
    </row>
    <row r="60" spans="1:3" x14ac:dyDescent="0.25">
      <c r="A60" s="60" t="s">
        <v>100</v>
      </c>
      <c r="B60" s="63">
        <v>0.31</v>
      </c>
      <c r="C60" s="61">
        <v>1.06</v>
      </c>
    </row>
    <row r="61" spans="1:3" x14ac:dyDescent="0.25">
      <c r="A61" s="60" t="s">
        <v>102</v>
      </c>
      <c r="B61" s="63">
        <v>0.62</v>
      </c>
      <c r="C61" s="61"/>
    </row>
    <row r="62" spans="1:3" x14ac:dyDescent="0.25">
      <c r="A62" s="60" t="s">
        <v>104</v>
      </c>
      <c r="B62" s="63">
        <v>0.31</v>
      </c>
      <c r="C62" s="61"/>
    </row>
    <row r="63" spans="1:3" x14ac:dyDescent="0.25">
      <c r="A63" s="60" t="s">
        <v>105</v>
      </c>
      <c r="B63" s="63">
        <v>0.54300000000000004</v>
      </c>
      <c r="C63" s="61"/>
    </row>
    <row r="64" spans="1:3" x14ac:dyDescent="0.25">
      <c r="A64" s="60" t="s">
        <v>107</v>
      </c>
      <c r="B64" s="63">
        <v>0.62</v>
      </c>
      <c r="C64" s="61"/>
    </row>
    <row r="65" spans="1:3" x14ac:dyDescent="0.25">
      <c r="A65" s="60" t="s">
        <v>109</v>
      </c>
      <c r="B65" s="63">
        <v>0.46500000000000002</v>
      </c>
      <c r="C65" s="61"/>
    </row>
    <row r="66" spans="1:3" x14ac:dyDescent="0.25">
      <c r="A66" s="60" t="s">
        <v>111</v>
      </c>
      <c r="B66" s="63">
        <v>0.62</v>
      </c>
      <c r="C66" s="61"/>
    </row>
    <row r="67" spans="1:3" x14ac:dyDescent="0.25">
      <c r="A67" s="60" t="s">
        <v>112</v>
      </c>
      <c r="B67" s="63">
        <v>0.31</v>
      </c>
      <c r="C67" s="61"/>
    </row>
    <row r="68" spans="1:3" x14ac:dyDescent="0.25">
      <c r="A68" s="60" t="s">
        <v>113</v>
      </c>
      <c r="B68" s="63">
        <v>0.38800000000000001</v>
      </c>
      <c r="C68" s="61"/>
    </row>
    <row r="69" spans="1:3" x14ac:dyDescent="0.25">
      <c r="A69" s="60" t="s">
        <v>115</v>
      </c>
      <c r="B69" s="63">
        <v>0.54300000000000004</v>
      </c>
      <c r="C69" s="61"/>
    </row>
    <row r="70" spans="1:3" x14ac:dyDescent="0.25">
      <c r="A70" s="60" t="s">
        <v>116</v>
      </c>
      <c r="B70" s="63">
        <v>0.38800000000000001</v>
      </c>
      <c r="C70" s="61"/>
    </row>
    <row r="71" spans="1:3" x14ac:dyDescent="0.25">
      <c r="A71" s="60" t="s">
        <v>117</v>
      </c>
      <c r="B71" s="63">
        <v>0.54300000000000004</v>
      </c>
      <c r="C71" s="61"/>
    </row>
    <row r="72" spans="1:3" x14ac:dyDescent="0.25">
      <c r="A72" s="60" t="s">
        <v>118</v>
      </c>
      <c r="B72" s="63">
        <v>0.38800000000000001</v>
      </c>
      <c r="C72" s="61"/>
    </row>
    <row r="73" spans="1:3" x14ac:dyDescent="0.25">
      <c r="A73" s="60" t="s">
        <v>119</v>
      </c>
      <c r="B73" s="63">
        <v>0.46500000000000002</v>
      </c>
      <c r="C73" s="61"/>
    </row>
    <row r="74" spans="1:3" x14ac:dyDescent="0.25">
      <c r="A74" s="60" t="s">
        <v>121</v>
      </c>
      <c r="B74" s="63">
        <v>0.77500000000000002</v>
      </c>
      <c r="C74" s="61"/>
    </row>
    <row r="75" spans="1:3" x14ac:dyDescent="0.25">
      <c r="A75" s="60" t="s">
        <v>123</v>
      </c>
      <c r="B75" s="63">
        <v>0.62</v>
      </c>
      <c r="C75" s="61"/>
    </row>
    <row r="76" spans="1:3" x14ac:dyDescent="0.25">
      <c r="A76" s="60" t="s">
        <v>125</v>
      </c>
      <c r="B76" s="63">
        <v>0.77500000000000002</v>
      </c>
      <c r="C76" s="61"/>
    </row>
    <row r="77" spans="1:3" x14ac:dyDescent="0.25">
      <c r="A77" s="60" t="s">
        <v>127</v>
      </c>
      <c r="B77" s="63">
        <v>0.77500000000000002</v>
      </c>
      <c r="C77" s="61"/>
    </row>
    <row r="78" spans="1:3" x14ac:dyDescent="0.25">
      <c r="A78" s="60" t="s">
        <v>128</v>
      </c>
      <c r="B78" s="63">
        <v>0.38800000000000001</v>
      </c>
      <c r="C78" s="61"/>
    </row>
    <row r="79" spans="1:3" x14ac:dyDescent="0.25">
      <c r="A79" s="60" t="s">
        <v>130</v>
      </c>
      <c r="B79" s="63">
        <v>0.93</v>
      </c>
      <c r="C79" s="61"/>
    </row>
    <row r="80" spans="1:3" x14ac:dyDescent="0.25">
      <c r="A80" s="60" t="s">
        <v>132</v>
      </c>
      <c r="B80" s="63">
        <v>0.62</v>
      </c>
      <c r="C80" s="61"/>
    </row>
    <row r="81" spans="1:3" x14ac:dyDescent="0.25">
      <c r="A81" s="60" t="s">
        <v>133</v>
      </c>
      <c r="B81" s="63">
        <v>0.31</v>
      </c>
      <c r="C81" s="61"/>
    </row>
    <row r="82" spans="1:3" x14ac:dyDescent="0.25">
      <c r="A82" s="60" t="s">
        <v>134</v>
      </c>
      <c r="B82" s="63">
        <v>0.46500000000000002</v>
      </c>
      <c r="C82" s="61"/>
    </row>
    <row r="83" spans="1:3" x14ac:dyDescent="0.25">
      <c r="A83" s="61" t="s">
        <v>135</v>
      </c>
      <c r="B83" s="64">
        <v>0.77500000000000002</v>
      </c>
      <c r="C83" s="61"/>
    </row>
    <row r="84" spans="1:3" x14ac:dyDescent="0.25">
      <c r="A84" s="61" t="s">
        <v>136</v>
      </c>
      <c r="B84" s="64">
        <v>0.46500000000000002</v>
      </c>
      <c r="C84" s="61"/>
    </row>
  </sheetData>
  <mergeCells count="23">
    <mergeCell ref="A48:C49"/>
    <mergeCell ref="A35:C36"/>
    <mergeCell ref="A8:C9"/>
    <mergeCell ref="E8:G9"/>
    <mergeCell ref="E17:G17"/>
    <mergeCell ref="E20:G20"/>
    <mergeCell ref="E22:G22"/>
    <mergeCell ref="E28:G28"/>
    <mergeCell ref="E32:G32"/>
    <mergeCell ref="A6:D6"/>
    <mergeCell ref="E6:I6"/>
    <mergeCell ref="B1:I2"/>
    <mergeCell ref="A1:A2"/>
    <mergeCell ref="A4:B4"/>
    <mergeCell ref="C4:E4"/>
    <mergeCell ref="F4:G4"/>
    <mergeCell ref="H4:I4"/>
    <mergeCell ref="A5:D5"/>
    <mergeCell ref="E5:H5"/>
    <mergeCell ref="A3:B3"/>
    <mergeCell ref="C3:E3"/>
    <mergeCell ref="F3:G3"/>
    <mergeCell ref="H3:I3"/>
  </mergeCells>
  <conditionalFormatting sqref="F14">
    <cfRule type="cellIs" dxfId="2" priority="4" operator="greaterThan">
      <formula>81</formula>
    </cfRule>
    <cfRule type="cellIs" dxfId="1" priority="5" operator="between">
      <formula>0</formula>
      <formula>19</formula>
    </cfRule>
    <cfRule type="cellIs" dxfId="0" priority="6" operator="between">
      <formula>20</formula>
      <formula>80</formula>
    </cfRule>
  </conditionalFormatting>
  <dataValidations count="1">
    <dataValidation type="list" allowBlank="1" showInputMessage="1" showErrorMessage="1" sqref="B11" xr:uid="{00000000-0002-0000-0000-000000000000}">
      <formula1>$A$60:$A$84</formula1>
    </dataValidation>
  </dataValidations>
  <pageMargins left="0.70866141732283472" right="0.70866141732283472" top="0.74803149606299213" bottom="0.74803149606299213" header="0.31496062992125984" footer="0.31496062992125984"/>
  <pageSetup paperSize="9" scale="6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U24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15.5703125" customWidth="1"/>
    <col min="6" max="6" width="9.42578125" customWidth="1"/>
    <col min="8" max="8" width="10.140625" bestFit="1" customWidth="1"/>
    <col min="9" max="9" width="9.28515625" bestFit="1" customWidth="1"/>
    <col min="10" max="10" width="9.140625" customWidth="1"/>
    <col min="11" max="12" width="9.28515625" bestFit="1" customWidth="1"/>
    <col min="13" max="13" width="4.140625" customWidth="1"/>
    <col min="14" max="14" width="14.85546875" customWidth="1"/>
  </cols>
  <sheetData>
    <row r="1" spans="1:21" ht="15" customHeight="1" thickBot="1" x14ac:dyDescent="0.55000000000000004">
      <c r="A1" s="109" t="s">
        <v>8</v>
      </c>
      <c r="B1" s="110"/>
      <c r="C1" s="110"/>
      <c r="D1" s="111"/>
      <c r="E1" s="4"/>
      <c r="F1" s="4"/>
      <c r="G1" s="118" t="s">
        <v>69</v>
      </c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</row>
    <row r="2" spans="1:21" ht="15" customHeight="1" thickBot="1" x14ac:dyDescent="0.55000000000000004">
      <c r="A2" s="112"/>
      <c r="B2" s="113"/>
      <c r="C2" s="113"/>
      <c r="D2" s="114"/>
      <c r="E2" s="4"/>
      <c r="F2" s="4"/>
      <c r="G2" s="107" t="s">
        <v>64</v>
      </c>
      <c r="H2" s="105" t="s">
        <v>65</v>
      </c>
      <c r="I2" s="105"/>
      <c r="J2" s="105"/>
      <c r="K2" s="105"/>
      <c r="L2" s="105"/>
      <c r="M2" s="6"/>
      <c r="N2" s="106" t="s">
        <v>70</v>
      </c>
      <c r="O2" s="101" t="s">
        <v>65</v>
      </c>
      <c r="P2" s="102"/>
      <c r="Q2" s="102"/>
      <c r="R2" s="102"/>
      <c r="S2" s="103"/>
    </row>
    <row r="3" spans="1:21" ht="15" customHeight="1" thickTop="1" thickBot="1" x14ac:dyDescent="0.3">
      <c r="A3" s="117" t="s">
        <v>57</v>
      </c>
      <c r="B3" s="117"/>
      <c r="C3" s="17">
        <v>10</v>
      </c>
      <c r="D3" s="17" t="s">
        <v>43</v>
      </c>
      <c r="G3" s="116"/>
      <c r="H3" s="7">
        <v>1</v>
      </c>
      <c r="I3" s="7">
        <v>2</v>
      </c>
      <c r="J3" s="7">
        <v>3</v>
      </c>
      <c r="K3" s="7">
        <v>4</v>
      </c>
      <c r="L3" s="7">
        <v>5</v>
      </c>
      <c r="M3" s="5"/>
      <c r="N3" s="107"/>
      <c r="O3" s="7">
        <v>1</v>
      </c>
      <c r="P3" s="7">
        <v>2</v>
      </c>
      <c r="Q3" s="7">
        <v>3</v>
      </c>
      <c r="R3" s="7">
        <v>4</v>
      </c>
      <c r="S3" s="7">
        <v>5</v>
      </c>
    </row>
    <row r="4" spans="1:21" ht="16.5" thickTop="1" thickBot="1" x14ac:dyDescent="0.3">
      <c r="A4" s="117" t="s">
        <v>11</v>
      </c>
      <c r="B4" s="117"/>
      <c r="C4" s="17">
        <v>1</v>
      </c>
      <c r="D4" s="17" t="s">
        <v>60</v>
      </c>
      <c r="G4" s="7" t="s">
        <v>66</v>
      </c>
      <c r="H4" s="13">
        <v>1</v>
      </c>
      <c r="I4" s="13">
        <f>C14</f>
        <v>0.90909090909090906</v>
      </c>
      <c r="J4" s="13">
        <f>C14</f>
        <v>0.90909090909090906</v>
      </c>
      <c r="K4" s="13">
        <f>C14</f>
        <v>0.90909090909090906</v>
      </c>
      <c r="L4" s="13">
        <f>C14</f>
        <v>0.90909090909090906</v>
      </c>
      <c r="M4" s="5"/>
      <c r="N4" s="7" t="s">
        <v>66</v>
      </c>
      <c r="O4" s="13">
        <v>1</v>
      </c>
      <c r="P4" s="13">
        <f>O4-P5</f>
        <v>0.90909090909090906</v>
      </c>
      <c r="Q4" s="13">
        <f>O4-P5</f>
        <v>0.90909090909090906</v>
      </c>
      <c r="R4" s="13">
        <f>O4-P5</f>
        <v>0.90909090909090906</v>
      </c>
      <c r="S4" s="13">
        <f>O4-P5</f>
        <v>0.90909090909090906</v>
      </c>
    </row>
    <row r="5" spans="1:21" ht="16.5" thickTop="1" thickBot="1" x14ac:dyDescent="0.3">
      <c r="A5" s="117" t="s">
        <v>58</v>
      </c>
      <c r="B5" s="117"/>
      <c r="C5" s="17">
        <v>1</v>
      </c>
      <c r="D5" s="17" t="s">
        <v>43</v>
      </c>
      <c r="G5" s="8" t="str">
        <f>"1-Gen"</f>
        <v>1-Gen</v>
      </c>
      <c r="H5" s="14" t="s">
        <v>68</v>
      </c>
      <c r="I5" s="13">
        <f>H4-I4</f>
        <v>9.0909090909090939E-2</v>
      </c>
      <c r="J5" s="13">
        <f>C14*I5</f>
        <v>8.2644628099173584E-2</v>
      </c>
      <c r="K5" s="13">
        <f>C14*I5</f>
        <v>8.2644628099173584E-2</v>
      </c>
      <c r="L5" s="13">
        <f>C14*I5</f>
        <v>8.2644628099173584E-2</v>
      </c>
      <c r="M5" s="5"/>
      <c r="N5" s="8" t="str">
        <f>"1-Gen"</f>
        <v>1-Gen</v>
      </c>
      <c r="O5" s="14" t="s">
        <v>68</v>
      </c>
      <c r="P5" s="13">
        <f>C15*O4</f>
        <v>9.0909090909090912E-2</v>
      </c>
      <c r="Q5" s="13">
        <f>P5-Q6</f>
        <v>8.2644628099173556E-2</v>
      </c>
      <c r="R5" s="13">
        <f>P5-Q6</f>
        <v>8.2644628099173556E-2</v>
      </c>
      <c r="S5" s="13">
        <f>P5-Q6</f>
        <v>8.2644628099173556E-2</v>
      </c>
    </row>
    <row r="6" spans="1:21" ht="16.5" thickTop="1" thickBot="1" x14ac:dyDescent="0.3">
      <c r="A6" s="117" t="s">
        <v>59</v>
      </c>
      <c r="B6" s="117"/>
      <c r="C6" s="17">
        <v>1</v>
      </c>
      <c r="D6" s="17" t="s">
        <v>60</v>
      </c>
      <c r="G6" s="8" t="str">
        <f>"2-Gen"</f>
        <v>2-Gen</v>
      </c>
      <c r="H6" s="14" t="s">
        <v>68</v>
      </c>
      <c r="I6" s="14" t="s">
        <v>68</v>
      </c>
      <c r="J6" s="13">
        <f>$I$5-$J$5</f>
        <v>8.2644628099173556E-3</v>
      </c>
      <c r="K6" s="13">
        <f>J6*C14</f>
        <v>7.5131480090157776E-3</v>
      </c>
      <c r="L6" s="13">
        <f>J6*C14</f>
        <v>7.5131480090157776E-3</v>
      </c>
      <c r="M6" s="5"/>
      <c r="N6" s="8" t="str">
        <f>"2-Gen"</f>
        <v>2-Gen</v>
      </c>
      <c r="O6" s="14" t="s">
        <v>68</v>
      </c>
      <c r="P6" s="14" t="s">
        <v>68</v>
      </c>
      <c r="Q6" s="13">
        <f>P5*C15</f>
        <v>8.2644628099173556E-3</v>
      </c>
      <c r="R6" s="13">
        <f>Q6-R7</f>
        <v>7.5131480090157776E-3</v>
      </c>
      <c r="S6" s="13">
        <f>Q6-R7</f>
        <v>7.5131480090157776E-3</v>
      </c>
    </row>
    <row r="7" spans="1:21" ht="16.5" thickTop="1" thickBot="1" x14ac:dyDescent="0.3">
      <c r="G7" s="7" t="str">
        <f>"3-Gen"</f>
        <v>3-Gen</v>
      </c>
      <c r="H7" s="14" t="s">
        <v>68</v>
      </c>
      <c r="I7" s="14" t="s">
        <v>68</v>
      </c>
      <c r="J7" s="14" t="s">
        <v>68</v>
      </c>
      <c r="K7" s="13">
        <f>J6-K6</f>
        <v>7.5131480090157802E-4</v>
      </c>
      <c r="L7" s="13">
        <f>C14*K7</f>
        <v>6.8301345536507096E-4</v>
      </c>
      <c r="M7" s="5"/>
      <c r="N7" s="7" t="str">
        <f>"3-Gen"</f>
        <v>3-Gen</v>
      </c>
      <c r="O7" s="14" t="s">
        <v>68</v>
      </c>
      <c r="P7" s="14" t="s">
        <v>68</v>
      </c>
      <c r="Q7" s="14" t="s">
        <v>68</v>
      </c>
      <c r="R7" s="13">
        <f>Q6*C15</f>
        <v>7.513148009015778E-4</v>
      </c>
      <c r="S7" s="13">
        <f>R7-S8</f>
        <v>6.8301345536507074E-4</v>
      </c>
    </row>
    <row r="8" spans="1:21" ht="16.5" thickTop="1" thickBot="1" x14ac:dyDescent="0.3">
      <c r="G8" s="7" t="str">
        <f>"4-Gen"</f>
        <v>4-Gen</v>
      </c>
      <c r="H8" s="14" t="s">
        <v>68</v>
      </c>
      <c r="I8" s="14" t="s">
        <v>68</v>
      </c>
      <c r="J8" s="14" t="s">
        <v>68</v>
      </c>
      <c r="K8" s="14" t="s">
        <v>68</v>
      </c>
      <c r="L8" s="13">
        <f>K7-L7</f>
        <v>6.8301345536507063E-5</v>
      </c>
      <c r="M8" s="5"/>
      <c r="N8" s="7" t="str">
        <f>"4-Gen"</f>
        <v>4-Gen</v>
      </c>
      <c r="O8" s="14" t="s">
        <v>68</v>
      </c>
      <c r="P8" s="14" t="s">
        <v>68</v>
      </c>
      <c r="Q8" s="14" t="s">
        <v>68</v>
      </c>
      <c r="R8" s="14" t="s">
        <v>68</v>
      </c>
      <c r="S8" s="13">
        <f>R7*C15</f>
        <v>6.8301345536507077E-5</v>
      </c>
    </row>
    <row r="9" spans="1:21" ht="16.5" thickTop="1" thickBot="1" x14ac:dyDescent="0.3">
      <c r="A9" s="108" t="s">
        <v>12</v>
      </c>
      <c r="B9" s="108"/>
      <c r="C9" s="108"/>
      <c r="D9" s="108"/>
      <c r="G9" s="7" t="s">
        <v>67</v>
      </c>
      <c r="H9" s="11">
        <f>SUM(H4:H8)</f>
        <v>1</v>
      </c>
      <c r="I9" s="11">
        <f t="shared" ref="I9:L9" si="0">SUM(I4:I8)</f>
        <v>1</v>
      </c>
      <c r="J9" s="11">
        <f t="shared" si="0"/>
        <v>1</v>
      </c>
      <c r="K9" s="11">
        <f t="shared" si="0"/>
        <v>1</v>
      </c>
      <c r="L9" s="11">
        <f t="shared" si="0"/>
        <v>1</v>
      </c>
      <c r="M9" s="5"/>
      <c r="N9" s="7" t="s">
        <v>67</v>
      </c>
      <c r="O9" s="11">
        <f>SUM(O4:O8)</f>
        <v>1</v>
      </c>
      <c r="P9" s="11">
        <f t="shared" ref="P9" si="1">SUM(P4:P8)</f>
        <v>1</v>
      </c>
      <c r="Q9" s="11">
        <f t="shared" ref="Q9" si="2">SUM(Q4:Q8)</f>
        <v>1</v>
      </c>
      <c r="R9" s="11">
        <f t="shared" ref="R9" si="3">SUM(R4:R8)</f>
        <v>1</v>
      </c>
      <c r="S9" s="11">
        <f t="shared" ref="S9" si="4">SUM(S4:S8)</f>
        <v>1</v>
      </c>
    </row>
    <row r="10" spans="1:21" ht="16.5" thickTop="1" thickBot="1" x14ac:dyDescent="0.3">
      <c r="A10" s="108"/>
      <c r="B10" s="108"/>
      <c r="C10" s="108"/>
      <c r="D10" s="10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2"/>
      <c r="U10" s="2"/>
    </row>
    <row r="11" spans="1:21" ht="16.5" thickTop="1" thickBot="1" x14ac:dyDescent="0.3">
      <c r="A11" s="115" t="s">
        <v>62</v>
      </c>
      <c r="B11" s="115"/>
      <c r="C11" s="15">
        <f>C3*C4</f>
        <v>10</v>
      </c>
      <c r="D11" s="15" t="s">
        <v>43</v>
      </c>
      <c r="G11" s="104" t="s">
        <v>71</v>
      </c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</row>
    <row r="12" spans="1:21" ht="15" customHeight="1" thickTop="1" thickBot="1" x14ac:dyDescent="0.3">
      <c r="A12" s="115" t="s">
        <v>63</v>
      </c>
      <c r="B12" s="115"/>
      <c r="C12" s="15">
        <f>C5*C6</f>
        <v>1</v>
      </c>
      <c r="D12" s="15" t="s">
        <v>43</v>
      </c>
      <c r="G12" s="99" t="s">
        <v>64</v>
      </c>
      <c r="H12" s="121" t="s">
        <v>65</v>
      </c>
      <c r="I12" s="122"/>
      <c r="J12" s="122"/>
      <c r="K12" s="122"/>
      <c r="L12" s="123"/>
      <c r="M12" s="5"/>
      <c r="N12" s="120" t="s">
        <v>70</v>
      </c>
      <c r="O12" s="119" t="s">
        <v>65</v>
      </c>
      <c r="P12" s="119"/>
      <c r="Q12" s="119"/>
      <c r="R12" s="119"/>
      <c r="S12" s="119"/>
    </row>
    <row r="13" spans="1:21" ht="15" customHeight="1" thickTop="1" thickBot="1" x14ac:dyDescent="0.3">
      <c r="A13" s="115" t="s">
        <v>61</v>
      </c>
      <c r="B13" s="115"/>
      <c r="C13" s="15">
        <f>C12+C11</f>
        <v>11</v>
      </c>
      <c r="D13" s="15" t="s">
        <v>43</v>
      </c>
      <c r="G13" s="100"/>
      <c r="H13" s="7">
        <v>1</v>
      </c>
      <c r="I13" s="7">
        <v>2</v>
      </c>
      <c r="J13" s="7">
        <v>3</v>
      </c>
      <c r="K13" s="7">
        <v>4</v>
      </c>
      <c r="L13" s="7">
        <v>5</v>
      </c>
      <c r="M13" s="5"/>
      <c r="N13" s="107"/>
      <c r="O13" s="7">
        <v>1</v>
      </c>
      <c r="P13" s="7">
        <v>2</v>
      </c>
      <c r="Q13" s="7">
        <v>3</v>
      </c>
      <c r="R13" s="7">
        <v>4</v>
      </c>
      <c r="S13" s="7">
        <v>5</v>
      </c>
    </row>
    <row r="14" spans="1:21" ht="16.5" customHeight="1" thickTop="1" thickBot="1" x14ac:dyDescent="0.3">
      <c r="A14" s="115" t="s">
        <v>2</v>
      </c>
      <c r="B14" s="115"/>
      <c r="C14" s="16">
        <f>C11/C13</f>
        <v>0.90909090909090906</v>
      </c>
      <c r="D14" s="15" t="s">
        <v>13</v>
      </c>
      <c r="G14" s="7" t="s">
        <v>66</v>
      </c>
      <c r="H14" s="9">
        <f>C3</f>
        <v>10</v>
      </c>
      <c r="I14" s="9">
        <f>$C$14*$H$14</f>
        <v>9.0909090909090899</v>
      </c>
      <c r="J14" s="9">
        <f>$C$14*$H$14</f>
        <v>9.0909090909090899</v>
      </c>
      <c r="K14" s="9">
        <f>$C$14*$H$14</f>
        <v>9.0909090909090899</v>
      </c>
      <c r="L14" s="9">
        <f>$C$14*$H$14</f>
        <v>9.0909090909090899</v>
      </c>
      <c r="M14" s="5"/>
      <c r="N14" s="7" t="s">
        <v>66</v>
      </c>
      <c r="O14" s="9">
        <f>C5</f>
        <v>1</v>
      </c>
      <c r="P14" s="9">
        <f>C14*O14</f>
        <v>0.90909090909090906</v>
      </c>
      <c r="Q14" s="9">
        <f>P14</f>
        <v>0.90909090909090906</v>
      </c>
      <c r="R14" s="9">
        <f>Q14</f>
        <v>0.90909090909090906</v>
      </c>
      <c r="S14" s="9">
        <f>R14</f>
        <v>0.90909090909090906</v>
      </c>
    </row>
    <row r="15" spans="1:21" ht="16.5" thickTop="1" thickBot="1" x14ac:dyDescent="0.3">
      <c r="A15" s="115" t="s">
        <v>3</v>
      </c>
      <c r="B15" s="115"/>
      <c r="C15" s="16">
        <f>C12/C13</f>
        <v>9.0909090909090912E-2</v>
      </c>
      <c r="D15" s="15" t="s">
        <v>13</v>
      </c>
      <c r="G15" s="8" t="str">
        <f>"1-Gen"</f>
        <v>1-Gen</v>
      </c>
      <c r="H15" s="10" t="s">
        <v>68</v>
      </c>
      <c r="I15" s="9">
        <f>H14-I14</f>
        <v>0.90909090909091006</v>
      </c>
      <c r="J15" s="9">
        <f>$I$15*$C$14</f>
        <v>0.82644628099173634</v>
      </c>
      <c r="K15" s="9">
        <f>$I$15*$C$14</f>
        <v>0.82644628099173634</v>
      </c>
      <c r="L15" s="9">
        <f>$I$15*$C$14</f>
        <v>0.82644628099173634</v>
      </c>
      <c r="M15" s="5"/>
      <c r="N15" s="8" t="str">
        <f>"1-Gen"</f>
        <v>1-Gen</v>
      </c>
      <c r="O15" s="9" t="s">
        <v>68</v>
      </c>
      <c r="P15" s="9">
        <f>O14-P14</f>
        <v>9.0909090909090939E-2</v>
      </c>
      <c r="Q15" s="9">
        <f>$C$14*$P$15</f>
        <v>8.2644628099173584E-2</v>
      </c>
      <c r="R15" s="9">
        <f>$C$14*$P$15</f>
        <v>8.2644628099173584E-2</v>
      </c>
      <c r="S15" s="9">
        <f>R15</f>
        <v>8.2644628099173584E-2</v>
      </c>
    </row>
    <row r="16" spans="1:21" ht="16.5" thickTop="1" thickBot="1" x14ac:dyDescent="0.3">
      <c r="G16" s="8" t="str">
        <f>"2-Gen"</f>
        <v>2-Gen</v>
      </c>
      <c r="H16" s="10" t="s">
        <v>68</v>
      </c>
      <c r="I16" s="10" t="s">
        <v>68</v>
      </c>
      <c r="J16" s="9">
        <f>I15-J15</f>
        <v>8.2644628099173723E-2</v>
      </c>
      <c r="K16" s="9">
        <f>C14*J16</f>
        <v>7.5131480090157923E-2</v>
      </c>
      <c r="L16" s="9">
        <f>K16</f>
        <v>7.5131480090157923E-2</v>
      </c>
      <c r="M16" s="5"/>
      <c r="N16" s="8" t="str">
        <f>"2-Gen"</f>
        <v>2-Gen</v>
      </c>
      <c r="O16" s="9" t="s">
        <v>68</v>
      </c>
      <c r="P16" s="9" t="s">
        <v>68</v>
      </c>
      <c r="Q16" s="9">
        <f>P15-Q15</f>
        <v>8.2644628099173556E-3</v>
      </c>
      <c r="R16" s="9">
        <f>Q16*C14</f>
        <v>7.5131480090157776E-3</v>
      </c>
      <c r="S16" s="9">
        <f>R16</f>
        <v>7.5131480090157776E-3</v>
      </c>
    </row>
    <row r="17" spans="6:19" ht="16.5" thickTop="1" thickBot="1" x14ac:dyDescent="0.3">
      <c r="G17" s="7" t="str">
        <f>"3-Gen"</f>
        <v>3-Gen</v>
      </c>
      <c r="H17" s="10" t="s">
        <v>68</v>
      </c>
      <c r="I17" s="10" t="s">
        <v>68</v>
      </c>
      <c r="J17" s="10" t="s">
        <v>68</v>
      </c>
      <c r="K17" s="9">
        <f>J16-K16</f>
        <v>7.5131480090157993E-3</v>
      </c>
      <c r="L17" s="9">
        <f>K17*C14</f>
        <v>6.8301345536507267E-3</v>
      </c>
      <c r="M17" s="5"/>
      <c r="N17" s="7" t="str">
        <f>"3-Gen"</f>
        <v>3-Gen</v>
      </c>
      <c r="O17" s="9" t="s">
        <v>68</v>
      </c>
      <c r="P17" s="9" t="s">
        <v>68</v>
      </c>
      <c r="Q17" s="9" t="s">
        <v>68</v>
      </c>
      <c r="R17" s="9">
        <f>Q16-R16</f>
        <v>7.5131480090157802E-4</v>
      </c>
      <c r="S17" s="9">
        <f>R17*C14</f>
        <v>6.8301345536507096E-4</v>
      </c>
    </row>
    <row r="18" spans="6:19" ht="16.5" thickTop="1" thickBot="1" x14ac:dyDescent="0.3">
      <c r="G18" s="7" t="str">
        <f>"4-Gen"</f>
        <v>4-Gen</v>
      </c>
      <c r="H18" s="10" t="s">
        <v>68</v>
      </c>
      <c r="I18" s="10" t="s">
        <v>68</v>
      </c>
      <c r="J18" s="10" t="s">
        <v>68</v>
      </c>
      <c r="K18" s="10" t="s">
        <v>68</v>
      </c>
      <c r="L18" s="9">
        <f>K17-L17</f>
        <v>6.8301345536507258E-4</v>
      </c>
      <c r="M18" s="5"/>
      <c r="N18" s="7" t="str">
        <f>"4-Gen"</f>
        <v>4-Gen</v>
      </c>
      <c r="O18" s="9" t="s">
        <v>68</v>
      </c>
      <c r="P18" s="9" t="s">
        <v>68</v>
      </c>
      <c r="Q18" s="9" t="s">
        <v>68</v>
      </c>
      <c r="R18" s="9" t="s">
        <v>68</v>
      </c>
      <c r="S18" s="9">
        <f>R17-S17</f>
        <v>6.8301345536507063E-5</v>
      </c>
    </row>
    <row r="19" spans="6:19" ht="16.5" thickTop="1" thickBot="1" x14ac:dyDescent="0.3">
      <c r="G19" s="7" t="s">
        <v>67</v>
      </c>
      <c r="H19" s="11">
        <f>SUM(H14:H18)/$C$3</f>
        <v>1</v>
      </c>
      <c r="I19" s="11">
        <f>SUM(I14:I18)/$C$3</f>
        <v>1</v>
      </c>
      <c r="J19" s="11">
        <f>SUM(J14:J18)/$C$3</f>
        <v>1</v>
      </c>
      <c r="K19" s="11">
        <f>SUM(K14:K18)/$C$3</f>
        <v>1</v>
      </c>
      <c r="L19" s="11">
        <f>SUM(L14:L18)/$C$3</f>
        <v>1</v>
      </c>
      <c r="M19" s="5"/>
      <c r="N19" s="7" t="s">
        <v>67</v>
      </c>
      <c r="O19" s="11">
        <f>SUM(O14:O18)/$C$5</f>
        <v>1</v>
      </c>
      <c r="P19" s="11">
        <f t="shared" ref="P19:S19" si="5">SUM(P14:P18)/$C$5</f>
        <v>1</v>
      </c>
      <c r="Q19" s="11">
        <f t="shared" si="5"/>
        <v>1</v>
      </c>
      <c r="R19" s="11">
        <f t="shared" si="5"/>
        <v>1</v>
      </c>
      <c r="S19" s="11">
        <f t="shared" si="5"/>
        <v>1</v>
      </c>
    </row>
    <row r="20" spans="6:19" ht="15.75" thickTop="1" x14ac:dyDescent="0.25">
      <c r="G20" s="1"/>
      <c r="H20" s="1"/>
      <c r="I20" s="1"/>
      <c r="J20" s="1"/>
      <c r="K20" s="1"/>
      <c r="L20" s="1"/>
    </row>
    <row r="24" spans="6:19" x14ac:dyDescent="0.25">
      <c r="F24" s="12"/>
    </row>
  </sheetData>
  <mergeCells count="21">
    <mergeCell ref="A9:D10"/>
    <mergeCell ref="A1:D2"/>
    <mergeCell ref="A14:B14"/>
    <mergeCell ref="A15:B15"/>
    <mergeCell ref="G2:G3"/>
    <mergeCell ref="A12:B12"/>
    <mergeCell ref="A13:B13"/>
    <mergeCell ref="A11:B11"/>
    <mergeCell ref="A3:B3"/>
    <mergeCell ref="A4:B4"/>
    <mergeCell ref="A5:B5"/>
    <mergeCell ref="A6:B6"/>
    <mergeCell ref="G1:S1"/>
    <mergeCell ref="O12:S12"/>
    <mergeCell ref="N12:N13"/>
    <mergeCell ref="H12:L12"/>
    <mergeCell ref="G12:G13"/>
    <mergeCell ref="O2:S2"/>
    <mergeCell ref="G11:S11"/>
    <mergeCell ref="H2:L2"/>
    <mergeCell ref="N2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Injection Speed Calculations</vt:lpstr>
      <vt:lpstr>Shot Size Estimation</vt:lpstr>
      <vt:lpstr>Regrind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assistec1</dc:creator>
  <cp:lastModifiedBy>Ferran Colell</cp:lastModifiedBy>
  <cp:lastPrinted>2017-02-21T08:18:45Z</cp:lastPrinted>
  <dcterms:created xsi:type="dcterms:W3CDTF">2016-06-17T05:47:34Z</dcterms:created>
  <dcterms:modified xsi:type="dcterms:W3CDTF">2019-10-06T19:53:13Z</dcterms:modified>
</cp:coreProperties>
</file>