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codeName="ThisWorkbook" autoCompressPictures="0"/>
  <bookViews>
    <workbookView xWindow="1460" yWindow="0" windowWidth="14340" windowHeight="11760" tabRatio="724"/>
  </bookViews>
  <sheets>
    <sheet name="BOM" sheetId="25" r:id="rId1"/>
  </sheets>
  <definedNames>
    <definedName name="_xlnm.Print_Area" localSheetId="0">BOM!$A$23:$K$126</definedName>
    <definedName name="_xlnm.Print_Titles" localSheetId="0">BOM!#REF!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5" l="1"/>
  <c r="W38" i="25"/>
  <c r="O41" i="25"/>
  <c r="P41" i="25"/>
  <c r="N114" i="25"/>
  <c r="O114" i="25"/>
  <c r="P114" i="25"/>
  <c r="N78" i="25"/>
  <c r="O78" i="25"/>
  <c r="F132" i="25"/>
  <c r="F138" i="25"/>
  <c r="N77" i="25"/>
  <c r="N112" i="25"/>
  <c r="N111" i="25"/>
  <c r="N110" i="25"/>
  <c r="N109" i="25"/>
  <c r="N108" i="25"/>
  <c r="N107" i="25"/>
  <c r="N106" i="25"/>
  <c r="N105" i="25"/>
  <c r="N104" i="25"/>
  <c r="N103" i="25"/>
  <c r="N102" i="25"/>
  <c r="N101" i="25"/>
  <c r="N100" i="25"/>
  <c r="N99" i="25"/>
  <c r="N98" i="25"/>
  <c r="N97" i="25"/>
  <c r="N96" i="25"/>
  <c r="N95" i="25"/>
  <c r="N94" i="25"/>
  <c r="N93" i="25"/>
  <c r="N92" i="25"/>
  <c r="N91" i="25"/>
  <c r="N90" i="25"/>
  <c r="N89" i="25"/>
  <c r="N88" i="25"/>
  <c r="N87" i="25"/>
  <c r="N86" i="25"/>
  <c r="N85" i="25"/>
  <c r="N84" i="25"/>
  <c r="N83" i="25"/>
  <c r="N82" i="25"/>
  <c r="N81" i="25"/>
  <c r="N80" i="25"/>
  <c r="N79" i="25"/>
  <c r="N76" i="25"/>
  <c r="N75" i="25"/>
  <c r="N74" i="25"/>
  <c r="N73" i="25"/>
  <c r="N72" i="25"/>
  <c r="N71" i="25"/>
  <c r="N70" i="25"/>
  <c r="N69" i="25"/>
  <c r="N68" i="25"/>
  <c r="N67" i="25"/>
  <c r="N66" i="25"/>
  <c r="N65" i="25"/>
  <c r="N64" i="25"/>
  <c r="N63" i="25"/>
  <c r="N62" i="25"/>
  <c r="N61" i="25"/>
  <c r="N60" i="25"/>
  <c r="N59" i="25"/>
  <c r="N58" i="25"/>
  <c r="N57" i="25"/>
  <c r="N56" i="25"/>
  <c r="N55" i="25"/>
  <c r="N54" i="25"/>
  <c r="N53" i="25"/>
  <c r="N52" i="25"/>
  <c r="N51" i="25"/>
  <c r="N50" i="25"/>
  <c r="N49" i="25"/>
  <c r="N48" i="25"/>
  <c r="N47" i="25"/>
  <c r="N46" i="25"/>
  <c r="N45" i="25"/>
  <c r="N44" i="25"/>
  <c r="N43" i="25"/>
  <c r="N42" i="25"/>
  <c r="F133" i="25"/>
  <c r="H28" i="25"/>
  <c r="H29" i="25"/>
  <c r="X21" i="25"/>
  <c r="Y21" i="25"/>
  <c r="K22" i="25"/>
  <c r="K19" i="25"/>
  <c r="J21" i="25"/>
  <c r="K21" i="25"/>
  <c r="N21" i="25"/>
  <c r="J20" i="25"/>
  <c r="K20" i="25"/>
  <c r="O21" i="25"/>
  <c r="P21" i="25"/>
  <c r="R21" i="25"/>
  <c r="S21" i="25"/>
  <c r="Z21" i="25"/>
  <c r="AA21" i="25"/>
  <c r="N19" i="25"/>
  <c r="H34" i="25"/>
  <c r="J13" i="25"/>
  <c r="J12" i="25"/>
  <c r="J16" i="25"/>
  <c r="D155" i="25"/>
  <c r="N113" i="25"/>
  <c r="N115" i="25"/>
  <c r="N116" i="25"/>
  <c r="N117" i="25"/>
  <c r="N118" i="25"/>
  <c r="N119" i="25"/>
  <c r="N120" i="25"/>
  <c r="F134" i="25"/>
  <c r="F135" i="25"/>
  <c r="P112" i="25"/>
  <c r="P111" i="25"/>
  <c r="P110" i="25"/>
  <c r="P109" i="25"/>
  <c r="P108" i="25"/>
  <c r="P107" i="25"/>
  <c r="P106" i="25"/>
  <c r="P105" i="25"/>
  <c r="P104" i="25"/>
  <c r="P103" i="25"/>
  <c r="P102" i="25"/>
  <c r="P101" i="25"/>
  <c r="P100" i="25"/>
  <c r="P99" i="25"/>
  <c r="P98" i="25"/>
  <c r="P97" i="25"/>
  <c r="P96" i="25"/>
  <c r="P95" i="25"/>
  <c r="P94" i="25"/>
  <c r="P93" i="25"/>
  <c r="P92" i="25"/>
  <c r="P91" i="25"/>
  <c r="P90" i="25"/>
  <c r="P89" i="25"/>
  <c r="P88" i="25"/>
  <c r="P87" i="25"/>
  <c r="P86" i="25"/>
  <c r="P85" i="25"/>
  <c r="P84" i="25"/>
  <c r="P83" i="25"/>
  <c r="P82" i="25"/>
  <c r="P81" i="25"/>
  <c r="P80" i="25"/>
  <c r="P79" i="25"/>
  <c r="P76" i="25"/>
  <c r="P75" i="25"/>
  <c r="P74" i="25"/>
  <c r="P73" i="25"/>
  <c r="P72" i="25"/>
  <c r="P71" i="25"/>
  <c r="P70" i="25"/>
  <c r="P69" i="25"/>
  <c r="O65" i="25"/>
  <c r="P64" i="25"/>
  <c r="P63" i="25"/>
  <c r="P62" i="25"/>
  <c r="P61" i="25"/>
  <c r="O54" i="25"/>
  <c r="P53" i="25"/>
  <c r="P52" i="25"/>
  <c r="P51" i="25"/>
  <c r="P50" i="25"/>
  <c r="P49" i="25"/>
  <c r="P48" i="25"/>
  <c r="P47" i="25"/>
  <c r="P46" i="25"/>
  <c r="O42" i="25"/>
  <c r="O69" i="25"/>
  <c r="P68" i="25"/>
  <c r="P67" i="25"/>
  <c r="P66" i="25"/>
  <c r="P65" i="25"/>
  <c r="O61" i="25"/>
  <c r="P60" i="25"/>
  <c r="P59" i="25"/>
  <c r="P58" i="25"/>
  <c r="P57" i="25"/>
  <c r="P56" i="25"/>
  <c r="P55" i="25"/>
  <c r="P54" i="25"/>
  <c r="O46" i="25"/>
  <c r="P45" i="25"/>
  <c r="P44" i="25"/>
  <c r="P43" i="25"/>
  <c r="P42" i="25"/>
  <c r="O77" i="25"/>
  <c r="O48" i="25"/>
  <c r="O50" i="25"/>
  <c r="O52" i="25"/>
  <c r="O62" i="25"/>
  <c r="O64" i="25"/>
  <c r="O71" i="25"/>
  <c r="O73" i="25"/>
  <c r="O75" i="25"/>
  <c r="O79" i="25"/>
  <c r="O81" i="25"/>
  <c r="O83" i="25"/>
  <c r="O85" i="25"/>
  <c r="O87" i="25"/>
  <c r="O89" i="25"/>
  <c r="O91" i="25"/>
  <c r="O93" i="25"/>
  <c r="O95" i="25"/>
  <c r="O97" i="25"/>
  <c r="O99" i="25"/>
  <c r="O101" i="25"/>
  <c r="O103" i="25"/>
  <c r="O105" i="25"/>
  <c r="O107" i="25"/>
  <c r="O109" i="25"/>
  <c r="O111" i="25"/>
  <c r="O43" i="25"/>
  <c r="O45" i="25"/>
  <c r="O56" i="25"/>
  <c r="O58" i="25"/>
  <c r="O60" i="25"/>
  <c r="O67" i="25"/>
  <c r="O47" i="25"/>
  <c r="O49" i="25"/>
  <c r="O51" i="25"/>
  <c r="O53" i="25"/>
  <c r="O63" i="25"/>
  <c r="O70" i="25"/>
  <c r="O72" i="25"/>
  <c r="O74" i="25"/>
  <c r="O76" i="25"/>
  <c r="O80" i="25"/>
  <c r="O82" i="25"/>
  <c r="O84" i="25"/>
  <c r="O86" i="25"/>
  <c r="O88" i="25"/>
  <c r="O90" i="25"/>
  <c r="O92" i="25"/>
  <c r="O94" i="25"/>
  <c r="O96" i="25"/>
  <c r="O98" i="25"/>
  <c r="O100" i="25"/>
  <c r="O102" i="25"/>
  <c r="O104" i="25"/>
  <c r="O106" i="25"/>
  <c r="O108" i="25"/>
  <c r="O110" i="25"/>
  <c r="O112" i="25"/>
  <c r="O44" i="25"/>
  <c r="O55" i="25"/>
  <c r="O57" i="25"/>
  <c r="O59" i="25"/>
  <c r="O66" i="25"/>
  <c r="O68" i="25"/>
  <c r="P113" i="25"/>
  <c r="P117" i="25"/>
  <c r="P118" i="25"/>
  <c r="O118" i="25"/>
  <c r="O113" i="25"/>
  <c r="O119" i="25"/>
  <c r="O120" i="25"/>
  <c r="P119" i="25"/>
  <c r="P120" i="25"/>
  <c r="O115" i="25"/>
  <c r="P115" i="25"/>
  <c r="O116" i="25"/>
  <c r="P116" i="25"/>
  <c r="O117" i="25"/>
  <c r="N121" i="25"/>
  <c r="H36" i="25"/>
  <c r="H30" i="25"/>
  <c r="H31" i="25"/>
  <c r="H32" i="25"/>
  <c r="H33" i="25"/>
  <c r="H35" i="25"/>
  <c r="J15" i="25"/>
  <c r="H37" i="25"/>
  <c r="O121" i="25"/>
  <c r="D151" i="25"/>
  <c r="P121" i="25"/>
  <c r="D152" i="25"/>
  <c r="J14" i="25"/>
  <c r="J10" i="25"/>
  <c r="J9" i="25"/>
  <c r="J8" i="25"/>
  <c r="J11" i="25"/>
  <c r="B23" i="25"/>
  <c r="D172" i="25"/>
  <c r="X19" i="25"/>
  <c r="Y19" i="25"/>
  <c r="X22" i="25"/>
  <c r="Y22" i="25"/>
  <c r="F130" i="25"/>
  <c r="F131" i="25"/>
  <c r="F136" i="25"/>
  <c r="O19" i="25"/>
  <c r="P19" i="25"/>
  <c r="R19" i="25"/>
  <c r="S19" i="25"/>
  <c r="N22" i="25"/>
  <c r="O22" i="25"/>
  <c r="P22" i="25"/>
  <c r="R22" i="25"/>
  <c r="S22" i="25"/>
  <c r="Z22" i="25"/>
  <c r="AA22" i="25"/>
  <c r="Z19" i="25"/>
  <c r="AA19" i="25"/>
  <c r="F137" i="25"/>
  <c r="F139" i="25"/>
  <c r="AA23" i="25"/>
  <c r="D150" i="25"/>
  <c r="D154" i="25"/>
  <c r="D156" i="25"/>
  <c r="D157" i="25"/>
  <c r="D166" i="25"/>
  <c r="D167" i="25"/>
  <c r="D169" i="25"/>
  <c r="D168" i="25"/>
</calcChain>
</file>

<file path=xl/comments1.xml><?xml version="1.0" encoding="utf-8"?>
<comments xmlns="http://schemas.openxmlformats.org/spreadsheetml/2006/main">
  <authors>
    <author>Author</author>
  </authors>
  <commentList>
    <comment ref="L18" authorId="0">
      <text>
        <r>
          <rPr>
            <sz val="8"/>
            <color indexed="81"/>
            <rFont val="Tahoma"/>
            <family val="2"/>
          </rPr>
          <t>Number of Cavities = Number of individual parts in assembled component.</t>
        </r>
      </text>
    </comment>
    <comment ref="M18" authorId="0">
      <text>
        <r>
          <rPr>
            <sz val="8"/>
            <color indexed="81"/>
            <rFont val="Tahoma"/>
            <family val="2"/>
          </rPr>
          <t>Up = Number of duplicate sets for high volume.</t>
        </r>
      </text>
    </comment>
    <comment ref="N18" authorId="0">
      <text>
        <r>
          <rPr>
            <sz val="9"/>
            <color indexed="81"/>
            <rFont val="Tahoma"/>
            <family val="2"/>
          </rPr>
          <t>Total Part Weight / Shot = Individual Part Weight * Cavities * Up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Assumed 10%.  Update with actual weights when available.</t>
        </r>
      </text>
    </comment>
    <comment ref="P18" authorId="0">
      <text>
        <r>
          <rPr>
            <sz val="9"/>
            <color indexed="81"/>
            <rFont val="Tahoma"/>
            <family val="2"/>
          </rPr>
          <t>Shot Weight = Total Part Weight + Sprue &amp; Runner Weight</t>
        </r>
      </text>
    </comment>
    <comment ref="R18" authorId="0">
      <text>
        <r>
          <rPr>
            <sz val="9"/>
            <color indexed="81"/>
            <rFont val="Tahoma"/>
            <family val="2"/>
          </rPr>
          <t>Virgin Resin Weight = Shot Weight - Regrind Weight</t>
        </r>
      </text>
    </comment>
    <comment ref="S18" authorId="0">
      <text>
        <r>
          <rPr>
            <sz val="8"/>
            <color indexed="81"/>
            <rFont val="Tahoma"/>
            <family val="2"/>
          </rPr>
          <t>Pro-Rate Sprue and Runner Costs across all parts in too.
Material Cost / Piece =  Resin Cost ($/Kg) * Virgin Shot Weight (g) * [1 / (Cavities * Up)] * (1 Kg / 1000g)</t>
        </r>
      </text>
    </comment>
    <comment ref="W18" authorId="0">
      <text>
        <r>
          <rPr>
            <sz val="8"/>
            <color indexed="81"/>
            <rFont val="Tahoma"/>
            <family val="2"/>
          </rPr>
          <t>Edge, Pin, Submarine, Hot Sprue, etc.</t>
        </r>
      </text>
    </comment>
    <comment ref="X18" authorId="0">
      <text>
        <r>
          <rPr>
            <sz val="9"/>
            <color indexed="81"/>
            <rFont val="Tahoma"/>
            <family val="2"/>
          </rPr>
          <t>Molding Cost = Hourly Rate ($/hr) / [(1/Cycle Time (s) * 60s/min * 60min/hr]</t>
        </r>
      </text>
    </comment>
    <comment ref="Y18" authorId="0">
      <text>
        <r>
          <rPr>
            <sz val="9"/>
            <color indexed="81"/>
            <rFont val="Tahoma"/>
            <family val="2"/>
          </rPr>
          <t>Molding Cost / Piece = Molding Cost *[ 1 / (Cavities * Up)]</t>
        </r>
      </text>
    </comment>
    <comment ref="Z18" authorId="0">
      <text>
        <r>
          <rPr>
            <sz val="8"/>
            <color indexed="81"/>
            <rFont val="Tahoma"/>
            <family val="2"/>
          </rPr>
          <t>Piece Cost = Material Cost + Molding Cost</t>
        </r>
      </text>
    </comment>
    <comment ref="AA18" authorId="0">
      <text>
        <r>
          <rPr>
            <sz val="9"/>
            <color indexed="81"/>
            <rFont val="Tahoma"/>
            <family val="2"/>
          </rPr>
          <t>Cost / Assy = Piece Cost * Usage (Up)</t>
        </r>
      </text>
    </comment>
    <comment ref="AB18" authorId="0">
      <text>
        <r>
          <rPr>
            <b/>
            <sz val="9"/>
            <color indexed="81"/>
            <rFont val="Tahoma"/>
            <family val="2"/>
          </rPr>
          <t>Assume 20 hrs / day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Minimum Order Quantity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CM to provide recommendations on proper packaging.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Includes profit, overhead and scrap on items less than or equal to threshold.</t>
        </r>
      </text>
    </comment>
    <comment ref="C148" authorId="0">
      <text>
        <r>
          <rPr>
            <b/>
            <sz val="9"/>
            <color indexed="81"/>
            <rFont val="Tahoma"/>
            <family val="2"/>
          </rPr>
          <t>Includes profit, overhead and scrap on items greater than threshold.</t>
        </r>
      </text>
    </comment>
  </commentList>
</comments>
</file>

<file path=xl/sharedStrings.xml><?xml version="1.0" encoding="utf-8"?>
<sst xmlns="http://schemas.openxmlformats.org/spreadsheetml/2006/main" count="534" uniqueCount="348">
  <si>
    <t>Description</t>
  </si>
  <si>
    <t>Image</t>
  </si>
  <si>
    <t>Material</t>
  </si>
  <si>
    <t>*** Company Confidential ***</t>
  </si>
  <si>
    <t>Production
Tool Cost</t>
  </si>
  <si>
    <t>Part Name</t>
  </si>
  <si>
    <t>Approx Outer
Dimensions (L x W X D)</t>
  </si>
  <si>
    <t>Resin</t>
  </si>
  <si>
    <t>Color</t>
  </si>
  <si>
    <t>Cavities
(Usage)</t>
  </si>
  <si>
    <t>Up</t>
  </si>
  <si>
    <t>Purchased Parts</t>
  </si>
  <si>
    <t>Usage</t>
  </si>
  <si>
    <t>Unit Cost</t>
  </si>
  <si>
    <t>Total Purchased</t>
  </si>
  <si>
    <t>Shipment Packaging</t>
  </si>
  <si>
    <t>Setup / Tooling Cost</t>
  </si>
  <si>
    <t>Extended Cost</t>
  </si>
  <si>
    <t>Tape</t>
  </si>
  <si>
    <t>Packout Labor Cost / Unit</t>
  </si>
  <si>
    <t>Value</t>
  </si>
  <si>
    <t>Standard Factory Profit (%)</t>
  </si>
  <si>
    <t>Regrind %</t>
  </si>
  <si>
    <t>Material Cost
per piece</t>
  </si>
  <si>
    <t>Press Tonnage</t>
  </si>
  <si>
    <t>Cycle
Time (s)</t>
  </si>
  <si>
    <t>Press Tonnage Hourly Labor Rate</t>
  </si>
  <si>
    <t>Mold Type</t>
  </si>
  <si>
    <t>Molding
Cost</t>
  </si>
  <si>
    <t>Molding
Cost / Piece</t>
  </si>
  <si>
    <t>Production Cost per Piece</t>
  </si>
  <si>
    <t>Cost per
Assy</t>
  </si>
  <si>
    <t>Injection Tooling</t>
  </si>
  <si>
    <t>Total Markup</t>
  </si>
  <si>
    <t>Total XF Cost</t>
  </si>
  <si>
    <t>Total Mechanical Costs (including Packaging)</t>
  </si>
  <si>
    <t>Total Labor Cost (including Packaging)</t>
  </si>
  <si>
    <t>COGS Summary</t>
  </si>
  <si>
    <t>P/N</t>
  </si>
  <si>
    <t>Aluminum</t>
  </si>
  <si>
    <t>Total Mech</t>
  </si>
  <si>
    <t>1.  Please fill in all yellow cells.</t>
  </si>
  <si>
    <t>2.  All costs in USD.</t>
  </si>
  <si>
    <t>4.  Please add any additional costs</t>
  </si>
  <si>
    <r>
      <t xml:space="preserve">3.  All units in </t>
    </r>
    <r>
      <rPr>
        <b/>
        <u/>
        <sz val="12"/>
        <rFont val="Arial"/>
        <family val="2"/>
      </rPr>
      <t>English</t>
    </r>
    <r>
      <rPr>
        <b/>
        <sz val="12"/>
        <rFont val="Arial"/>
        <family val="2"/>
      </rPr>
      <t>.</t>
    </r>
  </si>
  <si>
    <t>POM</t>
  </si>
  <si>
    <t>ABS</t>
  </si>
  <si>
    <t>PC</t>
  </si>
  <si>
    <t>Nylon</t>
  </si>
  <si>
    <t>Santoprene</t>
  </si>
  <si>
    <t>Density (lb/in3)</t>
  </si>
  <si>
    <t>Density (g/cm3)</t>
  </si>
  <si>
    <t>Production Labor Cost Per Unit</t>
  </si>
  <si>
    <t>Warranty Card</t>
  </si>
  <si>
    <t xml:space="preserve">CM Instructions:  </t>
  </si>
  <si>
    <t>Threshold</t>
  </si>
  <si>
    <t>Item</t>
  </si>
  <si>
    <t>Reference</t>
  </si>
  <si>
    <t>Current
Manufacturer</t>
  </si>
  <si>
    <t>Current Mfg P/N</t>
  </si>
  <si>
    <t>Local Supplier
Name</t>
  </si>
  <si>
    <t>Local Supplier
Part Number</t>
  </si>
  <si>
    <t>MOQ</t>
  </si>
  <si>
    <t>Lead-Time (days)</t>
  </si>
  <si>
    <t>Unit Cost &lt;= Threshold</t>
  </si>
  <si>
    <t>Unit Cost &gt; Threshold</t>
  </si>
  <si>
    <t>Possible Alternates</t>
  </si>
  <si>
    <t>Total</t>
  </si>
  <si>
    <t>Master Carton</t>
  </si>
  <si>
    <t>Special Component Threshold</t>
  </si>
  <si>
    <t>Labor Rate per Hour</t>
  </si>
  <si>
    <t>Special Materials Factory Profit (%)</t>
  </si>
  <si>
    <t>Consigned Goods Markup (%)</t>
  </si>
  <si>
    <t>Total Standard Electrical Costs</t>
  </si>
  <si>
    <t>Total Special Electrical Costs</t>
  </si>
  <si>
    <t>Total Consigned Costs</t>
  </si>
  <si>
    <t>Total Material Costs</t>
  </si>
  <si>
    <t>Overland Transportation -  20ft</t>
  </si>
  <si>
    <t>HK FCL</t>
  </si>
  <si>
    <t>HK LCL</t>
  </si>
  <si>
    <t>YanTian FCL</t>
  </si>
  <si>
    <t>YanTian LCL</t>
  </si>
  <si>
    <t>Total Costs</t>
  </si>
  <si>
    <t>FOB, HK FCL</t>
  </si>
  <si>
    <t>FOB, HK LCL</t>
  </si>
  <si>
    <t>FOB, YanTian FCL</t>
  </si>
  <si>
    <t>FOB, YanTian LCL</t>
  </si>
  <si>
    <t>Silicone</t>
  </si>
  <si>
    <t>Stainless Steel</t>
  </si>
  <si>
    <t>Individual
Part Volume (mm3)</t>
  </si>
  <si>
    <t>Individual
Part Weight (g)</t>
  </si>
  <si>
    <t>Resin Cost
USD/ Kg</t>
  </si>
  <si>
    <t>Total Part
Weight / Shot (g)</t>
  </si>
  <si>
    <t>Sprue &amp; Runner
Weight (g)</t>
  </si>
  <si>
    <t>Shot
Weight (g)</t>
  </si>
  <si>
    <t>Virgin Resin
Weight / Shot (g)</t>
  </si>
  <si>
    <t>Total Weekly Capacity</t>
  </si>
  <si>
    <t>Total Tooling Costs</t>
  </si>
  <si>
    <t>Styrene</t>
  </si>
  <si>
    <t>Shipment Packaging Total</t>
  </si>
  <si>
    <t>Giftbox Packaging (Injection)</t>
  </si>
  <si>
    <t>Total Packaging</t>
  </si>
  <si>
    <t>Molded Parts</t>
  </si>
  <si>
    <t>Bill@DragonInnovation.com</t>
  </si>
  <si>
    <r>
      <t xml:space="preserve">SwitchDevices RFQ BOM for </t>
    </r>
    <r>
      <rPr>
        <b/>
        <sz val="12"/>
        <color rgb="FFFF0000"/>
        <rFont val="Arial"/>
        <family val="2"/>
      </rPr>
      <t>&lt;&lt;CM&gt;&gt;</t>
    </r>
  </si>
  <si>
    <t>55x55x40.5</t>
  </si>
  <si>
    <t>49.5x49.5x54</t>
  </si>
  <si>
    <t>PC-ABS V0 Flame Retardant</t>
  </si>
  <si>
    <t>varies</t>
  </si>
  <si>
    <t>Pairing/Reset Button</t>
  </si>
  <si>
    <t>5x5x7</t>
  </si>
  <si>
    <t>Temp003</t>
  </si>
  <si>
    <t>Light-pipe</t>
  </si>
  <si>
    <t>No image - small star-shaped light-pipe that conducts light from LED on PCB to exterior</t>
  </si>
  <si>
    <t>4x4x7</t>
  </si>
  <si>
    <t>Acrylic or PC V0 Flame Retardant</t>
  </si>
  <si>
    <t>clear</t>
  </si>
  <si>
    <t>Shell</t>
  </si>
  <si>
    <t>Insert</t>
  </si>
  <si>
    <t>No image - small button that is always the same color as the Housing and is molded in a family mold with the Shell</t>
  </si>
  <si>
    <t>Slip Cover, 4-Color</t>
  </si>
  <si>
    <t>Instructions, 1 page on B&amp;W stock</t>
  </si>
  <si>
    <t>Screw to attach male Edison screw</t>
  </si>
  <si>
    <t>Screw to attach female Edison screw</t>
  </si>
  <si>
    <t>Screw3</t>
  </si>
  <si>
    <t>Screw4</t>
  </si>
  <si>
    <t>Enclosure2</t>
  </si>
  <si>
    <t>Enclosure1</t>
  </si>
  <si>
    <t>Lightpipe1</t>
  </si>
  <si>
    <t>Edison1</t>
  </si>
  <si>
    <t>Edison2</t>
  </si>
  <si>
    <t>Aluminum nickel free solder</t>
  </si>
  <si>
    <t>Male E27 Edison Screw Assembly, see http://www.alibaba.com/product-gs/354788193/GOOD_Lamp_base_E27_Aluminum_Nickel.html</t>
  </si>
  <si>
    <t>Female E27 Edison Screw Assembly, see http://www.alibaba.com/product-gs/354775792/GREAT_Lamp_base_E27_Brass_Shrapnel.html</t>
  </si>
  <si>
    <t>Stainless steel</t>
  </si>
  <si>
    <t>WH1</t>
  </si>
  <si>
    <t>WH2</t>
  </si>
  <si>
    <t>WH3</t>
  </si>
  <si>
    <t>Wire Hrness between MALE &amp; POWPRI</t>
  </si>
  <si>
    <t>Wire Hrness between MALE &amp; DIMMER</t>
  </si>
  <si>
    <t>Wire Hrness between FEMALE &amp; DIMMER</t>
  </si>
  <si>
    <t>Each is a set of four insulated tinned jumper wires</t>
  </si>
  <si>
    <t>A1</t>
  </si>
  <si>
    <t>B1</t>
  </si>
  <si>
    <t>B2</t>
  </si>
  <si>
    <t>BUTTON1</t>
  </si>
  <si>
    <t>C1</t>
  </si>
  <si>
    <t>C10</t>
  </si>
  <si>
    <t>C11</t>
  </si>
  <si>
    <t>C12</t>
  </si>
  <si>
    <t>C13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</si>
  <si>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</si>
  <si>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</si>
  <si>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</si>
  <si>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</si>
  <si>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</si>
  <si>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</si>
  <si>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</si>
  <si>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</si>
  <si>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</si>
  <si>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</si>
  <si>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</si>
  <si>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F1</t>
  </si>
  <si>
    <t>F2</t>
  </si>
  <si>
    <t>HEADER1</t>
  </si>
  <si>
    <t>HEADER2</t>
  </si>
  <si>
    <t>HEADER3</t>
  </si>
  <si>
    <t>ICSP2</t>
  </si>
  <si>
    <t>L1</t>
  </si>
  <si>
    <t>LED3</t>
  </si>
  <si>
    <t>LED4</t>
  </si>
  <si>
    <t>LED5</t>
  </si>
  <si>
    <t>LED6</t>
  </si>
  <si>
    <t>LED7</t>
  </si>
  <si>
    <t>PCB1</t>
  </si>
  <si>
    <t>PCB2</t>
  </si>
  <si>
    <t>PCB3</t>
  </si>
  <si>
    <t>PCB4</t>
  </si>
  <si>
    <t>Q1</t>
  </si>
  <si>
    <t>Q2</t>
  </si>
  <si>
    <t>R1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</si>
  <si>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</si>
  <si>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</si>
  <si>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</si>
  <si>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</si>
  <si>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</si>
  <si>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</si>
  <si>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</si>
  <si>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</si>
  <si>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</si>
  <si>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</si>
  <si>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</t>
  </si>
  <si>
    <t>R20</t>
  </si>
  <si>
    <t>R21</t>
  </si>
  <si>
    <t>R22</t>
  </si>
  <si>
    <t>R23</t>
  </si>
  <si>
    <t>R24</t>
  </si>
  <si>
    <t>R26</t>
  </si>
  <si>
    <t>R27</t>
  </si>
  <si>
    <t>R28</t>
  </si>
  <si>
    <t>R29</t>
  </si>
  <si>
    <t>R3</t>
  </si>
  <si>
    <t>R30</t>
  </si>
  <si>
    <t>R4</t>
  </si>
  <si>
    <t>R5</t>
  </si>
  <si>
    <t>R6</t>
  </si>
  <si>
    <t>R7</t>
  </si>
  <si>
    <t>R8</t>
  </si>
  <si>
    <t>R9</t>
  </si>
  <si>
    <t>SCREW1</t>
  </si>
  <si>
    <t>SCREW2</t>
  </si>
  <si>
    <t>SCREW3</t>
  </si>
  <si>
    <t>T1</t>
  </si>
  <si>
    <t>TR1</t>
  </si>
  <si>
    <t>U1</t>
  </si>
  <si>
    <t>U2</t>
  </si>
  <si>
    <t>U3</t>
  </si>
  <si>
    <t>U4</t>
  </si>
  <si>
    <t>U5</t>
  </si>
  <si>
    <t>U6</t>
  </si>
  <si>
    <t>Chip Antenna, 2.4Ghz, SMD 2.2x6.5mm</t>
  </si>
  <si>
    <t>Bridge Rectifier, 400V, DF-S</t>
  </si>
  <si>
    <t>Bridge rectifier, 0.5A, 600V, SOIC4</t>
  </si>
  <si>
    <t>Button, 5mm height, 6mm</t>
  </si>
  <si>
    <t>Capacitor, 1uF, 0603</t>
  </si>
  <si>
    <t>Electrolytic capacitor, 6.8uF, 400V, 8mmx16mm, 5mm leads</t>
  </si>
  <si>
    <t>Electrolytic capacitor, 470uF, 6.3V, 6.3mmx11mm, 5mm leads</t>
  </si>
  <si>
    <t>Ceramic capacitor, 0.1uF, 0603</t>
  </si>
  <si>
    <t>Electrolytic capacitor, 10uF, 1206</t>
  </si>
  <si>
    <t>Ceramic capacitor, 0.1uF, 450V, 1206</t>
  </si>
  <si>
    <t>Capacitor, 0.1uF, 0603</t>
  </si>
  <si>
    <t>Capacitor, 22pF, 0603</t>
  </si>
  <si>
    <t>Ceramic capacitor, 470pF, 630V, 1206</t>
  </si>
  <si>
    <t>Ceramic capacitor, 8pF, 10V, 0603</t>
  </si>
  <si>
    <t>Ceramic capacitor, 0.33uF, 50V, 0603</t>
  </si>
  <si>
    <t>Schotty Diode, 3A, 40V, SMA</t>
  </si>
  <si>
    <t>Switching diode, 0.2A, 200V, SOD323</t>
  </si>
  <si>
    <t>Ultrafast rectifier, 1A, 600V, SMA</t>
  </si>
  <si>
    <t>Fuse, 300V, TE5</t>
  </si>
  <si>
    <t>PTC, 1A, 1206</t>
  </si>
  <si>
    <t>Header b/w MCU &amp; WIFI, 6 pin, right angle, 0.1 inch spacing</t>
  </si>
  <si>
    <t>Header b/w MCU &amp; DIMMER, 4 pin, right angle, 0.1 inch spacing</t>
  </si>
  <si>
    <t>Header b/w WIFI &amp; POWREG, 3 pin, right angle, 0.1 inch spacing</t>
  </si>
  <si>
    <t>ICSP Headers, 2x3 (6 pins), 0.1 inch spacing</t>
  </si>
  <si>
    <t>Radial leaded wire transformer, 2.2mH, 5mmx8mm leaded</t>
  </si>
  <si>
    <t>LED, Green, 0603</t>
  </si>
  <si>
    <t>LED, Yellow, 0603</t>
  </si>
  <si>
    <t>LED, Red, 0603</t>
  </si>
  <si>
    <t>Triple Output LED RGB; common anode, , 4-PLCC</t>
  </si>
  <si>
    <t xml:space="preserve">Printed Circuit Board, 35mmx28mm, </t>
  </si>
  <si>
    <t>Crystal, 12Mhz, HC49/US SMD</t>
  </si>
  <si>
    <t>NMOSFET, 2A, 600V, TO-220</t>
  </si>
  <si>
    <t>Resistor, 10K, 0603</t>
  </si>
  <si>
    <t>Resistor, 200 ohm, 0603</t>
  </si>
  <si>
    <t>Resistor, 220 ohm, 0603</t>
  </si>
  <si>
    <t>Resistor, 4.7K, 0805</t>
  </si>
  <si>
    <t>Resistor, 330K, 1206</t>
  </si>
  <si>
    <t>Resistor, 0ohm, 1206</t>
  </si>
  <si>
    <t>Resistor, 47K, 0603</t>
  </si>
  <si>
    <t>Resistor, 7.5M, 1206</t>
  </si>
  <si>
    <t>Resistor, 33R, 0603</t>
  </si>
  <si>
    <t>Resistor, 150K, 0603</t>
  </si>
  <si>
    <t>Resistor, 28K, 0603</t>
  </si>
  <si>
    <t>Resistor, 2.4K, 0603</t>
  </si>
  <si>
    <t>Resistor, 2.4ohm, 0603</t>
  </si>
  <si>
    <t>Resistor, 18ohm, 0805</t>
  </si>
  <si>
    <t>Resistor, 4.7K, 0603</t>
  </si>
  <si>
    <t>Resistor, 330ohm, 0603</t>
  </si>
  <si>
    <t>Resistor, 470ohm, 0603</t>
  </si>
  <si>
    <t>Resistor, 1K, 0603</t>
  </si>
  <si>
    <t>Resistor, 1M, 0603</t>
  </si>
  <si>
    <t>Resistor, 100 ohm, 0603</t>
  </si>
  <si>
    <t xml:space="preserve">Screw to attach MCU to INSERT, , </t>
  </si>
  <si>
    <t>Screw to attach POWREG to INSERT, , Std</t>
  </si>
  <si>
    <t xml:space="preserve">Screw to attach POWREG to INSERT, , </t>
  </si>
  <si>
    <t>TRIAC, 600V, SOT-223</t>
  </si>
  <si>
    <t>Transformer, EPC13, Custom</t>
  </si>
  <si>
    <t>Optoisolator transistor, , 6-SMD</t>
  </si>
  <si>
    <t>Optoisolator TRIAC driver, 400V, 6-SMD</t>
  </si>
  <si>
    <t>3.3V voltage regulator, 3.3V, SOT-235</t>
  </si>
  <si>
    <t>ATmega328p Micro-controller, ATmega328p, 32TQFP</t>
  </si>
  <si>
    <t>Roving Networks RN-171 Wi-Fi Module, 802.11b/g, Custom SMD</t>
  </si>
  <si>
    <t>PSR Controller, UCC28700, TSOP-6</t>
  </si>
  <si>
    <t>Linx Technologies Inc</t>
  </si>
  <si>
    <t>Diodes inc</t>
  </si>
  <si>
    <t>Vishay General Semiconductor</t>
  </si>
  <si>
    <t>Omron Electronics</t>
  </si>
  <si>
    <t>Std</t>
  </si>
  <si>
    <t>TEAPO</t>
  </si>
  <si>
    <t>Rubycon</t>
  </si>
  <si>
    <t>TDK</t>
  </si>
  <si>
    <t>Kemet</t>
  </si>
  <si>
    <t>ON</t>
  </si>
  <si>
    <t>Littelfuse Inc</t>
  </si>
  <si>
    <t>TE Connectivity</t>
  </si>
  <si>
    <t>Wurth</t>
  </si>
  <si>
    <t>Wurth Electronik</t>
  </si>
  <si>
    <t>Cree Inc</t>
  </si>
  <si>
    <t>ECS Inc</t>
  </si>
  <si>
    <t>Fairchild Semiconductor</t>
  </si>
  <si>
    <t>NXP Semiconductors</t>
  </si>
  <si>
    <t>Fairchild Optoelectronics Group</t>
  </si>
  <si>
    <t>Lite-On Inc</t>
  </si>
  <si>
    <t>Micrel Inc</t>
  </si>
  <si>
    <t>Atmega</t>
  </si>
  <si>
    <t>Roving Networks</t>
  </si>
  <si>
    <t>Texas Instruments</t>
  </si>
  <si>
    <t>ANT-2.45-CHP-T</t>
  </si>
  <si>
    <t>DF1504S</t>
  </si>
  <si>
    <t>MB6S-E3/80</t>
  </si>
  <si>
    <t>B3F-1022</t>
  </si>
  <si>
    <t>??</t>
  </si>
  <si>
    <t>6.3ZLH470M6</t>
  </si>
  <si>
    <t>C3216X7T2W104M</t>
  </si>
  <si>
    <t>C1206C471KBRACTU</t>
  </si>
  <si>
    <t>MBRA340T3G</t>
  </si>
  <si>
    <t>BAS20HT1G</t>
  </si>
  <si>
    <t>MURA160T3G</t>
  </si>
  <si>
    <t>1206L050YR</t>
  </si>
  <si>
    <t>640385-6</t>
  </si>
  <si>
    <t>640385-4</t>
  </si>
  <si>
    <t>640385-3</t>
  </si>
  <si>
    <t>CLVBA-FKA-CAEDH8BBB7A363</t>
  </si>
  <si>
    <t>ECS-120-20-3X-TR</t>
  </si>
  <si>
    <t>FQP2N60C</t>
  </si>
  <si>
    <t>ACT108W-600E,135</t>
  </si>
  <si>
    <t>4N25SR2M</t>
  </si>
  <si>
    <t>MOC3021S</t>
  </si>
  <si>
    <t>MIC5219-3.3YM5 TR</t>
  </si>
  <si>
    <t>ATMEGA328P-AU</t>
  </si>
  <si>
    <t>740-1042-ND</t>
  </si>
  <si>
    <t>UCC28700</t>
  </si>
  <si>
    <t>~10K</t>
  </si>
  <si>
    <t>Printed Circuit Board, 26mmx28mm, Std,</t>
  </si>
  <si>
    <t xml:space="preserve">Printed Circuit Board, 35mmx28mm, Std, </t>
  </si>
  <si>
    <t xml:space="preserve">Printed Circuit Board, 26mmx28mm, Std, </t>
  </si>
  <si>
    <t>PCB5</t>
  </si>
  <si>
    <t>Gift Box, 4x4"</t>
  </si>
  <si>
    <t>Foam packaging (FOAM)</t>
  </si>
  <si>
    <t>Printed Circuit Board inside male shell 19 mm Diam.</t>
  </si>
  <si>
    <t>Printed Circuit Board inside male shell 28 mm Diam.</t>
  </si>
  <si>
    <t>PCB6</t>
  </si>
  <si>
    <t>Notes</t>
  </si>
  <si>
    <t>Removed</t>
  </si>
  <si>
    <t>Replaced with GainSpan 1011MIPS</t>
  </si>
  <si>
    <t>Replaced with http://www.digikey.com/product-detail/en/LTST-C19FD1WT/LTST-C19FD1WT-ND/3198709</t>
  </si>
  <si>
    <t>Reduced to $0.25 (cheaper packaging)</t>
  </si>
  <si>
    <t>Replace with printed corrugated shipper; no price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</si>
</sst>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0.000"/>
    <numFmt numFmtId="166" formatCode="[$-409]d\-mmm\-yy;@"/>
    <numFmt numFmtId="167" formatCode="&quot;$&quot;#,##0"/>
    <numFmt numFmtId="168" formatCode="&quot;$&quot;#,##0.000"/>
    <numFmt numFmtId="169" formatCode="&quot;$&quot;#,##0.00"/>
    <numFmt numFmtId="170" formatCode="#,##0.00000"/>
    <numFmt numFmtId="171" formatCode="#,##0.0"/>
    <numFmt numFmtId="172" formatCode="#,##0.0000"/>
    <numFmt numFmtId="173" formatCode="0.0000"/>
  </numFmts>
  <fonts count="3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  <font>
      <u/>
      <sz val="10"/>
      <color theme="11"/>
      <name val="Arial"/>
      <family val="2"/>
    </font>
    <font>
      <b/>
      <sz val="12"/>
      <color rgb="FFFF0000"/>
      <name val="Arial"/>
      <family val="2"/>
    </font>
    <font>
      <u/>
      <sz val="12"/>
      <color indexed="12"/>
      <name val="Arial"/>
      <family val="2"/>
    </font>
    <font>
      <b/>
      <sz val="12"/>
      <color theme="0"/>
      <name val="Arial"/>
      <family val="2"/>
    </font>
    <font>
      <b/>
      <sz val="12"/>
      <color indexed="9"/>
      <name val="Arial"/>
      <family val="2"/>
    </font>
    <font>
      <b/>
      <u/>
      <sz val="12"/>
      <name val="Arial"/>
      <family val="2"/>
    </font>
    <font>
      <sz val="10"/>
      <color rgb="FF222222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6"/>
      <color rgb="FFFF0000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i/>
      <sz val="12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MS Sans Serif"/>
      <family val="2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2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">
    <xf numFmtId="0" fontId="0" fillId="0" borderId="0"/>
    <xf numFmtId="42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44" fontId="2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50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/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14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6" borderId="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 vertical="center" wrapText="1"/>
    </xf>
    <xf numFmtId="168" fontId="4" fillId="0" borderId="4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7" fontId="3" fillId="3" borderId="3" xfId="0" applyNumberFormat="1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16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8" fontId="3" fillId="3" borderId="6" xfId="0" applyNumberFormat="1" applyFont="1" applyFill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wrapText="1"/>
    </xf>
    <xf numFmtId="0" fontId="3" fillId="0" borderId="0" xfId="0" applyFont="1" applyBorder="1"/>
    <xf numFmtId="0" fontId="4" fillId="0" borderId="0" xfId="0" applyFont="1" applyAlignment="1">
      <alignment horizontal="left"/>
    </xf>
    <xf numFmtId="0" fontId="4" fillId="0" borderId="8" xfId="0" applyFont="1" applyFill="1" applyBorder="1" applyAlignment="1">
      <alignment horizontal="right"/>
    </xf>
    <xf numFmtId="168" fontId="4" fillId="0" borderId="15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wrapText="1"/>
    </xf>
    <xf numFmtId="0" fontId="4" fillId="0" borderId="0" xfId="6" applyFont="1"/>
    <xf numFmtId="168" fontId="3" fillId="5" borderId="11" xfId="0" applyNumberFormat="1" applyFont="1" applyFill="1" applyBorder="1" applyAlignment="1">
      <alignment horizontal="center" vertical="center" wrapText="1"/>
    </xf>
    <xf numFmtId="168" fontId="3" fillId="5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9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167" fontId="3" fillId="3" borderId="4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right"/>
    </xf>
    <xf numFmtId="168" fontId="3" fillId="3" borderId="2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16" fillId="4" borderId="1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170" fontId="3" fillId="0" borderId="4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3" fontId="16" fillId="4" borderId="2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7" fillId="2" borderId="26" xfId="0" applyFont="1" applyFill="1" applyBorder="1" applyAlignment="1">
      <alignment horizontal="center"/>
    </xf>
    <xf numFmtId="168" fontId="3" fillId="0" borderId="27" xfId="0" applyNumberFormat="1" applyFont="1" applyFill="1" applyBorder="1" applyAlignment="1">
      <alignment horizontal="center" wrapText="1"/>
    </xf>
    <xf numFmtId="49" fontId="4" fillId="0" borderId="7" xfId="0" applyNumberFormat="1" applyFont="1" applyFill="1" applyBorder="1" applyAlignment="1">
      <alignment horizontal="left" vertical="center"/>
    </xf>
    <xf numFmtId="0" fontId="19" fillId="0" borderId="0" xfId="0" applyFont="1" applyAlignment="1">
      <alignment wrapText="1"/>
    </xf>
    <xf numFmtId="0" fontId="0" fillId="0" borderId="0" xfId="0" applyAlignment="1">
      <alignment horizontal="center"/>
    </xf>
    <xf numFmtId="0" fontId="20" fillId="0" borderId="0" xfId="0" applyFont="1" applyFill="1" applyBorder="1" applyAlignment="1">
      <alignment horizontal="left" wrapText="1"/>
    </xf>
    <xf numFmtId="0" fontId="21" fillId="0" borderId="0" xfId="0" quotePrefix="1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4" applyFont="1" applyFill="1" applyBorder="1" applyAlignment="1" applyProtection="1">
      <alignment horizontal="center"/>
    </xf>
    <xf numFmtId="0" fontId="2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37" fontId="0" fillId="0" borderId="0" xfId="0" applyNumberFormat="1" applyFont="1" applyFill="1" applyBorder="1" applyAlignment="1">
      <alignment horizontal="right"/>
    </xf>
    <xf numFmtId="168" fontId="0" fillId="0" borderId="0" xfId="0" applyNumberFormat="1" applyFont="1" applyFill="1" applyAlignment="1">
      <alignment horizontal="right"/>
    </xf>
    <xf numFmtId="168" fontId="0" fillId="0" borderId="0" xfId="0" applyNumberFormat="1" applyFont="1" applyFill="1"/>
    <xf numFmtId="166" fontId="4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6" fillId="0" borderId="0" xfId="4" applyFont="1" applyFill="1" applyBorder="1" applyAlignment="1" applyProtection="1"/>
    <xf numFmtId="0" fontId="23" fillId="2" borderId="13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169" fontId="0" fillId="0" borderId="11" xfId="0" applyNumberFormat="1" applyFont="1" applyFill="1" applyBorder="1" applyAlignment="1">
      <alignment horizontal="center"/>
    </xf>
    <xf numFmtId="169" fontId="0" fillId="3" borderId="11" xfId="0" applyNumberFormat="1" applyFont="1" applyFill="1" applyBorder="1" applyAlignment="1">
      <alignment horizontal="center"/>
    </xf>
    <xf numFmtId="10" fontId="0" fillId="3" borderId="11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right"/>
    </xf>
    <xf numFmtId="10" fontId="0" fillId="3" borderId="24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169" fontId="0" fillId="0" borderId="14" xfId="0" applyNumberFormat="1" applyFont="1" applyFill="1" applyBorder="1" applyAlignment="1">
      <alignment horizontal="center"/>
    </xf>
    <xf numFmtId="169" fontId="0" fillId="0" borderId="24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right"/>
    </xf>
    <xf numFmtId="169" fontId="0" fillId="0" borderId="12" xfId="0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right"/>
    </xf>
    <xf numFmtId="169" fontId="0" fillId="0" borderId="29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right"/>
    </xf>
    <xf numFmtId="169" fontId="0" fillId="0" borderId="20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9" fontId="0" fillId="3" borderId="11" xfId="0" applyNumberFormat="1" applyFill="1" applyBorder="1"/>
    <xf numFmtId="0" fontId="0" fillId="0" borderId="5" xfId="0" applyBorder="1" applyAlignment="1">
      <alignment horizontal="right"/>
    </xf>
    <xf numFmtId="169" fontId="0" fillId="3" borderId="12" xfId="0" applyNumberFormat="1" applyFill="1" applyBorder="1"/>
    <xf numFmtId="169" fontId="2" fillId="0" borderId="11" xfId="0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8" fontId="4" fillId="0" borderId="25" xfId="0" applyNumberFormat="1" applyFont="1" applyBorder="1"/>
    <xf numFmtId="168" fontId="4" fillId="0" borderId="15" xfId="0" applyNumberFormat="1" applyFont="1" applyBorder="1"/>
    <xf numFmtId="0" fontId="23" fillId="2" borderId="18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 wrapText="1"/>
    </xf>
    <xf numFmtId="0" fontId="23" fillId="2" borderId="14" xfId="0" applyFont="1" applyFill="1" applyBorder="1" applyAlignment="1">
      <alignment horizontal="center" wrapText="1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165" fontId="3" fillId="7" borderId="11" xfId="0" applyNumberFormat="1" applyFont="1" applyFill="1" applyBorder="1" applyAlignment="1">
      <alignment horizontal="center"/>
    </xf>
    <xf numFmtId="165" fontId="3" fillId="7" borderId="12" xfId="0" applyNumberFormat="1" applyFont="1" applyFill="1" applyBorder="1" applyAlignment="1">
      <alignment horizontal="center"/>
    </xf>
    <xf numFmtId="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0" fontId="4" fillId="0" borderId="16" xfId="0" applyFont="1" applyBorder="1" applyAlignment="1">
      <alignment vertical="center"/>
    </xf>
    <xf numFmtId="168" fontId="4" fillId="0" borderId="17" xfId="0" applyNumberFormat="1" applyFont="1" applyBorder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167" fontId="3" fillId="0" borderId="22" xfId="0" applyNumberFormat="1" applyFont="1" applyBorder="1" applyAlignment="1">
      <alignment horizontal="center"/>
    </xf>
    <xf numFmtId="0" fontId="3" fillId="0" borderId="2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7" borderId="5" xfId="0" applyFill="1" applyBorder="1" applyAlignment="1">
      <alignment horizontal="right"/>
    </xf>
    <xf numFmtId="169" fontId="0" fillId="7" borderId="12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171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right"/>
    </xf>
    <xf numFmtId="168" fontId="4" fillId="0" borderId="22" xfId="0" applyNumberFormat="1" applyFont="1" applyFill="1" applyBorder="1" applyAlignment="1">
      <alignment horizontal="center"/>
    </xf>
    <xf numFmtId="0" fontId="6" fillId="0" borderId="4" xfId="4" applyFill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3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171" fontId="3" fillId="0" borderId="31" xfId="0" applyNumberFormat="1" applyFont="1" applyFill="1" applyBorder="1" applyAlignment="1">
      <alignment horizontal="center" vertical="center" wrapText="1"/>
    </xf>
    <xf numFmtId="2" fontId="3" fillId="0" borderId="31" xfId="0" applyNumberFormat="1" applyFont="1" applyFill="1" applyBorder="1" applyAlignment="1">
      <alignment horizontal="center" vertical="center" wrapText="1"/>
    </xf>
    <xf numFmtId="1" fontId="3" fillId="0" borderId="31" xfId="0" applyNumberFormat="1" applyFont="1" applyFill="1" applyBorder="1" applyAlignment="1">
      <alignment horizontal="center" vertical="center" wrapText="1"/>
    </xf>
    <xf numFmtId="172" fontId="3" fillId="0" borderId="4" xfId="0" applyNumberFormat="1" applyFont="1" applyFill="1" applyBorder="1" applyAlignment="1">
      <alignment horizontal="center" vertical="center" wrapText="1"/>
    </xf>
    <xf numFmtId="167" fontId="3" fillId="3" borderId="19" xfId="0" applyNumberFormat="1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169" fontId="3" fillId="3" borderId="35" xfId="0" applyNumberFormat="1" applyFont="1" applyFill="1" applyBorder="1" applyAlignment="1">
      <alignment horizontal="center" vertical="center" wrapText="1"/>
    </xf>
    <xf numFmtId="9" fontId="3" fillId="0" borderId="35" xfId="0" applyNumberFormat="1" applyFont="1" applyFill="1" applyBorder="1" applyAlignment="1">
      <alignment horizontal="center" vertical="center" wrapText="1"/>
    </xf>
    <xf numFmtId="3" fontId="3" fillId="3" borderId="35" xfId="0" applyNumberFormat="1" applyFont="1" applyFill="1" applyBorder="1" applyAlignment="1">
      <alignment horizontal="center" vertical="center"/>
    </xf>
    <xf numFmtId="3" fontId="3" fillId="3" borderId="35" xfId="0" applyNumberFormat="1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wrapText="1"/>
    </xf>
    <xf numFmtId="0" fontId="16" fillId="4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Border="1"/>
    <xf numFmtId="0" fontId="3" fillId="0" borderId="31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0" applyFont="1"/>
    <xf numFmtId="0" fontId="3" fillId="0" borderId="0" xfId="0" applyFont="1"/>
    <xf numFmtId="0" fontId="3" fillId="3" borderId="31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wrapText="1"/>
    </xf>
    <xf numFmtId="167" fontId="4" fillId="3" borderId="31" xfId="0" applyNumberFormat="1" applyFont="1" applyFill="1" applyBorder="1" applyAlignment="1">
      <alignment horizontal="center"/>
    </xf>
    <xf numFmtId="168" fontId="3" fillId="0" borderId="27" xfId="0" applyNumberFormat="1" applyFont="1" applyFill="1" applyBorder="1" applyAlignment="1">
      <alignment horizontal="center" wrapText="1"/>
    </xf>
    <xf numFmtId="0" fontId="3" fillId="0" borderId="31" xfId="0" applyFont="1" applyFill="1" applyBorder="1"/>
    <xf numFmtId="0" fontId="3" fillId="0" borderId="32" xfId="0" applyFont="1" applyFill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31" xfId="0" applyFont="1" applyFill="1" applyBorder="1" applyAlignment="1">
      <alignment horizontal="center"/>
    </xf>
    <xf numFmtId="0" fontId="3" fillId="0" borderId="32" xfId="0" applyFont="1" applyBorder="1"/>
    <xf numFmtId="0" fontId="3" fillId="0" borderId="31" xfId="0" applyNumberFormat="1" applyFont="1" applyFill="1" applyBorder="1" applyAlignment="1">
      <alignment wrapText="1"/>
    </xf>
    <xf numFmtId="0" fontId="3" fillId="0" borderId="31" xfId="0" applyNumberFormat="1" applyFont="1" applyFill="1" applyBorder="1" applyAlignment="1">
      <alignment horizontal="center" wrapText="1"/>
    </xf>
    <xf numFmtId="0" fontId="3" fillId="0" borderId="31" xfId="0" applyFont="1" applyBorder="1" applyAlignment="1">
      <alignment vertical="center"/>
    </xf>
    <xf numFmtId="0" fontId="29" fillId="3" borderId="31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29" fillId="3" borderId="31" xfId="0" applyFont="1" applyFill="1" applyBorder="1" applyAlignment="1">
      <alignment horizontal="center" vertical="center" wrapText="1"/>
    </xf>
    <xf numFmtId="168" fontId="3" fillId="0" borderId="31" xfId="0" applyNumberFormat="1" applyFont="1" applyFill="1" applyBorder="1" applyAlignment="1">
      <alignment wrapText="1"/>
    </xf>
    <xf numFmtId="168" fontId="3" fillId="0" borderId="33" xfId="0" applyNumberFormat="1" applyFont="1" applyFill="1" applyBorder="1" applyAlignment="1">
      <alignment wrapText="1"/>
    </xf>
    <xf numFmtId="0" fontId="4" fillId="3" borderId="31" xfId="0" applyFont="1" applyFill="1" applyBorder="1" applyAlignment="1">
      <alignment horizontal="center" vertical="center"/>
    </xf>
    <xf numFmtId="0" fontId="3" fillId="0" borderId="34" xfId="0" applyNumberFormat="1" applyFont="1" applyBorder="1" applyAlignment="1">
      <alignment wrapText="1"/>
    </xf>
    <xf numFmtId="0" fontId="30" fillId="3" borderId="31" xfId="0" applyFont="1" applyFill="1" applyBorder="1" applyAlignment="1">
      <alignment horizontal="center" vertical="center"/>
    </xf>
    <xf numFmtId="0" fontId="30" fillId="0" borderId="31" xfId="0" applyNumberFormat="1" applyFont="1" applyFill="1" applyBorder="1" applyAlignment="1">
      <alignment wrapText="1"/>
    </xf>
    <xf numFmtId="0" fontId="30" fillId="0" borderId="31" xfId="0" applyNumberFormat="1" applyFont="1" applyFill="1" applyBorder="1" applyAlignment="1">
      <alignment horizontal="center" wrapText="1"/>
    </xf>
    <xf numFmtId="0" fontId="31" fillId="0" borderId="31" xfId="0" applyFont="1" applyFill="1" applyBorder="1" applyAlignment="1">
      <alignment horizontal="center"/>
    </xf>
    <xf numFmtId="173" fontId="3" fillId="0" borderId="3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 wrapText="1"/>
    </xf>
    <xf numFmtId="168" fontId="3" fillId="3" borderId="31" xfId="0" applyNumberFormat="1" applyFont="1" applyFill="1" applyBorder="1" applyAlignment="1">
      <alignment horizontal="center" wrapText="1"/>
    </xf>
    <xf numFmtId="169" fontId="4" fillId="3" borderId="22" xfId="0" applyNumberFormat="1" applyFont="1" applyFill="1" applyBorder="1" applyAlignment="1">
      <alignment horizontal="center" vertical="center"/>
    </xf>
    <xf numFmtId="0" fontId="32" fillId="3" borderId="31" xfId="0" applyFont="1" applyFill="1" applyBorder="1" applyAlignment="1">
      <alignment horizontal="center" vertical="center"/>
    </xf>
    <xf numFmtId="165" fontId="3" fillId="3" borderId="31" xfId="0" applyNumberFormat="1" applyFont="1" applyFill="1" applyBorder="1" applyAlignment="1">
      <alignment horizontal="center" vertical="center"/>
    </xf>
    <xf numFmtId="168" fontId="3" fillId="0" borderId="22" xfId="0" applyNumberFormat="1" applyFont="1" applyFill="1" applyBorder="1" applyAlignment="1">
      <alignment horizontal="center"/>
    </xf>
    <xf numFmtId="0" fontId="3" fillId="0" borderId="31" xfId="0" applyFont="1" applyFill="1" applyBorder="1" applyAlignment="1">
      <alignment vertical="top"/>
    </xf>
    <xf numFmtId="168" fontId="3" fillId="3" borderId="31" xfId="0" applyNumberFormat="1" applyFont="1" applyFill="1" applyBorder="1" applyAlignment="1">
      <alignment horizontal="center" vertical="center" wrapText="1"/>
    </xf>
    <xf numFmtId="167" fontId="4" fillId="3" borderId="31" xfId="0" applyNumberFormat="1" applyFont="1" applyFill="1" applyBorder="1" applyAlignment="1">
      <alignment horizontal="center" vertical="center"/>
    </xf>
    <xf numFmtId="168" fontId="3" fillId="0" borderId="27" xfId="0" applyNumberFormat="1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4" applyFill="1" applyBorder="1" applyAlignment="1" applyProtection="1">
      <alignment horizontal="center"/>
    </xf>
    <xf numFmtId="0" fontId="15" fillId="0" borderId="0" xfId="4" applyFont="1" applyFill="1" applyBorder="1" applyAlignment="1" applyProtection="1">
      <alignment horizontal="center"/>
    </xf>
    <xf numFmtId="167" fontId="3" fillId="3" borderId="23" xfId="0" applyNumberFormat="1" applyFont="1" applyFill="1" applyBorder="1" applyAlignment="1">
      <alignment horizontal="center" vertical="center" wrapText="1"/>
    </xf>
    <xf numFmtId="167" fontId="3" fillId="3" borderId="19" xfId="0" applyNumberFormat="1" applyFont="1" applyFill="1" applyBorder="1" applyAlignment="1">
      <alignment horizontal="center" vertical="center" wrapText="1"/>
    </xf>
    <xf numFmtId="169" fontId="3" fillId="3" borderId="30" xfId="0" applyNumberFormat="1" applyFont="1" applyFill="1" applyBorder="1" applyAlignment="1">
      <alignment horizontal="center" vertical="center" wrapText="1"/>
    </xf>
    <xf numFmtId="169" fontId="3" fillId="3" borderId="35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172" fontId="3" fillId="0" borderId="30" xfId="0" applyNumberFormat="1" applyFont="1" applyFill="1" applyBorder="1" applyAlignment="1">
      <alignment horizontal="center" vertical="center" wrapText="1"/>
    </xf>
    <xf numFmtId="172" fontId="3" fillId="0" borderId="35" xfId="0" applyNumberFormat="1" applyFont="1" applyFill="1" applyBorder="1" applyAlignment="1">
      <alignment horizontal="center" vertical="center" wrapText="1"/>
    </xf>
    <xf numFmtId="170" fontId="3" fillId="0" borderId="30" xfId="0" applyNumberFormat="1" applyFont="1" applyFill="1" applyBorder="1" applyAlignment="1">
      <alignment horizontal="center" vertical="center" wrapText="1"/>
    </xf>
    <xf numFmtId="170" fontId="3" fillId="0" borderId="35" xfId="0" applyNumberFormat="1" applyFont="1" applyFill="1" applyBorder="1" applyAlignment="1">
      <alignment horizontal="center" vertical="center" wrapText="1"/>
    </xf>
    <xf numFmtId="9" fontId="3" fillId="0" borderId="30" xfId="0" applyNumberFormat="1" applyFont="1" applyFill="1" applyBorder="1" applyAlignment="1">
      <alignment horizontal="center" vertical="center" wrapText="1"/>
    </xf>
    <xf numFmtId="9" fontId="3" fillId="0" borderId="35" xfId="0" applyNumberFormat="1" applyFont="1" applyFill="1" applyBorder="1" applyAlignment="1">
      <alignment horizontal="center" vertical="center" wrapText="1"/>
    </xf>
    <xf numFmtId="168" fontId="4" fillId="0" borderId="30" xfId="1" applyNumberFormat="1" applyFont="1" applyFill="1" applyBorder="1" applyAlignment="1">
      <alignment horizontal="center" vertical="center" wrapText="1"/>
    </xf>
    <xf numFmtId="168" fontId="4" fillId="0" borderId="35" xfId="1" applyNumberFormat="1" applyFont="1" applyFill="1" applyBorder="1" applyAlignment="1">
      <alignment horizontal="center" vertical="center" wrapText="1"/>
    </xf>
    <xf numFmtId="3" fontId="3" fillId="3" borderId="30" xfId="0" applyNumberFormat="1" applyFont="1" applyFill="1" applyBorder="1" applyAlignment="1">
      <alignment horizontal="center" vertical="center"/>
    </xf>
    <xf numFmtId="3" fontId="3" fillId="3" borderId="35" xfId="0" applyNumberFormat="1" applyFont="1" applyFill="1" applyBorder="1" applyAlignment="1">
      <alignment horizontal="center" vertical="center"/>
    </xf>
    <xf numFmtId="3" fontId="3" fillId="3" borderId="30" xfId="0" applyNumberFormat="1" applyFont="1" applyFill="1" applyBorder="1" applyAlignment="1">
      <alignment horizontal="center" vertical="center" wrapText="1"/>
    </xf>
    <xf numFmtId="3" fontId="3" fillId="3" borderId="35" xfId="0" applyNumberFormat="1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64" fontId="3" fillId="0" borderId="30" xfId="1" applyNumberFormat="1" applyFont="1" applyFill="1" applyBorder="1" applyAlignment="1">
      <alignment horizontal="center" vertical="center" wrapText="1"/>
    </xf>
    <xf numFmtId="164" fontId="3" fillId="0" borderId="35" xfId="1" applyNumberFormat="1" applyFont="1" applyFill="1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</cellXfs>
  <cellStyles count="101">
    <cellStyle name="Currency [0]" xfId="1" builtinId="7"/>
    <cellStyle name="Currency 2" xfId="2"/>
    <cellStyle name="Currency 2 2" xfId="30"/>
    <cellStyle name="Currency 3" xfId="3"/>
    <cellStyle name="Currency 3 2" xfId="31"/>
    <cellStyle name="Currency 4" xfId="36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4" builtinId="8"/>
    <cellStyle name="Hyperlink 2" xfId="5"/>
    <cellStyle name="Hyperlink 2 2" xfId="33"/>
    <cellStyle name="Hyperlink 3" xfId="57"/>
    <cellStyle name="Normal" xfId="0" builtinId="0"/>
    <cellStyle name="Normal 2" xfId="6"/>
    <cellStyle name="Normal 2 2" xfId="34"/>
    <cellStyle name="Normal 3" xfId="7"/>
    <cellStyle name="Normal 3 2" xfId="35"/>
    <cellStyle name="Normal 4" xfId="32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126</xdr:row>
      <xdr:rowOff>0</xdr:rowOff>
    </xdr:from>
    <xdr:to>
      <xdr:col>3</xdr:col>
      <xdr:colOff>857250</xdr:colOff>
      <xdr:row>127</xdr:row>
      <xdr:rowOff>162306</xdr:rowOff>
    </xdr:to>
    <xdr:pic>
      <xdr:nvPicPr>
        <xdr:cNvPr id="50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4527550" y="20193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1104900</xdr:colOff>
      <xdr:row>143</xdr:row>
      <xdr:rowOff>0</xdr:rowOff>
    </xdr:from>
    <xdr:to>
      <xdr:col>3</xdr:col>
      <xdr:colOff>1104900</xdr:colOff>
      <xdr:row>144</xdr:row>
      <xdr:rowOff>128634</xdr:rowOff>
    </xdr:to>
    <xdr:pic>
      <xdr:nvPicPr>
        <xdr:cNvPr id="51" name="Picture 15" descr="pre-production images 016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4" t="26935" r="15012" b="26636"/>
        <a:stretch>
          <a:fillRect/>
        </a:stretch>
      </xdr:blipFill>
      <xdr:spPr bwMode="auto">
        <a:xfrm>
          <a:off x="6718300" y="149733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143</xdr:row>
      <xdr:rowOff>0</xdr:rowOff>
    </xdr:from>
    <xdr:to>
      <xdr:col>3</xdr:col>
      <xdr:colOff>800100</xdr:colOff>
      <xdr:row>143</xdr:row>
      <xdr:rowOff>66675</xdr:rowOff>
    </xdr:to>
    <xdr:pic>
      <xdr:nvPicPr>
        <xdr:cNvPr id="52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1" t="11252" r="15891" b="7498"/>
        <a:stretch>
          <a:fillRect/>
        </a:stretch>
      </xdr:blipFill>
      <xdr:spPr bwMode="auto">
        <a:xfrm>
          <a:off x="6413500" y="14973300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733425</xdr:colOff>
      <xdr:row>143</xdr:row>
      <xdr:rowOff>0</xdr:rowOff>
    </xdr:from>
    <xdr:to>
      <xdr:col>3</xdr:col>
      <xdr:colOff>733425</xdr:colOff>
      <xdr:row>143</xdr:row>
      <xdr:rowOff>104775</xdr:rowOff>
    </xdr:to>
    <xdr:pic>
      <xdr:nvPicPr>
        <xdr:cNvPr id="53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44" t="15685" r="28973" b="31413"/>
        <a:stretch>
          <a:fillRect/>
        </a:stretch>
      </xdr:blipFill>
      <xdr:spPr bwMode="auto">
        <a:xfrm>
          <a:off x="6346825" y="1497330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647700</xdr:colOff>
      <xdr:row>143</xdr:row>
      <xdr:rowOff>0</xdr:rowOff>
    </xdr:from>
    <xdr:to>
      <xdr:col>3</xdr:col>
      <xdr:colOff>647700</xdr:colOff>
      <xdr:row>143</xdr:row>
      <xdr:rowOff>133350</xdr:rowOff>
    </xdr:to>
    <xdr:pic>
      <xdr:nvPicPr>
        <xdr:cNvPr id="54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55" t="24683" r="12515" b="29782"/>
        <a:stretch>
          <a:fillRect/>
        </a:stretch>
      </xdr:blipFill>
      <xdr:spPr bwMode="auto">
        <a:xfrm>
          <a:off x="6261100" y="14973300"/>
          <a:ext cx="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838200</xdr:colOff>
      <xdr:row>143</xdr:row>
      <xdr:rowOff>0</xdr:rowOff>
    </xdr:from>
    <xdr:to>
      <xdr:col>3</xdr:col>
      <xdr:colOff>838200</xdr:colOff>
      <xdr:row>144</xdr:row>
      <xdr:rowOff>128634</xdr:rowOff>
    </xdr:to>
    <xdr:pic>
      <xdr:nvPicPr>
        <xdr:cNvPr id="55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6451600" y="149733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1133475</xdr:colOff>
      <xdr:row>143</xdr:row>
      <xdr:rowOff>0</xdr:rowOff>
    </xdr:from>
    <xdr:to>
      <xdr:col>3</xdr:col>
      <xdr:colOff>1133475</xdr:colOff>
      <xdr:row>144</xdr:row>
      <xdr:rowOff>128634</xdr:rowOff>
    </xdr:to>
    <xdr:pic>
      <xdr:nvPicPr>
        <xdr:cNvPr id="56" name="Picture 15" descr="pre-production images 016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4" t="26935" r="15012" b="26636"/>
        <a:stretch>
          <a:fillRect/>
        </a:stretch>
      </xdr:blipFill>
      <xdr:spPr bwMode="auto">
        <a:xfrm>
          <a:off x="6746875" y="149733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828675</xdr:colOff>
      <xdr:row>143</xdr:row>
      <xdr:rowOff>0</xdr:rowOff>
    </xdr:from>
    <xdr:to>
      <xdr:col>3</xdr:col>
      <xdr:colOff>828675</xdr:colOff>
      <xdr:row>143</xdr:row>
      <xdr:rowOff>85725</xdr:rowOff>
    </xdr:to>
    <xdr:pic>
      <xdr:nvPicPr>
        <xdr:cNvPr id="57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1" t="11252" r="15891" b="7498"/>
        <a:stretch>
          <a:fillRect/>
        </a:stretch>
      </xdr:blipFill>
      <xdr:spPr bwMode="auto">
        <a:xfrm>
          <a:off x="6442075" y="14973300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752475</xdr:colOff>
      <xdr:row>143</xdr:row>
      <xdr:rowOff>0</xdr:rowOff>
    </xdr:from>
    <xdr:to>
      <xdr:col>3</xdr:col>
      <xdr:colOff>752475</xdr:colOff>
      <xdr:row>143</xdr:row>
      <xdr:rowOff>95250</xdr:rowOff>
    </xdr:to>
    <xdr:pic>
      <xdr:nvPicPr>
        <xdr:cNvPr id="58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44" t="15685" r="28973" b="31413"/>
        <a:stretch>
          <a:fillRect/>
        </a:stretch>
      </xdr:blipFill>
      <xdr:spPr bwMode="auto">
        <a:xfrm>
          <a:off x="6365875" y="14973300"/>
          <a:ext cx="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657225</xdr:colOff>
      <xdr:row>143</xdr:row>
      <xdr:rowOff>0</xdr:rowOff>
    </xdr:from>
    <xdr:to>
      <xdr:col>3</xdr:col>
      <xdr:colOff>657225</xdr:colOff>
      <xdr:row>143</xdr:row>
      <xdr:rowOff>133350</xdr:rowOff>
    </xdr:to>
    <xdr:pic>
      <xdr:nvPicPr>
        <xdr:cNvPr id="59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55" t="24683" r="12515" b="29782"/>
        <a:stretch>
          <a:fillRect/>
        </a:stretch>
      </xdr:blipFill>
      <xdr:spPr bwMode="auto">
        <a:xfrm>
          <a:off x="6270625" y="14973300"/>
          <a:ext cx="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0</xdr:colOff>
      <xdr:row>145</xdr:row>
      <xdr:rowOff>44905</xdr:rowOff>
    </xdr:to>
    <xdr:pic>
      <xdr:nvPicPr>
        <xdr:cNvPr id="60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11988800" y="155956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143</xdr:row>
      <xdr:rowOff>0</xdr:rowOff>
    </xdr:from>
    <xdr:to>
      <xdr:col>3</xdr:col>
      <xdr:colOff>857250</xdr:colOff>
      <xdr:row>145</xdr:row>
      <xdr:rowOff>44904</xdr:rowOff>
    </xdr:to>
    <xdr:pic>
      <xdr:nvPicPr>
        <xdr:cNvPr id="62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6470650" y="160782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143</xdr:row>
      <xdr:rowOff>0</xdr:rowOff>
    </xdr:from>
    <xdr:to>
      <xdr:col>3</xdr:col>
      <xdr:colOff>857250</xdr:colOff>
      <xdr:row>145</xdr:row>
      <xdr:rowOff>44906</xdr:rowOff>
    </xdr:to>
    <xdr:pic>
      <xdr:nvPicPr>
        <xdr:cNvPr id="63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6470650" y="17018000"/>
          <a:ext cx="0" cy="32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143</xdr:row>
      <xdr:rowOff>0</xdr:rowOff>
    </xdr:from>
    <xdr:to>
      <xdr:col>3</xdr:col>
      <xdr:colOff>857250</xdr:colOff>
      <xdr:row>145</xdr:row>
      <xdr:rowOff>44904</xdr:rowOff>
    </xdr:to>
    <xdr:pic>
      <xdr:nvPicPr>
        <xdr:cNvPr id="64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0" t="23109" r="5994" b="22427"/>
        <a:stretch>
          <a:fillRect/>
        </a:stretch>
      </xdr:blipFill>
      <xdr:spPr bwMode="auto">
        <a:xfrm>
          <a:off x="7440930" y="34056320"/>
          <a:ext cx="0" cy="40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150</xdr:row>
      <xdr:rowOff>0</xdr:rowOff>
    </xdr:from>
    <xdr:to>
      <xdr:col>3</xdr:col>
      <xdr:colOff>800100</xdr:colOff>
      <xdr:row>150</xdr:row>
      <xdr:rowOff>66675</xdr:rowOff>
    </xdr:to>
    <xdr:pic>
      <xdr:nvPicPr>
        <xdr:cNvPr id="42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/>
        <a:srcRect l="12791" t="11252" r="15891" b="7498"/>
        <a:stretch>
          <a:fillRect/>
        </a:stretch>
      </xdr:blipFill>
      <xdr:spPr bwMode="auto">
        <a:xfrm>
          <a:off x="5715000" y="152019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150</xdr:row>
      <xdr:rowOff>0</xdr:rowOff>
    </xdr:from>
    <xdr:to>
      <xdr:col>3</xdr:col>
      <xdr:colOff>733425</xdr:colOff>
      <xdr:row>150</xdr:row>
      <xdr:rowOff>104775</xdr:rowOff>
    </xdr:to>
    <xdr:pic>
      <xdr:nvPicPr>
        <xdr:cNvPr id="43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/>
        <a:srcRect l="37044" t="15685" r="28973" b="31413"/>
        <a:stretch>
          <a:fillRect/>
        </a:stretch>
      </xdr:blipFill>
      <xdr:spPr bwMode="auto">
        <a:xfrm>
          <a:off x="5648325" y="1520190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647700</xdr:colOff>
      <xdr:row>150</xdr:row>
      <xdr:rowOff>0</xdr:rowOff>
    </xdr:from>
    <xdr:to>
      <xdr:col>3</xdr:col>
      <xdr:colOff>647700</xdr:colOff>
      <xdr:row>150</xdr:row>
      <xdr:rowOff>133350</xdr:rowOff>
    </xdr:to>
    <xdr:pic>
      <xdr:nvPicPr>
        <xdr:cNvPr id="44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/>
        <a:srcRect l="13155" t="24683" r="12515" b="29782"/>
        <a:stretch>
          <a:fillRect/>
        </a:stretch>
      </xdr:blipFill>
      <xdr:spPr bwMode="auto">
        <a:xfrm>
          <a:off x="5562600" y="1520190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838200</xdr:colOff>
      <xdr:row>150</xdr:row>
      <xdr:rowOff>0</xdr:rowOff>
    </xdr:from>
    <xdr:to>
      <xdr:col>3</xdr:col>
      <xdr:colOff>838200</xdr:colOff>
      <xdr:row>150</xdr:row>
      <xdr:rowOff>152400</xdr:rowOff>
    </xdr:to>
    <xdr:pic>
      <xdr:nvPicPr>
        <xdr:cNvPr id="45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53100" y="152019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1133475</xdr:colOff>
      <xdr:row>150</xdr:row>
      <xdr:rowOff>0</xdr:rowOff>
    </xdr:from>
    <xdr:to>
      <xdr:col>3</xdr:col>
      <xdr:colOff>1133475</xdr:colOff>
      <xdr:row>150</xdr:row>
      <xdr:rowOff>152400</xdr:rowOff>
    </xdr:to>
    <xdr:pic>
      <xdr:nvPicPr>
        <xdr:cNvPr id="46" name="Picture 15" descr="pre-production images 016.JPG"/>
        <xdr:cNvPicPr>
          <a:picLocks noChangeAspect="1"/>
        </xdr:cNvPicPr>
      </xdr:nvPicPr>
      <xdr:blipFill>
        <a:blip xmlns:r="http://schemas.openxmlformats.org/officeDocument/2006/relationships" r:embed="rId2"/>
        <a:srcRect l="15514" t="26935" r="15012" b="26636"/>
        <a:stretch>
          <a:fillRect/>
        </a:stretch>
      </xdr:blipFill>
      <xdr:spPr bwMode="auto">
        <a:xfrm>
          <a:off x="6048375" y="152019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828675</xdr:colOff>
      <xdr:row>150</xdr:row>
      <xdr:rowOff>0</xdr:rowOff>
    </xdr:from>
    <xdr:to>
      <xdr:col>3</xdr:col>
      <xdr:colOff>828675</xdr:colOff>
      <xdr:row>150</xdr:row>
      <xdr:rowOff>85725</xdr:rowOff>
    </xdr:to>
    <xdr:pic>
      <xdr:nvPicPr>
        <xdr:cNvPr id="47" name="Picture 22" descr="pre-production images 027.JPG"/>
        <xdr:cNvPicPr>
          <a:picLocks noChangeAspect="1"/>
        </xdr:cNvPicPr>
      </xdr:nvPicPr>
      <xdr:blipFill>
        <a:blip xmlns:r="http://schemas.openxmlformats.org/officeDocument/2006/relationships" r:embed="rId3"/>
        <a:srcRect l="12791" t="11252" r="15891" b="7498"/>
        <a:stretch>
          <a:fillRect/>
        </a:stretch>
      </xdr:blipFill>
      <xdr:spPr bwMode="auto">
        <a:xfrm>
          <a:off x="5743575" y="1520190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762000</xdr:colOff>
      <xdr:row>150</xdr:row>
      <xdr:rowOff>0</xdr:rowOff>
    </xdr:from>
    <xdr:to>
      <xdr:col>3</xdr:col>
      <xdr:colOff>762000</xdr:colOff>
      <xdr:row>150</xdr:row>
      <xdr:rowOff>95250</xdr:rowOff>
    </xdr:to>
    <xdr:pic>
      <xdr:nvPicPr>
        <xdr:cNvPr id="48" name="Picture 25" descr="pre-production images 033.JPG"/>
        <xdr:cNvPicPr>
          <a:picLocks noChangeAspect="1"/>
        </xdr:cNvPicPr>
      </xdr:nvPicPr>
      <xdr:blipFill>
        <a:blip xmlns:r="http://schemas.openxmlformats.org/officeDocument/2006/relationships" r:embed="rId4"/>
        <a:srcRect l="37044" t="15685" r="28973" b="31413"/>
        <a:stretch>
          <a:fillRect/>
        </a:stretch>
      </xdr:blipFill>
      <xdr:spPr bwMode="auto">
        <a:xfrm>
          <a:off x="5676900" y="15201900"/>
          <a:ext cx="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657225</xdr:colOff>
      <xdr:row>150</xdr:row>
      <xdr:rowOff>0</xdr:rowOff>
    </xdr:from>
    <xdr:to>
      <xdr:col>3</xdr:col>
      <xdr:colOff>657225</xdr:colOff>
      <xdr:row>150</xdr:row>
      <xdr:rowOff>133350</xdr:rowOff>
    </xdr:to>
    <xdr:pic>
      <xdr:nvPicPr>
        <xdr:cNvPr id="49" name="Picture 39" descr="pre-production images 020.JPG"/>
        <xdr:cNvPicPr>
          <a:picLocks noChangeAspect="1"/>
        </xdr:cNvPicPr>
      </xdr:nvPicPr>
      <xdr:blipFill>
        <a:blip xmlns:r="http://schemas.openxmlformats.org/officeDocument/2006/relationships" r:embed="rId5"/>
        <a:srcRect l="13155" t="24683" r="12515" b="29782"/>
        <a:stretch>
          <a:fillRect/>
        </a:stretch>
      </xdr:blipFill>
      <xdr:spPr bwMode="auto">
        <a:xfrm>
          <a:off x="5572125" y="1520190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142</xdr:row>
      <xdr:rowOff>0</xdr:rowOff>
    </xdr:from>
    <xdr:to>
      <xdr:col>3</xdr:col>
      <xdr:colOff>857250</xdr:colOff>
      <xdr:row>144</xdr:row>
      <xdr:rowOff>566</xdr:rowOff>
    </xdr:to>
    <xdr:pic>
      <xdr:nvPicPr>
        <xdr:cNvPr id="65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72150" y="138874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157</xdr:row>
      <xdr:rowOff>0</xdr:rowOff>
    </xdr:from>
    <xdr:to>
      <xdr:col>3</xdr:col>
      <xdr:colOff>857250</xdr:colOff>
      <xdr:row>158</xdr:row>
      <xdr:rowOff>91169</xdr:rowOff>
    </xdr:to>
    <xdr:pic>
      <xdr:nvPicPr>
        <xdr:cNvPr id="66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72150" y="163639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857250</xdr:colOff>
      <xdr:row>163</xdr:row>
      <xdr:rowOff>0</xdr:rowOff>
    </xdr:from>
    <xdr:to>
      <xdr:col>3</xdr:col>
      <xdr:colOff>857250</xdr:colOff>
      <xdr:row>165</xdr:row>
      <xdr:rowOff>562</xdr:rowOff>
    </xdr:to>
    <xdr:pic>
      <xdr:nvPicPr>
        <xdr:cNvPr id="67" name="Picture 40" descr="pre-production images 022.JPG"/>
        <xdr:cNvPicPr>
          <a:picLocks noChangeAspect="1"/>
        </xdr:cNvPicPr>
      </xdr:nvPicPr>
      <xdr:blipFill>
        <a:blip xmlns:r="http://schemas.openxmlformats.org/officeDocument/2006/relationships" r:embed="rId1"/>
        <a:srcRect l="4440" t="23109" r="5994" b="22427"/>
        <a:stretch>
          <a:fillRect/>
        </a:stretch>
      </xdr:blipFill>
      <xdr:spPr bwMode="auto">
        <a:xfrm>
          <a:off x="5772150" y="17354550"/>
          <a:ext cx="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334213</xdr:colOff>
      <xdr:row>21</xdr:row>
      <xdr:rowOff>66843</xdr:rowOff>
    </xdr:from>
    <xdr:to>
      <xdr:col>4</xdr:col>
      <xdr:colOff>2740529</xdr:colOff>
      <xdr:row>21</xdr:row>
      <xdr:rowOff>3139137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53160" y="8539080"/>
          <a:ext cx="2406316" cy="3072294"/>
        </a:xfrm>
        <a:prstGeom prst="rect">
          <a:avLst/>
        </a:prstGeom>
      </xdr:spPr>
    </xdr:pic>
    <xdr:clientData/>
  </xdr:twoCellAnchor>
  <xdr:twoCellAnchor editAs="oneCell">
    <xdr:from>
      <xdr:col>4</xdr:col>
      <xdr:colOff>233948</xdr:colOff>
      <xdr:row>18</xdr:row>
      <xdr:rowOff>300790</xdr:rowOff>
    </xdr:from>
    <xdr:to>
      <xdr:col>4</xdr:col>
      <xdr:colOff>3728624</xdr:colOff>
      <xdr:row>18</xdr:row>
      <xdr:rowOff>4160922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52895" y="4227764"/>
          <a:ext cx="3494676" cy="3860132"/>
        </a:xfrm>
        <a:prstGeom prst="rect">
          <a:avLst/>
        </a:prstGeom>
      </xdr:spPr>
    </xdr:pic>
    <xdr:clientData/>
  </xdr:twoCellAnchor>
  <xdr:twoCellAnchor editAs="oneCell">
    <xdr:from>
      <xdr:col>4</xdr:col>
      <xdr:colOff>685132</xdr:colOff>
      <xdr:row>29</xdr:row>
      <xdr:rowOff>100263</xdr:rowOff>
    </xdr:from>
    <xdr:to>
      <xdr:col>4</xdr:col>
      <xdr:colOff>2913704</xdr:colOff>
      <xdr:row>29</xdr:row>
      <xdr:rowOff>1547882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4079" y="20370131"/>
          <a:ext cx="2228572" cy="1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568159</xdr:colOff>
      <xdr:row>30</xdr:row>
      <xdr:rowOff>83552</xdr:rowOff>
    </xdr:from>
    <xdr:to>
      <xdr:col>4</xdr:col>
      <xdr:colOff>2796731</xdr:colOff>
      <xdr:row>30</xdr:row>
      <xdr:rowOff>1597838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87106" y="22007763"/>
          <a:ext cx="2228572" cy="1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137695</xdr:rowOff>
    </xdr:to>
    <xdr:sp macro="" textlink="">
      <xdr:nvSpPr>
        <xdr:cNvPr id="93625" name="AutoShape 1465" descr="EVA foam.JPG"/>
        <xdr:cNvSpPr>
          <a:spLocks noChangeAspect="1" noChangeArrowheads="1"/>
        </xdr:cNvSpPr>
      </xdr:nvSpPr>
      <xdr:spPr bwMode="auto">
        <a:xfrm>
          <a:off x="7200900" y="1646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27</xdr:row>
      <xdr:rowOff>304800</xdr:rowOff>
    </xdr:to>
    <xdr:sp macro="" textlink="">
      <xdr:nvSpPr>
        <xdr:cNvPr id="93627" name="AutoShape 1467" descr="https://mail-attachment.googleusercontent.com/attachment/u/1/?ui=2&amp;ik=3ebe8cc0da&amp;view=att&amp;th=13a6c6db22e4e657&amp;attid=0.1&amp;disp=inline&amp;realattid=f_h8drt8by0&amp;safe=1&amp;zw&amp;saduie=AG9B_P_Nyk6w60hGIG7rph8XmLl5&amp;sadet=1350487621564&amp;sads=EuVt5TvIT6DpI3u6w5mQTm0lUbI&amp;sadssc=1"/>
        <xdr:cNvSpPr>
          <a:spLocks noChangeAspect="1" noChangeArrowheads="1"/>
        </xdr:cNvSpPr>
      </xdr:nvSpPr>
      <xdr:spPr bwMode="auto">
        <a:xfrm>
          <a:off x="7200900" y="183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1153026</xdr:colOff>
      <xdr:row>131</xdr:row>
      <xdr:rowOff>282848</xdr:rowOff>
    </xdr:from>
    <xdr:to>
      <xdr:col>2</xdr:col>
      <xdr:colOff>3325393</xdr:colOff>
      <xdr:row>131</xdr:row>
      <xdr:rowOff>1432637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8026" y="48927190"/>
          <a:ext cx="2172367" cy="1149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mailto:Bill@DragonInnovation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DF180"/>
  <sheetViews>
    <sheetView tabSelected="1" topLeftCell="A86" zoomScale="57" zoomScaleNormal="57" zoomScaleSheetLayoutView="100" zoomScalePageLayoutView="57" workbookViewId="0">
      <pane xSplit="7" topLeftCell="H1" activePane="topRight" state="frozen"/>
      <selection activeCell="A79" sqref="A79"/>
      <selection pane="topRight" activeCell="I140" sqref="I140"/>
    </sheetView>
  </sheetViews>
  <sheetFormatPr baseColWidth="10" defaultColWidth="8.83203125" defaultRowHeight="15" x14ac:dyDescent="0"/>
  <cols>
    <col min="1" max="1" width="8" style="13" customWidth="1"/>
    <col min="2" max="2" width="20.5" style="43" customWidth="1"/>
    <col min="3" max="3" width="57.83203125" style="18" customWidth="1"/>
    <col min="4" max="4" width="21.6640625" style="18" customWidth="1"/>
    <col min="5" max="5" width="62.5" style="18" customWidth="1"/>
    <col min="6" max="6" width="31.5" style="18" customWidth="1"/>
    <col min="7" max="7" width="22.5" style="13" customWidth="1"/>
    <col min="8" max="9" width="21.33203125" style="13" customWidth="1"/>
    <col min="10" max="10" width="16.83203125" style="13" customWidth="1"/>
    <col min="11" max="11" width="22.1640625" style="13" customWidth="1"/>
    <col min="12" max="12" width="22.5" style="13" customWidth="1"/>
    <col min="13" max="13" width="28.83203125" style="13" customWidth="1"/>
    <col min="14" max="14" width="24.5" style="13" customWidth="1"/>
    <col min="15" max="15" width="23.6640625" style="13" customWidth="1"/>
    <col min="16" max="16" width="26.1640625" style="13" customWidth="1"/>
    <col min="17" max="17" width="21.5" style="13" customWidth="1"/>
    <col min="18" max="18" width="21" style="13" customWidth="1"/>
    <col min="19" max="19" width="22" style="13" customWidth="1"/>
    <col min="20" max="20" width="19.5" style="13" customWidth="1"/>
    <col min="21" max="21" width="18.33203125" style="13" customWidth="1"/>
    <col min="22" max="22" width="23.6640625" style="13" customWidth="1"/>
    <col min="23" max="23" width="19.5" style="13" customWidth="1"/>
    <col min="24" max="24" width="18.6640625" style="13" customWidth="1"/>
    <col min="25" max="25" width="18.83203125" style="13" customWidth="1"/>
    <col min="26" max="26" width="16.5" style="13" customWidth="1"/>
    <col min="27" max="27" width="25" style="13" customWidth="1"/>
    <col min="28" max="28" width="26.5" style="13" customWidth="1"/>
    <col min="29" max="29" width="20.5" style="13" customWidth="1"/>
    <col min="30" max="16384" width="8.83203125" style="13"/>
  </cols>
  <sheetData>
    <row r="1" spans="1:12">
      <c r="C1" s="70"/>
    </row>
    <row r="3" spans="1:12">
      <c r="C3" s="70"/>
    </row>
    <row r="5" spans="1:12">
      <c r="A5" s="8"/>
      <c r="B5" s="9"/>
      <c r="C5" s="5" t="s">
        <v>104</v>
      </c>
      <c r="D5" s="5"/>
      <c r="E5" s="153"/>
      <c r="F5" s="11"/>
      <c r="G5" s="11"/>
      <c r="H5" s="11"/>
      <c r="I5" s="12"/>
      <c r="J5" s="9"/>
      <c r="K5" s="9"/>
    </row>
    <row r="6" spans="1:12" ht="16" thickBot="1">
      <c r="A6" s="9"/>
      <c r="B6" s="3"/>
      <c r="C6" s="222">
        <v>41190</v>
      </c>
      <c r="D6" s="222"/>
      <c r="E6" s="222"/>
      <c r="F6" s="14"/>
      <c r="G6" s="15"/>
      <c r="H6" s="9"/>
      <c r="I6" s="9"/>
      <c r="J6" s="9"/>
      <c r="K6" s="9"/>
      <c r="L6" s="16"/>
    </row>
    <row r="7" spans="1:12">
      <c r="A7" s="9"/>
      <c r="B7" s="3"/>
      <c r="C7" s="223" t="s">
        <v>3</v>
      </c>
      <c r="D7" s="223"/>
      <c r="E7" s="223"/>
      <c r="F7" s="9"/>
      <c r="G7" s="9"/>
      <c r="H7" s="57" t="s">
        <v>2</v>
      </c>
      <c r="I7" s="21" t="s">
        <v>51</v>
      </c>
      <c r="J7" s="58" t="s">
        <v>50</v>
      </c>
      <c r="K7" s="9"/>
      <c r="L7" s="16"/>
    </row>
    <row r="8" spans="1:12">
      <c r="A8" s="9"/>
      <c r="B8" s="9"/>
      <c r="C8" s="224" t="s">
        <v>103</v>
      </c>
      <c r="D8" s="225"/>
      <c r="E8" s="225"/>
      <c r="F8" s="9"/>
      <c r="G8" s="9"/>
      <c r="H8" s="55" t="s">
        <v>46</v>
      </c>
      <c r="I8" s="134">
        <v>1.04</v>
      </c>
      <c r="J8" s="131">
        <f t="shared" ref="J8:J10" si="0">I8*(0.0022)/(0.3937^3)</f>
        <v>3.7493827394514449E-2</v>
      </c>
      <c r="K8" s="9"/>
      <c r="L8" s="9"/>
    </row>
    <row r="9" spans="1:12">
      <c r="A9" s="9"/>
      <c r="B9" s="9"/>
      <c r="C9" s="16"/>
      <c r="D9" s="16"/>
      <c r="E9" s="9"/>
      <c r="F9" s="9"/>
      <c r="G9" s="9"/>
      <c r="H9" s="55" t="s">
        <v>47</v>
      </c>
      <c r="I9" s="134">
        <v>1.2</v>
      </c>
      <c r="J9" s="131">
        <f t="shared" si="0"/>
        <v>4.3262108532132054E-2</v>
      </c>
      <c r="K9" s="9"/>
      <c r="L9" s="9"/>
    </row>
    <row r="10" spans="1:12">
      <c r="A10" s="9"/>
      <c r="B10" s="5" t="s">
        <v>54</v>
      </c>
      <c r="C10" s="17" t="s">
        <v>41</v>
      </c>
      <c r="D10" s="17"/>
      <c r="E10" s="15"/>
      <c r="F10" s="12"/>
      <c r="G10" s="9"/>
      <c r="H10" s="55" t="s">
        <v>48</v>
      </c>
      <c r="I10" s="134">
        <v>1.1499999999999999</v>
      </c>
      <c r="J10" s="131">
        <f t="shared" si="0"/>
        <v>4.1459520676626553E-2</v>
      </c>
      <c r="K10" s="9"/>
      <c r="L10" s="9"/>
    </row>
    <row r="11" spans="1:12">
      <c r="A11" s="9"/>
      <c r="B11" s="9"/>
      <c r="C11" s="17" t="s">
        <v>42</v>
      </c>
      <c r="D11" s="17"/>
      <c r="E11" s="15"/>
      <c r="F11" s="12"/>
      <c r="G11" s="9"/>
      <c r="H11" s="55" t="s">
        <v>49</v>
      </c>
      <c r="I11" s="134">
        <v>0.97</v>
      </c>
      <c r="J11" s="131">
        <f t="shared" ref="J11:J16" si="1">I11*(0.0022)/(0.3937^3)</f>
        <v>3.4970204396806745E-2</v>
      </c>
      <c r="K11" s="9"/>
      <c r="L11" s="9"/>
    </row>
    <row r="12" spans="1:12">
      <c r="A12" s="9"/>
      <c r="B12" s="9"/>
      <c r="C12" s="17" t="s">
        <v>44</v>
      </c>
      <c r="D12" s="17"/>
      <c r="E12" s="15"/>
      <c r="G12" s="9"/>
      <c r="H12" s="55" t="s">
        <v>87</v>
      </c>
      <c r="I12" s="134">
        <v>1.2</v>
      </c>
      <c r="J12" s="131">
        <f t="shared" si="1"/>
        <v>4.3262108532132054E-2</v>
      </c>
      <c r="K12" s="9"/>
      <c r="L12" s="9"/>
    </row>
    <row r="13" spans="1:12">
      <c r="A13" s="9"/>
      <c r="B13" s="9"/>
      <c r="C13" s="17" t="s">
        <v>43</v>
      </c>
      <c r="D13" s="17"/>
      <c r="E13" s="15"/>
      <c r="G13" s="9"/>
      <c r="H13" s="55" t="s">
        <v>98</v>
      </c>
      <c r="I13" s="134">
        <v>0.90900000000000003</v>
      </c>
      <c r="J13" s="131">
        <f t="shared" si="1"/>
        <v>3.2771047213090036E-2</v>
      </c>
      <c r="K13" s="9"/>
      <c r="L13" s="9"/>
    </row>
    <row r="14" spans="1:12">
      <c r="A14" s="9"/>
      <c r="B14" s="19"/>
      <c r="C14" s="13"/>
      <c r="D14" s="13"/>
      <c r="E14" s="19"/>
      <c r="G14" s="16"/>
      <c r="H14" s="55" t="s">
        <v>45</v>
      </c>
      <c r="I14" s="134">
        <v>1.41</v>
      </c>
      <c r="J14" s="131">
        <f t="shared" si="1"/>
        <v>5.083297752525516E-2</v>
      </c>
      <c r="K14" s="19"/>
      <c r="L14" s="9"/>
    </row>
    <row r="15" spans="1:12">
      <c r="H15" s="55" t="s">
        <v>39</v>
      </c>
      <c r="I15" s="134">
        <v>2.7</v>
      </c>
      <c r="J15" s="131">
        <f t="shared" si="1"/>
        <v>9.7339744197297129E-2</v>
      </c>
    </row>
    <row r="16" spans="1:12" ht="16" thickBot="1">
      <c r="H16" s="56" t="s">
        <v>88</v>
      </c>
      <c r="I16" s="135">
        <v>8.0299999999999994</v>
      </c>
      <c r="J16" s="132">
        <f t="shared" si="1"/>
        <v>0.28949560959418369</v>
      </c>
    </row>
    <row r="17" spans="1:104" ht="16" thickBot="1">
      <c r="B17" s="20" t="s">
        <v>102</v>
      </c>
    </row>
    <row r="18" spans="1:104" ht="45">
      <c r="B18" s="60" t="s">
        <v>4</v>
      </c>
      <c r="C18" s="61" t="s">
        <v>5</v>
      </c>
      <c r="D18" s="61" t="s">
        <v>38</v>
      </c>
      <c r="E18" s="61" t="s">
        <v>1</v>
      </c>
      <c r="F18" s="62" t="s">
        <v>6</v>
      </c>
      <c r="G18" s="63" t="s">
        <v>7</v>
      </c>
      <c r="H18" s="63" t="s">
        <v>8</v>
      </c>
      <c r="I18" s="63" t="s">
        <v>91</v>
      </c>
      <c r="J18" s="63" t="s">
        <v>89</v>
      </c>
      <c r="K18" s="63" t="s">
        <v>90</v>
      </c>
      <c r="L18" s="63" t="s">
        <v>9</v>
      </c>
      <c r="M18" s="63" t="s">
        <v>10</v>
      </c>
      <c r="N18" s="63" t="s">
        <v>92</v>
      </c>
      <c r="O18" s="63" t="s">
        <v>93</v>
      </c>
      <c r="P18" s="63" t="s">
        <v>94</v>
      </c>
      <c r="Q18" s="63" t="s">
        <v>22</v>
      </c>
      <c r="R18" s="63" t="s">
        <v>95</v>
      </c>
      <c r="S18" s="63" t="s">
        <v>23</v>
      </c>
      <c r="T18" s="63" t="s">
        <v>24</v>
      </c>
      <c r="U18" s="63" t="s">
        <v>25</v>
      </c>
      <c r="V18" s="63" t="s">
        <v>26</v>
      </c>
      <c r="W18" s="63" t="s">
        <v>27</v>
      </c>
      <c r="X18" s="63" t="s">
        <v>28</v>
      </c>
      <c r="Y18" s="63" t="s">
        <v>29</v>
      </c>
      <c r="Z18" s="63" t="s">
        <v>30</v>
      </c>
      <c r="AA18" s="63" t="s">
        <v>31</v>
      </c>
      <c r="AB18" s="64" t="s">
        <v>96</v>
      </c>
    </row>
    <row r="19" spans="1:104" ht="357.75" customHeight="1">
      <c r="B19" s="226">
        <v>9738</v>
      </c>
      <c r="C19" s="6" t="s">
        <v>117</v>
      </c>
      <c r="D19" s="6" t="s">
        <v>126</v>
      </c>
      <c r="E19" s="126"/>
      <c r="F19" s="127" t="s">
        <v>105</v>
      </c>
      <c r="G19" s="230" t="s">
        <v>107</v>
      </c>
      <c r="H19" s="230" t="s">
        <v>108</v>
      </c>
      <c r="I19" s="228">
        <v>4</v>
      </c>
      <c r="J19" s="147">
        <v>18234.27</v>
      </c>
      <c r="K19" s="148">
        <f>+J19*(0.001)*AVERAGE($I$8:$I$9)</f>
        <v>20.422382400000004</v>
      </c>
      <c r="L19" s="128">
        <v>1</v>
      </c>
      <c r="M19" s="28">
        <v>1</v>
      </c>
      <c r="N19" s="232">
        <f>K19*L19*M19+K20*L20*M20</f>
        <v>20.576320440025903</v>
      </c>
      <c r="O19" s="234">
        <f t="shared" ref="O19" si="2">N19*0.1</f>
        <v>2.0576320440025904</v>
      </c>
      <c r="P19" s="234">
        <f t="shared" ref="P19" si="3">N19+O19</f>
        <v>22.633952484028494</v>
      </c>
      <c r="Q19" s="236">
        <v>0</v>
      </c>
      <c r="R19" s="234">
        <f t="shared" ref="R19" si="4">P19*(1-Q19)</f>
        <v>22.633952484028494</v>
      </c>
      <c r="S19" s="238">
        <f>I19*(1/1000)*R19*(1/(L19*M19))</f>
        <v>9.0535809936113973E-2</v>
      </c>
      <c r="T19" s="240"/>
      <c r="U19" s="242">
        <v>40</v>
      </c>
      <c r="V19" s="228">
        <v>8</v>
      </c>
      <c r="W19" s="244"/>
      <c r="X19" s="246">
        <f t="shared" ref="X19:X22" si="5">V19/((1/U19)*3600)</f>
        <v>8.8888888888888892E-2</v>
      </c>
      <c r="Y19" s="238">
        <f>X19*1/(L19*M19)</f>
        <v>8.8888888888888892E-2</v>
      </c>
      <c r="Z19" s="238">
        <f t="shared" ref="Z19" si="6">S19+Y19</f>
        <v>0.17942469882500287</v>
      </c>
      <c r="AA19" s="238">
        <f t="shared" ref="AA19" si="7">Z19*L19</f>
        <v>0.17942469882500287</v>
      </c>
      <c r="AB19" s="248"/>
    </row>
    <row r="20" spans="1:104" ht="144.75" customHeight="1">
      <c r="B20" s="227"/>
      <c r="C20" s="155" t="s">
        <v>109</v>
      </c>
      <c r="D20" s="6" t="s">
        <v>111</v>
      </c>
      <c r="E20" s="158" t="s">
        <v>119</v>
      </c>
      <c r="F20" s="158" t="s">
        <v>110</v>
      </c>
      <c r="G20" s="231"/>
      <c r="H20" s="231"/>
      <c r="I20" s="229"/>
      <c r="J20" s="159">
        <f>0.25*PI()*5^2*7</f>
        <v>137.44467859455347</v>
      </c>
      <c r="K20" s="148">
        <f>+J20*(0.001)*AVERAGE($I$8:$I$9)</f>
        <v>0.15393804002589992</v>
      </c>
      <c r="L20" s="161">
        <v>1</v>
      </c>
      <c r="M20" s="154">
        <v>1</v>
      </c>
      <c r="N20" s="233"/>
      <c r="O20" s="235"/>
      <c r="P20" s="235"/>
      <c r="Q20" s="237"/>
      <c r="R20" s="235"/>
      <c r="S20" s="239"/>
      <c r="T20" s="241"/>
      <c r="U20" s="243"/>
      <c r="V20" s="229"/>
      <c r="W20" s="245"/>
      <c r="X20" s="247"/>
      <c r="Y20" s="239"/>
      <c r="Z20" s="239"/>
      <c r="AA20" s="239"/>
      <c r="AB20" s="249"/>
    </row>
    <row r="21" spans="1:104" ht="123.75" customHeight="1">
      <c r="B21" s="163">
        <v>1640</v>
      </c>
      <c r="C21" s="155" t="s">
        <v>112</v>
      </c>
      <c r="D21" s="155" t="s">
        <v>128</v>
      </c>
      <c r="E21" s="158" t="s">
        <v>113</v>
      </c>
      <c r="F21" s="158" t="s">
        <v>114</v>
      </c>
      <c r="G21" s="164" t="s">
        <v>115</v>
      </c>
      <c r="H21" s="164" t="s">
        <v>116</v>
      </c>
      <c r="I21" s="165">
        <v>5</v>
      </c>
      <c r="J21" s="159">
        <f>0.25*PI()*4^2*7</f>
        <v>87.964594300514207</v>
      </c>
      <c r="K21" s="160">
        <f>+J21*(1/1000)*$I$8</f>
        <v>9.1483178072534782E-2</v>
      </c>
      <c r="L21" s="161">
        <v>1</v>
      </c>
      <c r="M21" s="154">
        <v>1</v>
      </c>
      <c r="N21" s="162">
        <f t="shared" ref="N21:N22" si="8">K21*L21*M21</f>
        <v>9.1483178072534782E-2</v>
      </c>
      <c r="O21" s="59">
        <f t="shared" ref="O21:O22" si="9">N21*0.1</f>
        <v>9.1483178072534789E-3</v>
      </c>
      <c r="P21" s="59">
        <f t="shared" ref="P21:P22" si="10">N21+O21</f>
        <v>0.10063149587978826</v>
      </c>
      <c r="Q21" s="166">
        <v>0</v>
      </c>
      <c r="R21" s="59">
        <f t="shared" ref="R21" si="11">P21*(1-Q21)</f>
        <v>0.10063149587978826</v>
      </c>
      <c r="S21" s="23">
        <f t="shared" ref="S21" si="12">I21*(1/1000)*R21*(1/(L21*M21))</f>
        <v>5.0315747939894129E-4</v>
      </c>
      <c r="T21" s="167"/>
      <c r="U21" s="168">
        <v>20</v>
      </c>
      <c r="V21" s="27">
        <v>8</v>
      </c>
      <c r="W21" s="169"/>
      <c r="X21" s="24">
        <f t="shared" si="5"/>
        <v>4.4444444444444446E-2</v>
      </c>
      <c r="Y21" s="23">
        <f>X21*1/(L21*M21)</f>
        <v>4.4444444444444446E-2</v>
      </c>
      <c r="Z21" s="23">
        <f t="shared" ref="Z21" si="13">S21+Y21</f>
        <v>4.4947601923843387E-2</v>
      </c>
      <c r="AA21" s="23">
        <f t="shared" ref="AA21" si="14">Z21*L21</f>
        <v>4.4947601923843387E-2</v>
      </c>
      <c r="AB21" s="170"/>
    </row>
    <row r="22" spans="1:104" ht="265.5" customHeight="1" thickBot="1">
      <c r="B22" s="25">
        <v>8649</v>
      </c>
      <c r="C22" s="6" t="s">
        <v>118</v>
      </c>
      <c r="D22" s="6" t="s">
        <v>127</v>
      </c>
      <c r="E22" s="6"/>
      <c r="F22" s="127" t="s">
        <v>106</v>
      </c>
      <c r="G22" s="127" t="s">
        <v>107</v>
      </c>
      <c r="H22" s="127" t="s">
        <v>108</v>
      </c>
      <c r="I22" s="27">
        <v>4</v>
      </c>
      <c r="J22" s="147">
        <v>12218.16</v>
      </c>
      <c r="K22" s="148">
        <f>+J22*(0.001)*AVERAGE($I$8:$I$9)</f>
        <v>13.6843392</v>
      </c>
      <c r="L22" s="128">
        <v>1</v>
      </c>
      <c r="M22" s="28">
        <v>1</v>
      </c>
      <c r="N22" s="162">
        <f t="shared" si="8"/>
        <v>13.6843392</v>
      </c>
      <c r="O22" s="59">
        <f t="shared" si="9"/>
        <v>1.3684339200000002</v>
      </c>
      <c r="P22" s="59">
        <f t="shared" si="10"/>
        <v>15.052773120000001</v>
      </c>
      <c r="Q22" s="133">
        <v>0</v>
      </c>
      <c r="R22" s="59">
        <f t="shared" ref="R22" si="15">P22*(1-Q22)</f>
        <v>15.052773120000001</v>
      </c>
      <c r="S22" s="23">
        <f t="shared" ref="S22" si="16">I22*(1/1000)*R22*(1/(L22*M22))</f>
        <v>6.0211092480000006E-2</v>
      </c>
      <c r="T22" s="26"/>
      <c r="U22" s="26">
        <v>40</v>
      </c>
      <c r="V22" s="27">
        <v>8</v>
      </c>
      <c r="W22" s="28"/>
      <c r="X22" s="24">
        <f t="shared" si="5"/>
        <v>8.8888888888888892E-2</v>
      </c>
      <c r="Y22" s="23">
        <f>X22*1/(L22*M22)</f>
        <v>8.8888888888888892E-2</v>
      </c>
      <c r="Z22" s="23">
        <f t="shared" ref="Z22" si="17">S22+Y22</f>
        <v>0.14909998136888891</v>
      </c>
      <c r="AA22" s="23">
        <f t="shared" ref="AA22" si="18">Z22*L22</f>
        <v>0.14909998136888891</v>
      </c>
      <c r="AB22" s="138"/>
    </row>
    <row r="23" spans="1:104" s="1" customFormat="1" ht="33" customHeight="1" thickBot="1">
      <c r="B23" s="30">
        <f>SUM(B19:B22)</f>
        <v>20027</v>
      </c>
      <c r="C23" s="69" t="s">
        <v>32</v>
      </c>
      <c r="D23" s="31"/>
      <c r="E23" s="2"/>
      <c r="F23" s="2"/>
      <c r="G23" s="2"/>
      <c r="H23" s="4"/>
      <c r="I23" s="4"/>
      <c r="J23" s="4"/>
      <c r="Z23" s="136" t="s">
        <v>40</v>
      </c>
      <c r="AA23" s="137">
        <f>SUM(AA19:AA22)</f>
        <v>0.3734722821177352</v>
      </c>
    </row>
    <row r="24" spans="1:104" ht="13.5" customHeight="1">
      <c r="B24" s="13"/>
      <c r="C24" s="13"/>
      <c r="D24" s="13"/>
      <c r="E24" s="13"/>
      <c r="F24" s="13"/>
      <c r="G24" s="4"/>
      <c r="H24" s="4"/>
      <c r="I24" s="34"/>
    </row>
    <row r="25" spans="1:104" s="181" customFormat="1" ht="13.5" customHeight="1">
      <c r="G25" s="180"/>
      <c r="H25" s="180"/>
      <c r="I25" s="182"/>
    </row>
    <row r="26" spans="1:104" ht="16" thickBot="1">
      <c r="A26" s="172"/>
      <c r="B26" s="173" t="s">
        <v>11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72"/>
      <c r="BO26" s="172"/>
      <c r="BP26" s="172"/>
      <c r="BQ26" s="172"/>
      <c r="BR26" s="172"/>
      <c r="BS26" s="172"/>
      <c r="BT26" s="172"/>
      <c r="BU26" s="172"/>
      <c r="BV26" s="172"/>
      <c r="BW26" s="172"/>
      <c r="BX26" s="172"/>
      <c r="BY26" s="172"/>
      <c r="BZ26" s="172"/>
      <c r="CA26" s="172"/>
      <c r="CB26" s="172"/>
      <c r="CC26" s="172"/>
      <c r="CD26" s="172"/>
      <c r="CE26" s="172"/>
      <c r="CF26" s="172"/>
      <c r="CG26" s="172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</row>
    <row r="27" spans="1:104">
      <c r="A27" s="171"/>
      <c r="B27" s="177" t="s">
        <v>12</v>
      </c>
      <c r="C27" s="176" t="s">
        <v>5</v>
      </c>
      <c r="D27" s="176" t="s">
        <v>38</v>
      </c>
      <c r="E27" s="176" t="s">
        <v>1</v>
      </c>
      <c r="F27" s="176" t="s">
        <v>2</v>
      </c>
      <c r="G27" s="178" t="s">
        <v>13</v>
      </c>
      <c r="H27" s="179" t="s">
        <v>17</v>
      </c>
      <c r="I27" s="174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2"/>
      <c r="V27" s="172"/>
      <c r="W27" s="172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1"/>
      <c r="BP27" s="171"/>
      <c r="BQ27" s="171"/>
      <c r="BR27" s="171"/>
      <c r="BS27" s="171"/>
      <c r="BT27" s="171"/>
      <c r="BU27" s="171"/>
      <c r="BV27" s="171"/>
      <c r="BW27" s="171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</row>
    <row r="28" spans="1:104" ht="75" customHeight="1">
      <c r="A28" s="172"/>
      <c r="B28" s="129">
        <v>1</v>
      </c>
      <c r="C28" s="6" t="s">
        <v>122</v>
      </c>
      <c r="D28" s="6" t="s">
        <v>124</v>
      </c>
      <c r="E28"/>
      <c r="F28" s="127" t="s">
        <v>134</v>
      </c>
      <c r="G28" s="22">
        <v>0.08</v>
      </c>
      <c r="H28" s="41">
        <f t="shared" ref="H28:H34" si="19">B28*G28</f>
        <v>0.08</v>
      </c>
      <c r="I28" s="175"/>
      <c r="J28" s="175"/>
      <c r="K28" s="40"/>
      <c r="L28" s="40"/>
      <c r="M28" s="40"/>
      <c r="N28" s="40"/>
      <c r="O28" s="40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</row>
    <row r="29" spans="1:104" ht="75" customHeight="1">
      <c r="A29" s="172"/>
      <c r="B29" s="129">
        <v>1</v>
      </c>
      <c r="C29" s="6" t="s">
        <v>123</v>
      </c>
      <c r="D29" s="6" t="s">
        <v>125</v>
      </c>
      <c r="E29" s="6"/>
      <c r="F29" s="127" t="s">
        <v>134</v>
      </c>
      <c r="G29" s="22">
        <v>0.08</v>
      </c>
      <c r="H29" s="41">
        <f t="shared" si="19"/>
        <v>0.08</v>
      </c>
      <c r="I29" s="175"/>
      <c r="J29" s="175"/>
      <c r="K29" s="40"/>
      <c r="L29" s="40"/>
      <c r="M29" s="40"/>
      <c r="N29" s="40"/>
      <c r="O29" s="40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72"/>
      <c r="BO29" s="172"/>
      <c r="BP29" s="172"/>
      <c r="BQ29" s="172"/>
      <c r="BR29" s="172"/>
      <c r="BS29" s="172"/>
      <c r="BT29" s="172"/>
      <c r="BU29" s="172"/>
      <c r="BV29" s="172"/>
      <c r="BW29" s="172"/>
      <c r="BX29" s="172"/>
      <c r="BY29" s="172"/>
      <c r="BZ29" s="172"/>
      <c r="CA29" s="172"/>
      <c r="CB29" s="172"/>
      <c r="CC29" s="172"/>
      <c r="CD29" s="172"/>
      <c r="CE29" s="172"/>
      <c r="CF29" s="172"/>
      <c r="CG29" s="172"/>
      <c r="CH29" s="172"/>
      <c r="CI29" s="172"/>
      <c r="CJ29" s="172"/>
      <c r="CK29" s="172"/>
      <c r="CL29" s="172"/>
      <c r="CM29" s="172"/>
      <c r="CN29" s="172"/>
      <c r="CO29" s="172"/>
      <c r="CP29" s="172"/>
      <c r="CQ29" s="172"/>
      <c r="CR29" s="172"/>
      <c r="CS29" s="172"/>
      <c r="CT29" s="172"/>
      <c r="CU29" s="172"/>
      <c r="CV29" s="172"/>
      <c r="CW29" s="172"/>
      <c r="CX29" s="172"/>
      <c r="CY29" s="172"/>
      <c r="CZ29" s="172"/>
    </row>
    <row r="30" spans="1:104" ht="130.5" customHeight="1">
      <c r="B30" s="129">
        <v>1</v>
      </c>
      <c r="C30" s="127" t="s">
        <v>132</v>
      </c>
      <c r="D30" s="6" t="s">
        <v>129</v>
      </c>
      <c r="E30" s="126"/>
      <c r="F30" s="127" t="s">
        <v>131</v>
      </c>
      <c r="G30" s="22">
        <v>0.08</v>
      </c>
      <c r="H30" s="41">
        <f t="shared" si="19"/>
        <v>0.08</v>
      </c>
      <c r="I30" s="39"/>
      <c r="J30" s="39"/>
      <c r="K30" s="40"/>
      <c r="L30" s="40"/>
      <c r="M30" s="40"/>
      <c r="N30" s="40"/>
      <c r="O30" s="40"/>
    </row>
    <row r="31" spans="1:104" ht="131.25" customHeight="1">
      <c r="B31" s="129">
        <v>1</v>
      </c>
      <c r="C31" s="127" t="s">
        <v>133</v>
      </c>
      <c r="D31" s="6" t="s">
        <v>130</v>
      </c>
      <c r="E31" s="6"/>
      <c r="F31" s="127" t="s">
        <v>131</v>
      </c>
      <c r="G31" s="22">
        <v>0.22</v>
      </c>
      <c r="H31" s="41">
        <f t="shared" si="19"/>
        <v>0.22</v>
      </c>
      <c r="I31" s="39"/>
      <c r="J31" s="39"/>
      <c r="K31" s="40"/>
      <c r="L31" s="40"/>
      <c r="M31" s="40"/>
      <c r="N31" s="40"/>
      <c r="O31" s="40"/>
    </row>
    <row r="32" spans="1:104" ht="75" customHeight="1">
      <c r="B32" s="129">
        <v>1</v>
      </c>
      <c r="C32" s="6" t="s">
        <v>138</v>
      </c>
      <c r="D32" s="6" t="s">
        <v>135</v>
      </c>
      <c r="E32" s="6"/>
      <c r="F32" s="127" t="s">
        <v>141</v>
      </c>
      <c r="G32" s="22">
        <v>7.0000000000000007E-2</v>
      </c>
      <c r="H32" s="41">
        <f t="shared" si="19"/>
        <v>7.0000000000000007E-2</v>
      </c>
      <c r="I32" s="39"/>
      <c r="J32" s="39"/>
      <c r="K32" s="40"/>
      <c r="L32" s="40"/>
      <c r="M32" s="40"/>
      <c r="N32" s="40"/>
      <c r="O32" s="40"/>
    </row>
    <row r="33" spans="1:105" ht="75" customHeight="1">
      <c r="B33" s="129">
        <v>1</v>
      </c>
      <c r="C33" s="6" t="s">
        <v>139</v>
      </c>
      <c r="D33" s="6" t="s">
        <v>136</v>
      </c>
      <c r="E33" s="139"/>
      <c r="F33" s="127" t="s">
        <v>141</v>
      </c>
      <c r="G33" s="22">
        <v>7.0000000000000007E-2</v>
      </c>
      <c r="H33" s="41">
        <f t="shared" si="19"/>
        <v>7.0000000000000007E-2</v>
      </c>
      <c r="I33" s="39"/>
      <c r="J33" s="39"/>
      <c r="K33" s="40"/>
      <c r="L33" s="40"/>
      <c r="M33" s="40"/>
      <c r="N33" s="40"/>
      <c r="O33" s="40"/>
    </row>
    <row r="34" spans="1:105" ht="75" customHeight="1">
      <c r="B34" s="129">
        <v>1</v>
      </c>
      <c r="C34" s="6" t="s">
        <v>140</v>
      </c>
      <c r="D34" s="6" t="s">
        <v>137</v>
      </c>
      <c r="E34" s="151"/>
      <c r="F34" s="127" t="s">
        <v>141</v>
      </c>
      <c r="G34" s="22">
        <v>7.0000000000000007E-2</v>
      </c>
      <c r="H34" s="41">
        <f t="shared" si="19"/>
        <v>7.0000000000000007E-2</v>
      </c>
      <c r="I34" s="39"/>
      <c r="J34" s="39"/>
      <c r="K34" s="40"/>
      <c r="L34" s="40"/>
      <c r="M34" s="40"/>
      <c r="N34" s="40"/>
      <c r="O34" s="40"/>
    </row>
    <row r="35" spans="1:105" ht="75" customHeight="1">
      <c r="B35" s="129"/>
      <c r="C35" s="6"/>
      <c r="D35" s="6"/>
      <c r="E35" s="139"/>
      <c r="F35" s="127"/>
      <c r="G35" s="22"/>
      <c r="H35" s="41">
        <f>B35*G35</f>
        <v>0</v>
      </c>
      <c r="I35" s="39"/>
      <c r="J35" s="39"/>
      <c r="K35" s="40"/>
      <c r="L35" s="40"/>
      <c r="M35" s="40"/>
      <c r="N35" s="40"/>
      <c r="O35" s="40"/>
    </row>
    <row r="36" spans="1:105" ht="75" customHeight="1" thickBot="1">
      <c r="B36" s="157"/>
      <c r="C36" s="7"/>
      <c r="D36" s="7"/>
      <c r="E36" s="156"/>
      <c r="F36" s="130"/>
      <c r="G36" s="29"/>
      <c r="H36" s="42">
        <f>B36*G36</f>
        <v>0</v>
      </c>
      <c r="I36" s="39"/>
      <c r="J36" s="39"/>
      <c r="K36" s="40"/>
      <c r="L36" s="40"/>
      <c r="M36" s="40"/>
      <c r="N36" s="40"/>
      <c r="O36" s="40"/>
    </row>
    <row r="37" spans="1:105" ht="16" thickBot="1">
      <c r="A37" s="9"/>
      <c r="B37" s="9"/>
      <c r="C37" s="19"/>
      <c r="D37" s="19"/>
      <c r="E37" s="19"/>
      <c r="F37" s="9"/>
      <c r="G37" s="36" t="s">
        <v>14</v>
      </c>
      <c r="H37" s="37">
        <f>SUM(H28:H36)</f>
        <v>0.67000000000000015</v>
      </c>
      <c r="K37" s="9"/>
      <c r="L37" s="9"/>
      <c r="M37" s="9"/>
      <c r="N37" s="32"/>
      <c r="O37" s="32"/>
      <c r="P37" s="32"/>
      <c r="Q37" s="32"/>
      <c r="R37" s="32"/>
      <c r="S37" s="9"/>
      <c r="T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</row>
    <row r="38" spans="1:105" ht="16" thickBot="1">
      <c r="V38" s="78" t="s">
        <v>55</v>
      </c>
      <c r="W38" s="79">
        <f>D145</f>
        <v>1</v>
      </c>
    </row>
    <row r="39" spans="1:105" ht="16" thickBot="1"/>
    <row r="40" spans="1:105" ht="25">
      <c r="B40" s="95" t="s">
        <v>56</v>
      </c>
      <c r="C40" s="123" t="s">
        <v>0</v>
      </c>
      <c r="D40" s="123" t="s">
        <v>12</v>
      </c>
      <c r="E40" s="123" t="s">
        <v>57</v>
      </c>
      <c r="F40" s="124" t="s">
        <v>58</v>
      </c>
      <c r="G40" s="123" t="s">
        <v>59</v>
      </c>
      <c r="H40" s="123" t="s">
        <v>66</v>
      </c>
      <c r="I40" s="124" t="s">
        <v>60</v>
      </c>
      <c r="J40" s="124" t="s">
        <v>61</v>
      </c>
      <c r="K40" s="124" t="s">
        <v>13</v>
      </c>
      <c r="L40" s="124" t="s">
        <v>62</v>
      </c>
      <c r="M40" s="124" t="s">
        <v>63</v>
      </c>
      <c r="N40" s="124" t="s">
        <v>17</v>
      </c>
      <c r="O40" s="124" t="s">
        <v>64</v>
      </c>
      <c r="P40" s="125" t="s">
        <v>65</v>
      </c>
      <c r="Q40" s="13" t="s">
        <v>342</v>
      </c>
    </row>
    <row r="41" spans="1:105" s="186" customFormat="1" ht="16">
      <c r="B41" s="195">
        <v>1</v>
      </c>
      <c r="C41" s="196" t="s">
        <v>220</v>
      </c>
      <c r="D41" s="197">
        <v>1</v>
      </c>
      <c r="E41" s="193" t="s">
        <v>142</v>
      </c>
      <c r="F41" s="197" t="s">
        <v>283</v>
      </c>
      <c r="G41" s="196" t="s">
        <v>307</v>
      </c>
      <c r="H41" s="198"/>
      <c r="I41" s="199"/>
      <c r="J41" s="200"/>
      <c r="K41" s="214">
        <v>0</v>
      </c>
      <c r="L41" s="201" t="s">
        <v>332</v>
      </c>
      <c r="M41" s="199"/>
      <c r="N41" s="202">
        <f t="shared" ref="N41:N107" si="20">D41*K41</f>
        <v>0</v>
      </c>
      <c r="O41" s="202">
        <f t="shared" ref="O41:O120" si="21">IF(K41&lt;=$W$38,N41,"")</f>
        <v>0</v>
      </c>
      <c r="P41" s="203" t="str">
        <f t="shared" ref="P41:P120" si="22">IF(K41&gt;$W$38,N41,"")</f>
        <v/>
      </c>
      <c r="Q41" s="186" t="s">
        <v>343</v>
      </c>
    </row>
    <row r="42" spans="1:105" s="186" customFormat="1" ht="16">
      <c r="B42" s="195">
        <v>2</v>
      </c>
      <c r="C42" s="196" t="s">
        <v>221</v>
      </c>
      <c r="D42" s="197">
        <v>1</v>
      </c>
      <c r="E42" s="193" t="s">
        <v>143</v>
      </c>
      <c r="F42" s="197" t="s">
        <v>284</v>
      </c>
      <c r="G42" s="196" t="s">
        <v>308</v>
      </c>
      <c r="H42" s="196"/>
      <c r="I42" s="199"/>
      <c r="J42" s="200"/>
      <c r="K42" s="214">
        <v>0.16200000000000001</v>
      </c>
      <c r="L42" s="201" t="s">
        <v>332</v>
      </c>
      <c r="M42" s="199"/>
      <c r="N42" s="202">
        <f t="shared" si="20"/>
        <v>0.16200000000000001</v>
      </c>
      <c r="O42" s="202">
        <f t="shared" ref="O42:O107" si="23">IF(K42&lt;=$W$38,N42,"")</f>
        <v>0.16200000000000001</v>
      </c>
      <c r="P42" s="203" t="str">
        <f t="shared" ref="P42:P107" si="24">IF(K42&gt;$W$38,N42,"")</f>
        <v/>
      </c>
    </row>
    <row r="43" spans="1:105" s="186" customFormat="1" ht="16">
      <c r="B43" s="195">
        <v>3</v>
      </c>
      <c r="C43" s="196" t="s">
        <v>222</v>
      </c>
      <c r="D43" s="197">
        <v>1</v>
      </c>
      <c r="E43" s="194" t="s">
        <v>144</v>
      </c>
      <c r="F43" s="197" t="s">
        <v>285</v>
      </c>
      <c r="G43" s="196" t="s">
        <v>309</v>
      </c>
      <c r="H43" s="196"/>
      <c r="I43" s="199"/>
      <c r="J43" s="200"/>
      <c r="K43" s="214">
        <v>0.109</v>
      </c>
      <c r="L43" s="201" t="s">
        <v>332</v>
      </c>
      <c r="M43" s="199"/>
      <c r="N43" s="202">
        <f t="shared" si="20"/>
        <v>0.109</v>
      </c>
      <c r="O43" s="202">
        <f t="shared" si="23"/>
        <v>0.109</v>
      </c>
      <c r="P43" s="203" t="str">
        <f t="shared" si="24"/>
        <v/>
      </c>
    </row>
    <row r="44" spans="1:105" s="186" customFormat="1" ht="16">
      <c r="B44" s="195">
        <v>4</v>
      </c>
      <c r="C44" s="196" t="s">
        <v>223</v>
      </c>
      <c r="D44" s="197">
        <v>1</v>
      </c>
      <c r="E44" s="194" t="s">
        <v>145</v>
      </c>
      <c r="F44" s="197" t="s">
        <v>286</v>
      </c>
      <c r="G44" s="196" t="s">
        <v>310</v>
      </c>
      <c r="H44" s="196"/>
      <c r="I44" s="199"/>
      <c r="J44" s="200"/>
      <c r="K44" s="214">
        <v>0.189</v>
      </c>
      <c r="L44" s="201" t="s">
        <v>332</v>
      </c>
      <c r="M44" s="199"/>
      <c r="N44" s="202">
        <f t="shared" si="20"/>
        <v>0.189</v>
      </c>
      <c r="O44" s="202">
        <f t="shared" si="23"/>
        <v>0.189</v>
      </c>
      <c r="P44" s="203" t="str">
        <f t="shared" si="24"/>
        <v/>
      </c>
    </row>
    <row r="45" spans="1:105" s="186" customFormat="1" ht="16">
      <c r="B45" s="195">
        <v>5</v>
      </c>
      <c r="C45" s="196" t="s">
        <v>224</v>
      </c>
      <c r="D45" s="197">
        <v>1</v>
      </c>
      <c r="E45" s="194" t="s">
        <v>146</v>
      </c>
      <c r="F45" s="197" t="s">
        <v>287</v>
      </c>
      <c r="G45" s="196"/>
      <c r="H45" s="196"/>
      <c r="I45" s="199"/>
      <c r="J45" s="200"/>
      <c r="K45" s="214">
        <v>5.0000000000000001E-3</v>
      </c>
      <c r="L45" s="201" t="s">
        <v>332</v>
      </c>
      <c r="M45" s="199"/>
      <c r="N45" s="202">
        <f t="shared" si="20"/>
        <v>5.0000000000000001E-3</v>
      </c>
      <c r="O45" s="202">
        <f t="shared" si="23"/>
        <v>5.0000000000000001E-3</v>
      </c>
      <c r="P45" s="203" t="str">
        <f t="shared" si="24"/>
        <v/>
      </c>
    </row>
    <row r="46" spans="1:105" s="186" customFormat="1" ht="16">
      <c r="B46" s="195">
        <v>6</v>
      </c>
      <c r="C46" s="196" t="s">
        <v>225</v>
      </c>
      <c r="D46" s="197">
        <v>1</v>
      </c>
      <c r="E46" s="194" t="s">
        <v>147</v>
      </c>
      <c r="F46" s="197" t="s">
        <v>288</v>
      </c>
      <c r="G46" s="196" t="s">
        <v>311</v>
      </c>
      <c r="H46" s="198"/>
      <c r="I46" s="199"/>
      <c r="J46" s="200"/>
      <c r="K46" s="214">
        <v>0.14099999999999999</v>
      </c>
      <c r="L46" s="201" t="s">
        <v>332</v>
      </c>
      <c r="M46" s="199"/>
      <c r="N46" s="202">
        <f t="shared" si="20"/>
        <v>0.14099999999999999</v>
      </c>
      <c r="O46" s="202">
        <f t="shared" si="23"/>
        <v>0.14099999999999999</v>
      </c>
      <c r="P46" s="203" t="str">
        <f t="shared" si="24"/>
        <v/>
      </c>
    </row>
    <row r="47" spans="1:105" s="186" customFormat="1" ht="16">
      <c r="B47" s="195">
        <v>7</v>
      </c>
      <c r="C47" s="196" t="s">
        <v>226</v>
      </c>
      <c r="D47" s="197">
        <v>1</v>
      </c>
      <c r="E47" s="194" t="s">
        <v>148</v>
      </c>
      <c r="F47" s="197" t="s">
        <v>289</v>
      </c>
      <c r="G47" s="196" t="s">
        <v>312</v>
      </c>
      <c r="H47" s="198"/>
      <c r="I47" s="199"/>
      <c r="J47" s="200"/>
      <c r="K47" s="214">
        <v>7.1999999999999995E-2</v>
      </c>
      <c r="L47" s="201" t="s">
        <v>332</v>
      </c>
      <c r="M47" s="199"/>
      <c r="N47" s="202">
        <f t="shared" si="20"/>
        <v>7.1999999999999995E-2</v>
      </c>
      <c r="O47" s="202">
        <f t="shared" si="23"/>
        <v>7.1999999999999995E-2</v>
      </c>
      <c r="P47" s="203" t="str">
        <f t="shared" si="24"/>
        <v/>
      </c>
    </row>
    <row r="48" spans="1:105" s="186" customFormat="1" ht="16">
      <c r="B48" s="195">
        <v>8</v>
      </c>
      <c r="C48" s="196" t="s">
        <v>226</v>
      </c>
      <c r="D48" s="197">
        <v>1</v>
      </c>
      <c r="E48" s="194" t="s">
        <v>149</v>
      </c>
      <c r="F48" s="197" t="s">
        <v>289</v>
      </c>
      <c r="G48" s="196" t="s">
        <v>312</v>
      </c>
      <c r="H48" s="196"/>
      <c r="I48" s="199"/>
      <c r="J48" s="200"/>
      <c r="K48" s="214">
        <v>7.1999999999999995E-2</v>
      </c>
      <c r="L48" s="201" t="s">
        <v>332</v>
      </c>
      <c r="M48" s="199"/>
      <c r="N48" s="202">
        <f t="shared" si="20"/>
        <v>7.1999999999999995E-2</v>
      </c>
      <c r="O48" s="202">
        <f t="shared" si="23"/>
        <v>7.1999999999999995E-2</v>
      </c>
      <c r="P48" s="203" t="str">
        <f t="shared" si="24"/>
        <v/>
      </c>
    </row>
    <row r="49" spans="2:16" s="186" customFormat="1" ht="16">
      <c r="B49" s="195">
        <v>9</v>
      </c>
      <c r="C49" s="196" t="s">
        <v>227</v>
      </c>
      <c r="D49" s="197">
        <v>1</v>
      </c>
      <c r="E49" s="194" t="s">
        <v>150</v>
      </c>
      <c r="F49" s="197" t="s">
        <v>287</v>
      </c>
      <c r="G49" s="196" t="s">
        <v>287</v>
      </c>
      <c r="H49" s="196"/>
      <c r="I49" s="199"/>
      <c r="J49" s="200"/>
      <c r="K49" s="214">
        <v>4.4999999999999997E-3</v>
      </c>
      <c r="L49" s="201" t="s">
        <v>332</v>
      </c>
      <c r="M49" s="199"/>
      <c r="N49" s="202">
        <f t="shared" si="20"/>
        <v>4.4999999999999997E-3</v>
      </c>
      <c r="O49" s="202">
        <f t="shared" si="23"/>
        <v>4.4999999999999997E-3</v>
      </c>
      <c r="P49" s="203" t="str">
        <f t="shared" si="24"/>
        <v/>
      </c>
    </row>
    <row r="50" spans="2:16" s="186" customFormat="1" ht="16">
      <c r="B50" s="195">
        <v>10</v>
      </c>
      <c r="C50" s="196" t="s">
        <v>228</v>
      </c>
      <c r="D50" s="197">
        <v>1</v>
      </c>
      <c r="E50" s="194" t="s">
        <v>151</v>
      </c>
      <c r="F50" s="197" t="s">
        <v>287</v>
      </c>
      <c r="G50" s="196"/>
      <c r="H50" s="198"/>
      <c r="I50" s="187"/>
      <c r="J50" s="187"/>
      <c r="K50" s="187">
        <v>0.02</v>
      </c>
      <c r="L50" s="201" t="s">
        <v>332</v>
      </c>
      <c r="M50" s="187"/>
      <c r="N50" s="202">
        <f t="shared" si="20"/>
        <v>0.02</v>
      </c>
      <c r="O50" s="202">
        <f t="shared" si="23"/>
        <v>0.02</v>
      </c>
      <c r="P50" s="203" t="str">
        <f t="shared" si="24"/>
        <v/>
      </c>
    </row>
    <row r="51" spans="2:16" s="186" customFormat="1" ht="16">
      <c r="B51" s="195">
        <v>11</v>
      </c>
      <c r="C51" s="196" t="s">
        <v>229</v>
      </c>
      <c r="D51" s="197">
        <v>1</v>
      </c>
      <c r="E51" s="194" t="s">
        <v>152</v>
      </c>
      <c r="F51" s="197" t="s">
        <v>290</v>
      </c>
      <c r="G51" s="196" t="s">
        <v>313</v>
      </c>
      <c r="H51" s="196"/>
      <c r="I51" s="187"/>
      <c r="J51" s="187"/>
      <c r="K51" s="187">
        <v>0.105</v>
      </c>
      <c r="L51" s="201" t="s">
        <v>332</v>
      </c>
      <c r="M51" s="204"/>
      <c r="N51" s="202">
        <f t="shared" si="20"/>
        <v>0.105</v>
      </c>
      <c r="O51" s="202">
        <f t="shared" si="23"/>
        <v>0.105</v>
      </c>
      <c r="P51" s="203" t="str">
        <f t="shared" si="24"/>
        <v/>
      </c>
    </row>
    <row r="52" spans="2:16" s="186" customFormat="1" ht="16">
      <c r="B52" s="195">
        <v>12</v>
      </c>
      <c r="C52" s="196" t="s">
        <v>230</v>
      </c>
      <c r="D52" s="197">
        <v>1</v>
      </c>
      <c r="E52" s="194" t="s">
        <v>153</v>
      </c>
      <c r="F52" s="197" t="s">
        <v>287</v>
      </c>
      <c r="G52" s="196"/>
      <c r="H52" s="198"/>
      <c r="I52" s="187"/>
      <c r="J52" s="187"/>
      <c r="K52" s="214">
        <v>4.4999999999999997E-3</v>
      </c>
      <c r="L52" s="201" t="s">
        <v>332</v>
      </c>
      <c r="M52" s="187"/>
      <c r="N52" s="202">
        <f t="shared" si="20"/>
        <v>4.4999999999999997E-3</v>
      </c>
      <c r="O52" s="202">
        <f t="shared" si="23"/>
        <v>4.4999999999999997E-3</v>
      </c>
      <c r="P52" s="203" t="str">
        <f t="shared" si="24"/>
        <v/>
      </c>
    </row>
    <row r="53" spans="2:16" s="186" customFormat="1" ht="16">
      <c r="B53" s="195">
        <v>13</v>
      </c>
      <c r="C53" s="196" t="s">
        <v>231</v>
      </c>
      <c r="D53" s="197">
        <v>1</v>
      </c>
      <c r="E53" s="193" t="s">
        <v>154</v>
      </c>
      <c r="F53" s="197" t="s">
        <v>287</v>
      </c>
      <c r="G53" s="196"/>
      <c r="H53" s="198"/>
      <c r="I53" s="187"/>
      <c r="J53" s="187"/>
      <c r="K53" s="187">
        <v>0.09</v>
      </c>
      <c r="L53" s="201" t="s">
        <v>332</v>
      </c>
      <c r="M53" s="187"/>
      <c r="N53" s="202">
        <f t="shared" si="20"/>
        <v>0.09</v>
      </c>
      <c r="O53" s="202">
        <f t="shared" si="23"/>
        <v>0.09</v>
      </c>
      <c r="P53" s="203" t="str">
        <f t="shared" si="24"/>
        <v/>
      </c>
    </row>
    <row r="54" spans="2:16" s="186" customFormat="1" ht="16">
      <c r="B54" s="195">
        <v>14</v>
      </c>
      <c r="C54" s="196" t="s">
        <v>232</v>
      </c>
      <c r="D54" s="197">
        <v>1</v>
      </c>
      <c r="E54" s="194" t="s">
        <v>155</v>
      </c>
      <c r="F54" s="197" t="s">
        <v>291</v>
      </c>
      <c r="G54" s="196" t="s">
        <v>314</v>
      </c>
      <c r="H54" s="198"/>
      <c r="I54" s="187"/>
      <c r="J54" s="187"/>
      <c r="K54" s="187">
        <v>0.19112000000000001</v>
      </c>
      <c r="L54" s="201" t="s">
        <v>332</v>
      </c>
      <c r="M54" s="187"/>
      <c r="N54" s="202">
        <f t="shared" si="20"/>
        <v>0.19112000000000001</v>
      </c>
      <c r="O54" s="202">
        <f t="shared" si="23"/>
        <v>0.19112000000000001</v>
      </c>
      <c r="P54" s="203" t="str">
        <f t="shared" si="24"/>
        <v/>
      </c>
    </row>
    <row r="55" spans="2:16" s="186" customFormat="1" ht="16">
      <c r="B55" s="195">
        <v>15</v>
      </c>
      <c r="C55" s="196" t="s">
        <v>233</v>
      </c>
      <c r="D55" s="197">
        <v>1</v>
      </c>
      <c r="E55" s="194" t="s">
        <v>156</v>
      </c>
      <c r="F55" s="197" t="s">
        <v>287</v>
      </c>
      <c r="G55" s="196" t="s">
        <v>287</v>
      </c>
      <c r="H55" s="196"/>
      <c r="I55" s="187"/>
      <c r="J55" s="187"/>
      <c r="K55" s="187">
        <v>4.4999999999999997E-3</v>
      </c>
      <c r="L55" s="201" t="s">
        <v>332</v>
      </c>
      <c r="M55" s="187"/>
      <c r="N55" s="202">
        <f t="shared" si="20"/>
        <v>4.4999999999999997E-3</v>
      </c>
      <c r="O55" s="202">
        <f t="shared" si="23"/>
        <v>4.4999999999999997E-3</v>
      </c>
      <c r="P55" s="203" t="str">
        <f t="shared" si="24"/>
        <v/>
      </c>
    </row>
    <row r="56" spans="2:16" s="186" customFormat="1" ht="16">
      <c r="B56" s="195">
        <v>16</v>
      </c>
      <c r="C56" s="196" t="s">
        <v>234</v>
      </c>
      <c r="D56" s="197">
        <v>1</v>
      </c>
      <c r="E56" s="194" t="s">
        <v>157</v>
      </c>
      <c r="F56" s="197" t="s">
        <v>287</v>
      </c>
      <c r="G56" s="196" t="s">
        <v>287</v>
      </c>
      <c r="H56" s="196"/>
      <c r="I56" s="187"/>
      <c r="J56" s="187"/>
      <c r="K56" s="187">
        <v>4.4999999999999997E-3</v>
      </c>
      <c r="L56" s="201" t="s">
        <v>332</v>
      </c>
      <c r="M56" s="187"/>
      <c r="N56" s="202">
        <f t="shared" si="20"/>
        <v>4.4999999999999997E-3</v>
      </c>
      <c r="O56" s="202">
        <f t="shared" si="23"/>
        <v>4.4999999999999997E-3</v>
      </c>
      <c r="P56" s="203" t="str">
        <f t="shared" si="24"/>
        <v/>
      </c>
    </row>
    <row r="57" spans="2:16" s="186" customFormat="1" ht="16">
      <c r="B57" s="195">
        <v>17</v>
      </c>
      <c r="C57" s="196" t="s">
        <v>231</v>
      </c>
      <c r="D57" s="197">
        <v>1</v>
      </c>
      <c r="E57" s="193" t="s">
        <v>158</v>
      </c>
      <c r="F57" s="197" t="s">
        <v>287</v>
      </c>
      <c r="G57" s="196"/>
      <c r="H57" s="196"/>
      <c r="I57" s="187"/>
      <c r="J57" s="187"/>
      <c r="K57" s="187">
        <v>4.4999999999999997E-3</v>
      </c>
      <c r="L57" s="201" t="s">
        <v>332</v>
      </c>
      <c r="M57" s="187"/>
      <c r="N57" s="202">
        <f t="shared" si="20"/>
        <v>4.4999999999999997E-3</v>
      </c>
      <c r="O57" s="202">
        <f t="shared" si="23"/>
        <v>4.4999999999999997E-3</v>
      </c>
      <c r="P57" s="203" t="str">
        <f t="shared" si="24"/>
        <v/>
      </c>
    </row>
    <row r="58" spans="2:16" s="186" customFormat="1" ht="16">
      <c r="B58" s="195">
        <v>18</v>
      </c>
      <c r="C58" s="196" t="s">
        <v>235</v>
      </c>
      <c r="D58" s="197">
        <v>1</v>
      </c>
      <c r="E58" s="194" t="s">
        <v>159</v>
      </c>
      <c r="F58" s="197" t="s">
        <v>292</v>
      </c>
      <c r="G58" s="196" t="s">
        <v>315</v>
      </c>
      <c r="H58" s="196"/>
      <c r="I58" s="187"/>
      <c r="J58" s="187"/>
      <c r="K58" s="187">
        <v>0.161</v>
      </c>
      <c r="L58" s="201" t="s">
        <v>332</v>
      </c>
      <c r="M58" s="187"/>
      <c r="N58" s="202">
        <f t="shared" si="20"/>
        <v>0.161</v>
      </c>
      <c r="O58" s="202">
        <f t="shared" si="23"/>
        <v>0.161</v>
      </c>
      <c r="P58" s="203" t="str">
        <f t="shared" si="24"/>
        <v/>
      </c>
    </row>
    <row r="59" spans="2:16" s="186" customFormat="1" ht="16">
      <c r="B59" s="195">
        <v>19</v>
      </c>
      <c r="C59" s="196" t="s">
        <v>236</v>
      </c>
      <c r="D59" s="197">
        <v>1</v>
      </c>
      <c r="E59" s="194" t="s">
        <v>160</v>
      </c>
      <c r="F59" s="197" t="s">
        <v>292</v>
      </c>
      <c r="G59" s="196" t="s">
        <v>316</v>
      </c>
      <c r="H59" s="196"/>
      <c r="I59" s="187"/>
      <c r="J59" s="187"/>
      <c r="K59" s="187">
        <v>2.8000000000000001E-2</v>
      </c>
      <c r="L59" s="201" t="s">
        <v>332</v>
      </c>
      <c r="M59" s="187"/>
      <c r="N59" s="202">
        <f t="shared" si="20"/>
        <v>2.8000000000000001E-2</v>
      </c>
      <c r="O59" s="202">
        <f t="shared" si="23"/>
        <v>2.8000000000000001E-2</v>
      </c>
      <c r="P59" s="203" t="str">
        <f t="shared" si="24"/>
        <v/>
      </c>
    </row>
    <row r="60" spans="2:16" s="186" customFormat="1" ht="16">
      <c r="B60" s="195">
        <v>20</v>
      </c>
      <c r="C60" s="196" t="s">
        <v>237</v>
      </c>
      <c r="D60" s="197">
        <v>1</v>
      </c>
      <c r="E60" s="194" t="s">
        <v>161</v>
      </c>
      <c r="F60" s="197" t="s">
        <v>292</v>
      </c>
      <c r="G60" s="196" t="s">
        <v>317</v>
      </c>
      <c r="H60" s="196"/>
      <c r="I60" s="187"/>
      <c r="J60" s="187"/>
      <c r="K60" s="187">
        <v>0.10687000000000001</v>
      </c>
      <c r="L60" s="201" t="s">
        <v>332</v>
      </c>
      <c r="M60" s="187"/>
      <c r="N60" s="202">
        <f t="shared" si="20"/>
        <v>0.10687000000000001</v>
      </c>
      <c r="O60" s="202">
        <f t="shared" si="23"/>
        <v>0.10687000000000001</v>
      </c>
      <c r="P60" s="203" t="str">
        <f t="shared" si="24"/>
        <v/>
      </c>
    </row>
    <row r="61" spans="2:16" s="186" customFormat="1" ht="16">
      <c r="B61" s="195">
        <v>21</v>
      </c>
      <c r="C61" s="196" t="s">
        <v>238</v>
      </c>
      <c r="D61" s="197">
        <v>1</v>
      </c>
      <c r="E61" s="194" t="s">
        <v>162</v>
      </c>
      <c r="F61" s="197" t="s">
        <v>293</v>
      </c>
      <c r="G61" s="196">
        <v>36911000000</v>
      </c>
      <c r="H61" s="196"/>
      <c r="I61" s="187"/>
      <c r="J61" s="187"/>
      <c r="K61" s="187">
        <v>0.18</v>
      </c>
      <c r="L61" s="201" t="s">
        <v>332</v>
      </c>
      <c r="M61" s="187"/>
      <c r="N61" s="202">
        <f t="shared" si="20"/>
        <v>0.18</v>
      </c>
      <c r="O61" s="202">
        <f t="shared" si="23"/>
        <v>0.18</v>
      </c>
      <c r="P61" s="203" t="str">
        <f t="shared" si="24"/>
        <v/>
      </c>
    </row>
    <row r="62" spans="2:16" s="186" customFormat="1" ht="16">
      <c r="B62" s="195">
        <v>22</v>
      </c>
      <c r="C62" s="196" t="s">
        <v>239</v>
      </c>
      <c r="D62" s="197">
        <v>1</v>
      </c>
      <c r="E62" s="194" t="s">
        <v>163</v>
      </c>
      <c r="F62" s="197" t="s">
        <v>293</v>
      </c>
      <c r="G62" s="196" t="s">
        <v>318</v>
      </c>
      <c r="H62" s="196"/>
      <c r="I62" s="187"/>
      <c r="J62" s="187"/>
      <c r="K62" s="187">
        <v>0.17799999999999999</v>
      </c>
      <c r="L62" s="201" t="s">
        <v>332</v>
      </c>
      <c r="M62" s="187"/>
      <c r="N62" s="202">
        <f t="shared" si="20"/>
        <v>0.17799999999999999</v>
      </c>
      <c r="O62" s="202">
        <f t="shared" si="23"/>
        <v>0.17799999999999999</v>
      </c>
      <c r="P62" s="203" t="str">
        <f t="shared" si="24"/>
        <v/>
      </c>
    </row>
    <row r="63" spans="2:16" s="186" customFormat="1" ht="16">
      <c r="B63" s="195">
        <v>23</v>
      </c>
      <c r="C63" s="196" t="s">
        <v>240</v>
      </c>
      <c r="D63" s="197">
        <v>1</v>
      </c>
      <c r="E63" s="193" t="s">
        <v>164</v>
      </c>
      <c r="F63" s="197" t="s">
        <v>294</v>
      </c>
      <c r="G63" s="196" t="s">
        <v>319</v>
      </c>
      <c r="H63" s="196"/>
      <c r="I63" s="187"/>
      <c r="J63" s="187"/>
      <c r="K63" s="187">
        <v>0.33</v>
      </c>
      <c r="L63" s="201" t="s">
        <v>332</v>
      </c>
      <c r="M63" s="187"/>
      <c r="N63" s="202">
        <f t="shared" si="20"/>
        <v>0.33</v>
      </c>
      <c r="O63" s="202">
        <f t="shared" si="23"/>
        <v>0.33</v>
      </c>
      <c r="P63" s="203" t="str">
        <f t="shared" si="24"/>
        <v/>
      </c>
    </row>
    <row r="64" spans="2:16" s="186" customFormat="1" ht="30">
      <c r="B64" s="195">
        <v>24</v>
      </c>
      <c r="C64" s="196" t="s">
        <v>241</v>
      </c>
      <c r="D64" s="197">
        <v>1</v>
      </c>
      <c r="E64" s="193" t="s">
        <v>165</v>
      </c>
      <c r="F64" s="197" t="s">
        <v>294</v>
      </c>
      <c r="G64" s="196" t="s">
        <v>320</v>
      </c>
      <c r="H64" s="196"/>
      <c r="I64" s="187"/>
      <c r="J64" s="187"/>
      <c r="K64" s="187">
        <v>0.11</v>
      </c>
      <c r="L64" s="201" t="s">
        <v>332</v>
      </c>
      <c r="M64" s="187"/>
      <c r="N64" s="202">
        <f t="shared" si="20"/>
        <v>0.11</v>
      </c>
      <c r="O64" s="202">
        <f t="shared" si="23"/>
        <v>0.11</v>
      </c>
      <c r="P64" s="203" t="str">
        <f t="shared" si="24"/>
        <v/>
      </c>
    </row>
    <row r="65" spans="2:17" s="186" customFormat="1" ht="30">
      <c r="B65" s="195">
        <v>25</v>
      </c>
      <c r="C65" s="196" t="s">
        <v>242</v>
      </c>
      <c r="D65" s="197">
        <v>1</v>
      </c>
      <c r="E65" s="193" t="s">
        <v>166</v>
      </c>
      <c r="F65" s="197" t="s">
        <v>295</v>
      </c>
      <c r="G65" s="196" t="s">
        <v>321</v>
      </c>
      <c r="H65" s="196"/>
      <c r="I65" s="187"/>
      <c r="J65" s="187"/>
      <c r="K65" s="187">
        <v>0.2</v>
      </c>
      <c r="L65" s="201" t="s">
        <v>332</v>
      </c>
      <c r="M65" s="187"/>
      <c r="N65" s="202">
        <f t="shared" si="20"/>
        <v>0.2</v>
      </c>
      <c r="O65" s="202">
        <f t="shared" si="23"/>
        <v>0.2</v>
      </c>
      <c r="P65" s="203" t="str">
        <f t="shared" si="24"/>
        <v/>
      </c>
    </row>
    <row r="66" spans="2:17" s="186" customFormat="1" ht="16">
      <c r="B66" s="195">
        <v>26</v>
      </c>
      <c r="C66" s="196" t="s">
        <v>243</v>
      </c>
      <c r="D66" s="197">
        <v>3</v>
      </c>
      <c r="E66" s="193" t="s">
        <v>167</v>
      </c>
      <c r="F66" s="197" t="s">
        <v>287</v>
      </c>
      <c r="G66" s="196"/>
      <c r="H66" s="196"/>
      <c r="I66" s="187"/>
      <c r="J66" s="187"/>
      <c r="K66" s="187">
        <v>0.11</v>
      </c>
      <c r="L66" s="201" t="s">
        <v>332</v>
      </c>
      <c r="M66" s="187"/>
      <c r="N66" s="202">
        <f t="shared" si="20"/>
        <v>0.33</v>
      </c>
      <c r="O66" s="202">
        <f t="shared" si="23"/>
        <v>0.33</v>
      </c>
      <c r="P66" s="203" t="str">
        <f t="shared" si="24"/>
        <v/>
      </c>
    </row>
    <row r="67" spans="2:17" s="186" customFormat="1" ht="16">
      <c r="B67" s="195">
        <v>27</v>
      </c>
      <c r="C67" s="196" t="s">
        <v>244</v>
      </c>
      <c r="D67" s="197">
        <v>1</v>
      </c>
      <c r="E67" s="194" t="s">
        <v>168</v>
      </c>
      <c r="F67" s="197" t="s">
        <v>296</v>
      </c>
      <c r="G67" s="196">
        <v>7447462222</v>
      </c>
      <c r="H67" s="196"/>
      <c r="I67" s="187"/>
      <c r="J67" s="187"/>
      <c r="K67" s="187">
        <v>0.17499999999999999</v>
      </c>
      <c r="L67" s="201" t="s">
        <v>332</v>
      </c>
      <c r="M67" s="187"/>
      <c r="N67" s="202">
        <f t="shared" si="20"/>
        <v>0.17499999999999999</v>
      </c>
      <c r="O67" s="202">
        <f t="shared" si="23"/>
        <v>0.17499999999999999</v>
      </c>
      <c r="P67" s="203" t="str">
        <f t="shared" si="24"/>
        <v/>
      </c>
    </row>
    <row r="68" spans="2:17" s="186" customFormat="1" ht="16">
      <c r="B68" s="195">
        <v>28</v>
      </c>
      <c r="C68" s="196" t="s">
        <v>245</v>
      </c>
      <c r="D68" s="197">
        <v>1</v>
      </c>
      <c r="E68" s="193" t="s">
        <v>169</v>
      </c>
      <c r="F68" s="197" t="s">
        <v>287</v>
      </c>
      <c r="G68" s="196"/>
      <c r="H68" s="196"/>
      <c r="I68" s="187"/>
      <c r="J68" s="187"/>
      <c r="K68" s="187">
        <v>7.0000000000000007E-2</v>
      </c>
      <c r="L68" s="201" t="s">
        <v>332</v>
      </c>
      <c r="M68" s="187"/>
      <c r="N68" s="202">
        <f t="shared" si="20"/>
        <v>7.0000000000000007E-2</v>
      </c>
      <c r="O68" s="202">
        <f t="shared" si="23"/>
        <v>7.0000000000000007E-2</v>
      </c>
      <c r="P68" s="203" t="str">
        <f t="shared" si="24"/>
        <v/>
      </c>
    </row>
    <row r="69" spans="2:17" s="186" customFormat="1" ht="16">
      <c r="B69" s="195">
        <v>29</v>
      </c>
      <c r="C69" s="196" t="s">
        <v>246</v>
      </c>
      <c r="D69" s="197">
        <v>1</v>
      </c>
      <c r="E69" s="193" t="s">
        <v>170</v>
      </c>
      <c r="F69" s="197" t="s">
        <v>287</v>
      </c>
      <c r="G69" s="196"/>
      <c r="H69" s="196"/>
      <c r="I69" s="187"/>
      <c r="J69" s="187"/>
      <c r="K69" s="187">
        <v>7.0000000000000007E-2</v>
      </c>
      <c r="L69" s="201" t="s">
        <v>332</v>
      </c>
      <c r="M69" s="187"/>
      <c r="N69" s="202">
        <f t="shared" si="20"/>
        <v>7.0000000000000007E-2</v>
      </c>
      <c r="O69" s="202">
        <f t="shared" si="23"/>
        <v>7.0000000000000007E-2</v>
      </c>
      <c r="P69" s="203" t="str">
        <f t="shared" si="24"/>
        <v/>
      </c>
    </row>
    <row r="70" spans="2:17" s="186" customFormat="1" ht="16">
      <c r="B70" s="195">
        <v>30</v>
      </c>
      <c r="C70" s="196" t="s">
        <v>247</v>
      </c>
      <c r="D70" s="197">
        <v>1</v>
      </c>
      <c r="E70" s="193" t="s">
        <v>171</v>
      </c>
      <c r="F70" s="197" t="s">
        <v>287</v>
      </c>
      <c r="G70" s="196"/>
      <c r="H70" s="196"/>
      <c r="I70" s="187"/>
      <c r="J70" s="187"/>
      <c r="K70" s="187">
        <v>7.0000000000000007E-2</v>
      </c>
      <c r="L70" s="201" t="s">
        <v>332</v>
      </c>
      <c r="M70" s="187"/>
      <c r="N70" s="202">
        <f t="shared" si="20"/>
        <v>7.0000000000000007E-2</v>
      </c>
      <c r="O70" s="202">
        <f t="shared" si="23"/>
        <v>7.0000000000000007E-2</v>
      </c>
      <c r="P70" s="203" t="str">
        <f t="shared" si="24"/>
        <v/>
      </c>
    </row>
    <row r="71" spans="2:17" s="186" customFormat="1" ht="16">
      <c r="B71" s="195">
        <v>31</v>
      </c>
      <c r="C71" s="196" t="s">
        <v>247</v>
      </c>
      <c r="D71" s="197">
        <v>1</v>
      </c>
      <c r="E71" s="194" t="s">
        <v>172</v>
      </c>
      <c r="F71" s="197" t="s">
        <v>287</v>
      </c>
      <c r="G71" s="196"/>
      <c r="H71" s="196"/>
      <c r="I71" s="187"/>
      <c r="J71" s="187"/>
      <c r="K71" s="187">
        <v>7.0000000000000007E-2</v>
      </c>
      <c r="L71" s="201" t="s">
        <v>332</v>
      </c>
      <c r="M71" s="187"/>
      <c r="N71" s="202">
        <f t="shared" si="20"/>
        <v>7.0000000000000007E-2</v>
      </c>
      <c r="O71" s="202">
        <f t="shared" si="23"/>
        <v>7.0000000000000007E-2</v>
      </c>
      <c r="P71" s="203" t="str">
        <f t="shared" si="24"/>
        <v/>
      </c>
    </row>
    <row r="72" spans="2:17" s="186" customFormat="1" ht="30">
      <c r="B72" s="195">
        <v>32</v>
      </c>
      <c r="C72" s="196" t="s">
        <v>248</v>
      </c>
      <c r="D72" s="197">
        <v>1</v>
      </c>
      <c r="E72" s="194" t="s">
        <v>173</v>
      </c>
      <c r="F72" s="197" t="s">
        <v>297</v>
      </c>
      <c r="G72" s="196" t="s">
        <v>322</v>
      </c>
      <c r="H72" s="196"/>
      <c r="I72" s="187"/>
      <c r="J72" s="187"/>
      <c r="K72" s="187">
        <v>0.126</v>
      </c>
      <c r="L72" s="201" t="s">
        <v>332</v>
      </c>
      <c r="M72" s="187"/>
      <c r="N72" s="202">
        <f t="shared" si="20"/>
        <v>0.126</v>
      </c>
      <c r="O72" s="202">
        <f t="shared" si="23"/>
        <v>0.126</v>
      </c>
      <c r="P72" s="203" t="str">
        <f t="shared" si="24"/>
        <v/>
      </c>
      <c r="Q72" s="186" t="s">
        <v>345</v>
      </c>
    </row>
    <row r="73" spans="2:17" s="186" customFormat="1" ht="16">
      <c r="B73" s="195">
        <v>33</v>
      </c>
      <c r="C73" s="196" t="s">
        <v>333</v>
      </c>
      <c r="D73" s="197">
        <v>1</v>
      </c>
      <c r="E73" s="193" t="s">
        <v>174</v>
      </c>
      <c r="F73" s="197" t="s">
        <v>287</v>
      </c>
      <c r="G73" s="196"/>
      <c r="H73" s="196"/>
      <c r="I73" s="187"/>
      <c r="J73" s="187"/>
      <c r="K73" s="215">
        <v>0.08</v>
      </c>
      <c r="L73" s="201" t="s">
        <v>332</v>
      </c>
      <c r="M73" s="187"/>
      <c r="N73" s="202">
        <f t="shared" si="20"/>
        <v>0.08</v>
      </c>
      <c r="O73" s="202">
        <f t="shared" si="23"/>
        <v>0.08</v>
      </c>
      <c r="P73" s="203" t="str">
        <f t="shared" si="24"/>
        <v/>
      </c>
    </row>
    <row r="74" spans="2:17" s="186" customFormat="1" ht="16">
      <c r="B74" s="195">
        <v>34</v>
      </c>
      <c r="C74" s="196" t="s">
        <v>334</v>
      </c>
      <c r="D74" s="197">
        <v>1</v>
      </c>
      <c r="E74" s="193" t="s">
        <v>175</v>
      </c>
      <c r="F74" s="197" t="s">
        <v>287</v>
      </c>
      <c r="G74" s="196"/>
      <c r="H74" s="196"/>
      <c r="I74" s="187"/>
      <c r="J74" s="187"/>
      <c r="K74" s="215">
        <v>0.11</v>
      </c>
      <c r="L74" s="201" t="s">
        <v>332</v>
      </c>
      <c r="M74" s="187"/>
      <c r="N74" s="202">
        <f t="shared" si="20"/>
        <v>0.11</v>
      </c>
      <c r="O74" s="202">
        <f t="shared" si="23"/>
        <v>0.11</v>
      </c>
      <c r="P74" s="203" t="str">
        <f t="shared" si="24"/>
        <v/>
      </c>
    </row>
    <row r="75" spans="2:17" s="186" customFormat="1" ht="16">
      <c r="B75" s="195">
        <v>35</v>
      </c>
      <c r="C75" s="196" t="s">
        <v>249</v>
      </c>
      <c r="D75" s="197">
        <v>1</v>
      </c>
      <c r="E75" s="193" t="s">
        <v>176</v>
      </c>
      <c r="F75" s="197" t="s">
        <v>287</v>
      </c>
      <c r="G75" s="196"/>
      <c r="H75" s="196"/>
      <c r="I75" s="187"/>
      <c r="J75" s="187"/>
      <c r="K75" s="215">
        <v>0.11</v>
      </c>
      <c r="L75" s="201" t="s">
        <v>332</v>
      </c>
      <c r="M75" s="187"/>
      <c r="N75" s="202">
        <f t="shared" si="20"/>
        <v>0.11</v>
      </c>
      <c r="O75" s="202">
        <f t="shared" si="23"/>
        <v>0.11</v>
      </c>
      <c r="P75" s="203" t="str">
        <f t="shared" si="24"/>
        <v/>
      </c>
    </row>
    <row r="76" spans="2:17" s="186" customFormat="1" ht="16">
      <c r="B76" s="195">
        <v>36</v>
      </c>
      <c r="C76" s="196" t="s">
        <v>335</v>
      </c>
      <c r="D76" s="197">
        <v>1</v>
      </c>
      <c r="E76" s="194" t="s">
        <v>177</v>
      </c>
      <c r="F76" s="197" t="s">
        <v>287</v>
      </c>
      <c r="G76" s="196"/>
      <c r="H76" s="196"/>
      <c r="I76" s="187"/>
      <c r="J76" s="187"/>
      <c r="K76" s="215">
        <v>0.08</v>
      </c>
      <c r="L76" s="201" t="s">
        <v>332</v>
      </c>
      <c r="M76" s="187"/>
      <c r="N76" s="202">
        <f t="shared" si="20"/>
        <v>0.08</v>
      </c>
      <c r="O76" s="202">
        <f t="shared" si="23"/>
        <v>0.08</v>
      </c>
      <c r="P76" s="203" t="str">
        <f t="shared" si="24"/>
        <v/>
      </c>
    </row>
    <row r="77" spans="2:17" s="186" customFormat="1" ht="16">
      <c r="B77" s="195">
        <v>37</v>
      </c>
      <c r="C77" s="207" t="s">
        <v>339</v>
      </c>
      <c r="D77" s="208">
        <v>1</v>
      </c>
      <c r="E77" s="209" t="s">
        <v>336</v>
      </c>
      <c r="F77" s="208" t="s">
        <v>287</v>
      </c>
      <c r="G77" s="207"/>
      <c r="H77" s="207"/>
      <c r="I77" s="206"/>
      <c r="J77" s="206"/>
      <c r="K77" s="215">
        <v>0.05</v>
      </c>
      <c r="L77" s="201" t="s">
        <v>332</v>
      </c>
      <c r="M77" s="187"/>
      <c r="N77" s="202">
        <f t="shared" ref="N77" si="25">D77*K77</f>
        <v>0.05</v>
      </c>
      <c r="O77" s="202">
        <f t="shared" ref="O77" si="26">IF(K77&lt;=$W$38,N77,"")</f>
        <v>0.05</v>
      </c>
      <c r="P77" s="203"/>
    </row>
    <row r="78" spans="2:17" s="186" customFormat="1" ht="16">
      <c r="B78" s="195">
        <v>38</v>
      </c>
      <c r="C78" s="207" t="s">
        <v>340</v>
      </c>
      <c r="D78" s="208">
        <v>1</v>
      </c>
      <c r="E78" s="209" t="s">
        <v>341</v>
      </c>
      <c r="F78" s="208" t="s">
        <v>287</v>
      </c>
      <c r="G78" s="207"/>
      <c r="H78" s="207"/>
      <c r="I78" s="206"/>
      <c r="J78" s="206"/>
      <c r="K78" s="215">
        <v>0.1</v>
      </c>
      <c r="L78" s="201" t="s">
        <v>332</v>
      </c>
      <c r="M78" s="187"/>
      <c r="N78" s="202">
        <f t="shared" ref="N78" si="27">D78*K78</f>
        <v>0.1</v>
      </c>
      <c r="O78" s="202">
        <f t="shared" ref="O78" si="28">IF(K78&lt;=$W$38,N78,"")</f>
        <v>0.1</v>
      </c>
      <c r="P78" s="203"/>
    </row>
    <row r="79" spans="2:17" s="186" customFormat="1" ht="16">
      <c r="B79" s="195">
        <v>39</v>
      </c>
      <c r="C79" s="196" t="s">
        <v>250</v>
      </c>
      <c r="D79" s="197">
        <v>1</v>
      </c>
      <c r="E79" s="193" t="s">
        <v>178</v>
      </c>
      <c r="F79" s="197" t="s">
        <v>298</v>
      </c>
      <c r="G79" s="196" t="s">
        <v>323</v>
      </c>
      <c r="H79" s="196"/>
      <c r="I79" s="187"/>
      <c r="J79" s="187"/>
      <c r="K79" s="187">
        <v>0.189</v>
      </c>
      <c r="L79" s="201" t="s">
        <v>332</v>
      </c>
      <c r="M79" s="187"/>
      <c r="N79" s="202">
        <f t="shared" si="20"/>
        <v>0.189</v>
      </c>
      <c r="O79" s="202">
        <f t="shared" si="23"/>
        <v>0.189</v>
      </c>
      <c r="P79" s="203" t="str">
        <f t="shared" si="24"/>
        <v/>
      </c>
    </row>
    <row r="80" spans="2:17" s="186" customFormat="1" ht="16">
      <c r="B80" s="195">
        <v>40</v>
      </c>
      <c r="C80" s="196" t="s">
        <v>251</v>
      </c>
      <c r="D80" s="197">
        <v>1</v>
      </c>
      <c r="E80" s="194" t="s">
        <v>179</v>
      </c>
      <c r="F80" s="197" t="s">
        <v>299</v>
      </c>
      <c r="G80" s="196" t="s">
        <v>324</v>
      </c>
      <c r="H80" s="196"/>
      <c r="I80" s="187"/>
      <c r="J80" s="187"/>
      <c r="K80" s="187">
        <v>0.3</v>
      </c>
      <c r="L80" s="201" t="s">
        <v>332</v>
      </c>
      <c r="M80" s="187"/>
      <c r="N80" s="202">
        <f t="shared" si="20"/>
        <v>0.3</v>
      </c>
      <c r="O80" s="202">
        <f t="shared" si="23"/>
        <v>0.3</v>
      </c>
      <c r="P80" s="203" t="str">
        <f t="shared" si="24"/>
        <v/>
      </c>
    </row>
    <row r="81" spans="2:16" s="186" customFormat="1" ht="16">
      <c r="B81" s="195">
        <v>41</v>
      </c>
      <c r="C81" s="196" t="s">
        <v>252</v>
      </c>
      <c r="D81" s="197">
        <v>1</v>
      </c>
      <c r="E81" s="193" t="s">
        <v>180</v>
      </c>
      <c r="F81" s="197" t="s">
        <v>287</v>
      </c>
      <c r="G81" s="196"/>
      <c r="H81" s="196"/>
      <c r="I81" s="187"/>
      <c r="J81" s="187"/>
      <c r="K81" s="187">
        <v>2E-3</v>
      </c>
      <c r="L81" s="201" t="s">
        <v>332</v>
      </c>
      <c r="M81" s="187"/>
      <c r="N81" s="202">
        <f t="shared" si="20"/>
        <v>2E-3</v>
      </c>
      <c r="O81" s="202">
        <f t="shared" si="23"/>
        <v>2E-3</v>
      </c>
      <c r="P81" s="203" t="str">
        <f t="shared" si="24"/>
        <v/>
      </c>
    </row>
    <row r="82" spans="2:16" s="186" customFormat="1" ht="16">
      <c r="B82" s="195">
        <v>42</v>
      </c>
      <c r="C82" s="196" t="s">
        <v>253</v>
      </c>
      <c r="D82" s="197">
        <v>1</v>
      </c>
      <c r="E82" s="193" t="s">
        <v>181</v>
      </c>
      <c r="F82" s="197" t="s">
        <v>287</v>
      </c>
      <c r="G82" s="196"/>
      <c r="H82" s="196"/>
      <c r="I82" s="187"/>
      <c r="J82" s="187"/>
      <c r="K82" s="187">
        <v>2E-3</v>
      </c>
      <c r="L82" s="201" t="s">
        <v>332</v>
      </c>
      <c r="M82" s="187"/>
      <c r="N82" s="202">
        <f t="shared" si="20"/>
        <v>2E-3</v>
      </c>
      <c r="O82" s="202">
        <f t="shared" si="23"/>
        <v>2E-3</v>
      </c>
      <c r="P82" s="203" t="str">
        <f t="shared" si="24"/>
        <v/>
      </c>
    </row>
    <row r="83" spans="2:16" s="186" customFormat="1" ht="16">
      <c r="B83" s="195">
        <v>43</v>
      </c>
      <c r="C83" s="196" t="s">
        <v>253</v>
      </c>
      <c r="D83" s="197">
        <v>1</v>
      </c>
      <c r="E83" s="193" t="s">
        <v>182</v>
      </c>
      <c r="F83" s="197" t="s">
        <v>287</v>
      </c>
      <c r="G83" s="196"/>
      <c r="H83" s="196"/>
      <c r="I83" s="187"/>
      <c r="J83" s="187"/>
      <c r="K83" s="187">
        <v>2E-3</v>
      </c>
      <c r="L83" s="201" t="s">
        <v>332</v>
      </c>
      <c r="M83" s="187"/>
      <c r="N83" s="202">
        <f t="shared" si="20"/>
        <v>2E-3</v>
      </c>
      <c r="O83" s="202">
        <f t="shared" si="23"/>
        <v>2E-3</v>
      </c>
      <c r="P83" s="203" t="str">
        <f t="shared" si="24"/>
        <v/>
      </c>
    </row>
    <row r="84" spans="2:16" s="186" customFormat="1" ht="16">
      <c r="B84" s="195">
        <v>44</v>
      </c>
      <c r="C84" s="196" t="s">
        <v>254</v>
      </c>
      <c r="D84" s="197">
        <v>1</v>
      </c>
      <c r="E84" s="193" t="s">
        <v>183</v>
      </c>
      <c r="F84" s="197" t="s">
        <v>287</v>
      </c>
      <c r="G84" s="196"/>
      <c r="H84" s="196"/>
      <c r="I84" s="187"/>
      <c r="J84" s="187"/>
      <c r="K84" s="187">
        <v>2E-3</v>
      </c>
      <c r="L84" s="201" t="s">
        <v>332</v>
      </c>
      <c r="M84" s="187"/>
      <c r="N84" s="202">
        <f t="shared" si="20"/>
        <v>2E-3</v>
      </c>
      <c r="O84" s="202">
        <f t="shared" si="23"/>
        <v>2E-3</v>
      </c>
      <c r="P84" s="203" t="str">
        <f t="shared" si="24"/>
        <v/>
      </c>
    </row>
    <row r="85" spans="2:16" s="186" customFormat="1" ht="16">
      <c r="B85" s="195">
        <v>45</v>
      </c>
      <c r="C85" s="196" t="s">
        <v>254</v>
      </c>
      <c r="D85" s="197">
        <v>1</v>
      </c>
      <c r="E85" s="193" t="s">
        <v>184</v>
      </c>
      <c r="F85" s="197" t="s">
        <v>287</v>
      </c>
      <c r="G85" s="196"/>
      <c r="H85" s="196"/>
      <c r="I85" s="187"/>
      <c r="J85" s="187"/>
      <c r="K85" s="187">
        <v>2E-3</v>
      </c>
      <c r="L85" s="201" t="s">
        <v>332</v>
      </c>
      <c r="M85" s="187"/>
      <c r="N85" s="202">
        <f t="shared" si="20"/>
        <v>2E-3</v>
      </c>
      <c r="O85" s="202">
        <f t="shared" si="23"/>
        <v>2E-3</v>
      </c>
      <c r="P85" s="203" t="str">
        <f t="shared" si="24"/>
        <v/>
      </c>
    </row>
    <row r="86" spans="2:16" s="186" customFormat="1" ht="16">
      <c r="B86" s="195">
        <v>46</v>
      </c>
      <c r="C86" s="196" t="s">
        <v>254</v>
      </c>
      <c r="D86" s="197">
        <v>1</v>
      </c>
      <c r="E86" s="193" t="s">
        <v>185</v>
      </c>
      <c r="F86" s="197" t="s">
        <v>287</v>
      </c>
      <c r="G86" s="196"/>
      <c r="H86" s="196"/>
      <c r="I86" s="187"/>
      <c r="J86" s="187"/>
      <c r="K86" s="187">
        <v>2E-3</v>
      </c>
      <c r="L86" s="201" t="s">
        <v>332</v>
      </c>
      <c r="M86" s="187"/>
      <c r="N86" s="202">
        <f t="shared" si="20"/>
        <v>2E-3</v>
      </c>
      <c r="O86" s="202">
        <f t="shared" si="23"/>
        <v>2E-3</v>
      </c>
      <c r="P86" s="203" t="str">
        <f t="shared" si="24"/>
        <v/>
      </c>
    </row>
    <row r="87" spans="2:16" s="186" customFormat="1" ht="16">
      <c r="B87" s="195">
        <v>47</v>
      </c>
      <c r="C87" s="196" t="s">
        <v>252</v>
      </c>
      <c r="D87" s="197">
        <v>1</v>
      </c>
      <c r="E87" s="193" t="s">
        <v>186</v>
      </c>
      <c r="F87" s="197" t="s">
        <v>287</v>
      </c>
      <c r="G87" s="196"/>
      <c r="H87" s="196"/>
      <c r="I87" s="187"/>
      <c r="J87" s="187"/>
      <c r="K87" s="187">
        <v>2E-3</v>
      </c>
      <c r="L87" s="201" t="s">
        <v>332</v>
      </c>
      <c r="M87" s="187"/>
      <c r="N87" s="202">
        <f t="shared" si="20"/>
        <v>2E-3</v>
      </c>
      <c r="O87" s="202">
        <f t="shared" si="23"/>
        <v>2E-3</v>
      </c>
      <c r="P87" s="203" t="str">
        <f t="shared" si="24"/>
        <v/>
      </c>
    </row>
    <row r="88" spans="2:16" s="186" customFormat="1" ht="16">
      <c r="B88" s="195">
        <v>48</v>
      </c>
      <c r="C88" s="196" t="s">
        <v>255</v>
      </c>
      <c r="D88" s="197">
        <v>1</v>
      </c>
      <c r="E88" s="194" t="s">
        <v>187</v>
      </c>
      <c r="F88" s="197" t="s">
        <v>287</v>
      </c>
      <c r="G88" s="196" t="s">
        <v>287</v>
      </c>
      <c r="H88" s="196"/>
      <c r="I88" s="187"/>
      <c r="J88" s="187"/>
      <c r="K88" s="187">
        <v>2E-3</v>
      </c>
      <c r="L88" s="201" t="s">
        <v>332</v>
      </c>
      <c r="M88" s="187"/>
      <c r="N88" s="202">
        <f t="shared" si="20"/>
        <v>2E-3</v>
      </c>
      <c r="O88" s="202">
        <f t="shared" si="23"/>
        <v>2E-3</v>
      </c>
      <c r="P88" s="203" t="str">
        <f t="shared" si="24"/>
        <v/>
      </c>
    </row>
    <row r="89" spans="2:16" s="186" customFormat="1" ht="16">
      <c r="B89" s="195">
        <v>49</v>
      </c>
      <c r="C89" s="196" t="s">
        <v>252</v>
      </c>
      <c r="D89" s="197">
        <v>1</v>
      </c>
      <c r="E89" s="194" t="s">
        <v>188</v>
      </c>
      <c r="F89" s="197" t="s">
        <v>287</v>
      </c>
      <c r="G89" s="196"/>
      <c r="H89" s="196"/>
      <c r="I89" s="187"/>
      <c r="J89" s="187"/>
      <c r="K89" s="187">
        <v>2E-3</v>
      </c>
      <c r="L89" s="201" t="s">
        <v>332</v>
      </c>
      <c r="M89" s="187"/>
      <c r="N89" s="202">
        <f t="shared" si="20"/>
        <v>2E-3</v>
      </c>
      <c r="O89" s="202">
        <f t="shared" si="23"/>
        <v>2E-3</v>
      </c>
      <c r="P89" s="203" t="str">
        <f t="shared" si="24"/>
        <v/>
      </c>
    </row>
    <row r="90" spans="2:16" s="186" customFormat="1" ht="16">
      <c r="B90" s="195">
        <v>50</v>
      </c>
      <c r="C90" s="196" t="s">
        <v>256</v>
      </c>
      <c r="D90" s="197">
        <v>1</v>
      </c>
      <c r="E90" s="194" t="s">
        <v>189</v>
      </c>
      <c r="F90" s="197" t="s">
        <v>287</v>
      </c>
      <c r="G90" s="196" t="s">
        <v>287</v>
      </c>
      <c r="H90" s="196"/>
      <c r="I90" s="187"/>
      <c r="J90" s="187"/>
      <c r="K90" s="187">
        <v>2E-3</v>
      </c>
      <c r="L90" s="201" t="s">
        <v>332</v>
      </c>
      <c r="M90" s="187"/>
      <c r="N90" s="202">
        <f t="shared" si="20"/>
        <v>2E-3</v>
      </c>
      <c r="O90" s="202">
        <f t="shared" si="23"/>
        <v>2E-3</v>
      </c>
      <c r="P90" s="203" t="str">
        <f t="shared" si="24"/>
        <v/>
      </c>
    </row>
    <row r="91" spans="2:16" s="186" customFormat="1" ht="16">
      <c r="B91" s="195">
        <v>51</v>
      </c>
      <c r="C91" s="196" t="s">
        <v>257</v>
      </c>
      <c r="D91" s="197">
        <v>1</v>
      </c>
      <c r="E91" s="194" t="s">
        <v>190</v>
      </c>
      <c r="F91" s="197" t="s">
        <v>287</v>
      </c>
      <c r="G91" s="196" t="s">
        <v>287</v>
      </c>
      <c r="H91" s="196"/>
      <c r="I91" s="187"/>
      <c r="J91" s="187"/>
      <c r="K91" s="187">
        <v>2E-3</v>
      </c>
      <c r="L91" s="201" t="s">
        <v>332</v>
      </c>
      <c r="M91" s="187"/>
      <c r="N91" s="202">
        <f t="shared" si="20"/>
        <v>2E-3</v>
      </c>
      <c r="O91" s="202">
        <f t="shared" si="23"/>
        <v>2E-3</v>
      </c>
      <c r="P91" s="203" t="str">
        <f t="shared" si="24"/>
        <v/>
      </c>
    </row>
    <row r="92" spans="2:16" s="186" customFormat="1" ht="16">
      <c r="B92" s="195">
        <v>52</v>
      </c>
      <c r="C92" s="196" t="s">
        <v>258</v>
      </c>
      <c r="D92" s="197">
        <v>1</v>
      </c>
      <c r="E92" s="193" t="s">
        <v>191</v>
      </c>
      <c r="F92" s="197" t="s">
        <v>287</v>
      </c>
      <c r="G92" s="196"/>
      <c r="H92" s="196"/>
      <c r="I92" s="187"/>
      <c r="J92" s="187"/>
      <c r="K92" s="187">
        <v>2E-3</v>
      </c>
      <c r="L92" s="201" t="s">
        <v>332</v>
      </c>
      <c r="M92" s="187"/>
      <c r="N92" s="202">
        <f t="shared" si="20"/>
        <v>2E-3</v>
      </c>
      <c r="O92" s="202">
        <f t="shared" si="23"/>
        <v>2E-3</v>
      </c>
      <c r="P92" s="203" t="str">
        <f t="shared" si="24"/>
        <v/>
      </c>
    </row>
    <row r="93" spans="2:16" s="186" customFormat="1" ht="16">
      <c r="B93" s="195">
        <v>53</v>
      </c>
      <c r="C93" s="196" t="s">
        <v>259</v>
      </c>
      <c r="D93" s="197">
        <v>1</v>
      </c>
      <c r="E93" s="194" t="s">
        <v>192</v>
      </c>
      <c r="F93" s="197" t="s">
        <v>287</v>
      </c>
      <c r="G93" s="196" t="s">
        <v>287</v>
      </c>
      <c r="H93" s="196"/>
      <c r="I93" s="187"/>
      <c r="J93" s="187"/>
      <c r="K93" s="187">
        <v>2E-3</v>
      </c>
      <c r="L93" s="201" t="s">
        <v>332</v>
      </c>
      <c r="M93" s="187"/>
      <c r="N93" s="202">
        <f t="shared" si="20"/>
        <v>2E-3</v>
      </c>
      <c r="O93" s="202">
        <f t="shared" si="23"/>
        <v>2E-3</v>
      </c>
      <c r="P93" s="203" t="str">
        <f t="shared" si="24"/>
        <v/>
      </c>
    </row>
    <row r="94" spans="2:16" s="186" customFormat="1" ht="16">
      <c r="B94" s="195">
        <v>54</v>
      </c>
      <c r="C94" s="196" t="s">
        <v>259</v>
      </c>
      <c r="D94" s="197">
        <v>1</v>
      </c>
      <c r="E94" s="194" t="s">
        <v>193</v>
      </c>
      <c r="F94" s="197" t="s">
        <v>287</v>
      </c>
      <c r="G94" s="196" t="s">
        <v>287</v>
      </c>
      <c r="H94" s="196"/>
      <c r="I94" s="187"/>
      <c r="J94" s="187"/>
      <c r="K94" s="187">
        <v>2E-3</v>
      </c>
      <c r="L94" s="201" t="s">
        <v>332</v>
      </c>
      <c r="M94" s="187"/>
      <c r="N94" s="202">
        <f t="shared" si="20"/>
        <v>2E-3</v>
      </c>
      <c r="O94" s="202">
        <f t="shared" si="23"/>
        <v>2E-3</v>
      </c>
      <c r="P94" s="203" t="str">
        <f t="shared" si="24"/>
        <v/>
      </c>
    </row>
    <row r="95" spans="2:16" s="186" customFormat="1" ht="16">
      <c r="B95" s="195">
        <v>55</v>
      </c>
      <c r="C95" s="196" t="s">
        <v>260</v>
      </c>
      <c r="D95" s="197">
        <v>1</v>
      </c>
      <c r="E95" s="194" t="s">
        <v>194</v>
      </c>
      <c r="F95" s="197" t="s">
        <v>287</v>
      </c>
      <c r="G95" s="196" t="s">
        <v>287</v>
      </c>
      <c r="H95" s="196"/>
      <c r="I95" s="187"/>
      <c r="J95" s="187"/>
      <c r="K95" s="187">
        <v>2E-3</v>
      </c>
      <c r="L95" s="201" t="s">
        <v>332</v>
      </c>
      <c r="M95" s="187"/>
      <c r="N95" s="202">
        <f t="shared" si="20"/>
        <v>2E-3</v>
      </c>
      <c r="O95" s="202">
        <f t="shared" si="23"/>
        <v>2E-3</v>
      </c>
      <c r="P95" s="203" t="str">
        <f t="shared" si="24"/>
        <v/>
      </c>
    </row>
    <row r="96" spans="2:16" s="186" customFormat="1" ht="16">
      <c r="B96" s="195">
        <v>56</v>
      </c>
      <c r="C96" s="196" t="s">
        <v>261</v>
      </c>
      <c r="D96" s="197">
        <v>1</v>
      </c>
      <c r="E96" s="194" t="s">
        <v>195</v>
      </c>
      <c r="F96" s="197" t="s">
        <v>287</v>
      </c>
      <c r="G96" s="196" t="s">
        <v>287</v>
      </c>
      <c r="H96" s="196"/>
      <c r="I96" s="187"/>
      <c r="J96" s="187"/>
      <c r="K96" s="187">
        <v>2E-3</v>
      </c>
      <c r="L96" s="201" t="s">
        <v>332</v>
      </c>
      <c r="M96" s="187"/>
      <c r="N96" s="202">
        <f t="shared" si="20"/>
        <v>2E-3</v>
      </c>
      <c r="O96" s="202">
        <f t="shared" si="23"/>
        <v>2E-3</v>
      </c>
      <c r="P96" s="203" t="str">
        <f t="shared" si="24"/>
        <v/>
      </c>
    </row>
    <row r="97" spans="2:16" s="186" customFormat="1" ht="16">
      <c r="B97" s="195">
        <v>57</v>
      </c>
      <c r="C97" s="196" t="s">
        <v>262</v>
      </c>
      <c r="D97" s="197">
        <v>1</v>
      </c>
      <c r="E97" s="194" t="s">
        <v>196</v>
      </c>
      <c r="F97" s="197" t="s">
        <v>287</v>
      </c>
      <c r="G97" s="196" t="s">
        <v>287</v>
      </c>
      <c r="H97" s="196"/>
      <c r="I97" s="187"/>
      <c r="J97" s="187"/>
      <c r="K97" s="187">
        <v>2E-3</v>
      </c>
      <c r="L97" s="201" t="s">
        <v>332</v>
      </c>
      <c r="M97" s="187"/>
      <c r="N97" s="202">
        <f t="shared" si="20"/>
        <v>2E-3</v>
      </c>
      <c r="O97" s="202">
        <f t="shared" si="23"/>
        <v>2E-3</v>
      </c>
      <c r="P97" s="203" t="str">
        <f t="shared" si="24"/>
        <v/>
      </c>
    </row>
    <row r="98" spans="2:16" s="186" customFormat="1" ht="16">
      <c r="B98" s="195">
        <v>58</v>
      </c>
      <c r="C98" s="196" t="s">
        <v>258</v>
      </c>
      <c r="D98" s="197">
        <v>1</v>
      </c>
      <c r="E98" s="194" t="s">
        <v>197</v>
      </c>
      <c r="F98" s="197" t="s">
        <v>287</v>
      </c>
      <c r="G98" s="196" t="s">
        <v>287</v>
      </c>
      <c r="H98" s="196"/>
      <c r="I98" s="187"/>
      <c r="J98" s="187"/>
      <c r="K98" s="187">
        <v>2E-3</v>
      </c>
      <c r="L98" s="201" t="s">
        <v>332</v>
      </c>
      <c r="M98" s="187"/>
      <c r="N98" s="202">
        <f t="shared" si="20"/>
        <v>2E-3</v>
      </c>
      <c r="O98" s="202">
        <f t="shared" si="23"/>
        <v>2E-3</v>
      </c>
      <c r="P98" s="203" t="str">
        <f t="shared" si="24"/>
        <v/>
      </c>
    </row>
    <row r="99" spans="2:16" s="186" customFormat="1" ht="16">
      <c r="B99" s="195">
        <v>59</v>
      </c>
      <c r="C99" s="196" t="s">
        <v>263</v>
      </c>
      <c r="D99" s="197">
        <v>1</v>
      </c>
      <c r="E99" s="194" t="s">
        <v>198</v>
      </c>
      <c r="F99" s="197" t="s">
        <v>287</v>
      </c>
      <c r="G99" s="196" t="s">
        <v>287</v>
      </c>
      <c r="H99" s="196"/>
      <c r="I99" s="187"/>
      <c r="J99" s="187"/>
      <c r="K99" s="187">
        <v>2E-3</v>
      </c>
      <c r="L99" s="201" t="s">
        <v>332</v>
      </c>
      <c r="M99" s="187"/>
      <c r="N99" s="202">
        <f t="shared" si="20"/>
        <v>2E-3</v>
      </c>
      <c r="O99" s="202">
        <f t="shared" si="23"/>
        <v>2E-3</v>
      </c>
      <c r="P99" s="203" t="str">
        <f t="shared" si="24"/>
        <v/>
      </c>
    </row>
    <row r="100" spans="2:16" s="186" customFormat="1" ht="16">
      <c r="B100" s="195">
        <v>60</v>
      </c>
      <c r="C100" s="196" t="s">
        <v>264</v>
      </c>
      <c r="D100" s="197">
        <v>1</v>
      </c>
      <c r="E100" s="194" t="s">
        <v>199</v>
      </c>
      <c r="F100" s="197" t="s">
        <v>287</v>
      </c>
      <c r="G100" s="196" t="s">
        <v>287</v>
      </c>
      <c r="H100" s="196"/>
      <c r="I100" s="187"/>
      <c r="J100" s="187"/>
      <c r="K100" s="187">
        <v>2E-3</v>
      </c>
      <c r="L100" s="201" t="s">
        <v>332</v>
      </c>
      <c r="M100" s="187"/>
      <c r="N100" s="202">
        <f t="shared" si="20"/>
        <v>2E-3</v>
      </c>
      <c r="O100" s="202">
        <f t="shared" si="23"/>
        <v>2E-3</v>
      </c>
      <c r="P100" s="203" t="str">
        <f t="shared" si="24"/>
        <v/>
      </c>
    </row>
    <row r="101" spans="2:16" s="186" customFormat="1" ht="16">
      <c r="B101" s="195">
        <v>61</v>
      </c>
      <c r="C101" s="196" t="s">
        <v>265</v>
      </c>
      <c r="D101" s="197">
        <v>1</v>
      </c>
      <c r="E101" s="194" t="s">
        <v>200</v>
      </c>
      <c r="F101" s="197" t="s">
        <v>287</v>
      </c>
      <c r="G101" s="196" t="s">
        <v>287</v>
      </c>
      <c r="H101" s="196"/>
      <c r="I101" s="187"/>
      <c r="J101" s="187"/>
      <c r="K101" s="187">
        <v>2E-3</v>
      </c>
      <c r="L101" s="201" t="s">
        <v>332</v>
      </c>
      <c r="M101" s="187"/>
      <c r="N101" s="202">
        <f t="shared" si="20"/>
        <v>2E-3</v>
      </c>
      <c r="O101" s="202">
        <f t="shared" si="23"/>
        <v>2E-3</v>
      </c>
      <c r="P101" s="203" t="str">
        <f t="shared" si="24"/>
        <v/>
      </c>
    </row>
    <row r="102" spans="2:16" s="186" customFormat="1" ht="16">
      <c r="B102" s="195">
        <v>62</v>
      </c>
      <c r="C102" s="196" t="s">
        <v>258</v>
      </c>
      <c r="D102" s="197">
        <v>1</v>
      </c>
      <c r="E102" s="193" t="s">
        <v>201</v>
      </c>
      <c r="F102" s="197" t="s">
        <v>287</v>
      </c>
      <c r="G102" s="196"/>
      <c r="H102" s="196"/>
      <c r="I102" s="187"/>
      <c r="J102" s="187"/>
      <c r="K102" s="187">
        <v>2E-3</v>
      </c>
      <c r="L102" s="201" t="s">
        <v>332</v>
      </c>
      <c r="M102" s="187"/>
      <c r="N102" s="202">
        <f t="shared" si="20"/>
        <v>2E-3</v>
      </c>
      <c r="O102" s="202">
        <f t="shared" si="23"/>
        <v>2E-3</v>
      </c>
      <c r="P102" s="203" t="str">
        <f t="shared" si="24"/>
        <v/>
      </c>
    </row>
    <row r="103" spans="2:16" s="186" customFormat="1" ht="16">
      <c r="B103" s="195">
        <v>63</v>
      </c>
      <c r="C103" s="196" t="s">
        <v>266</v>
      </c>
      <c r="D103" s="197">
        <v>1</v>
      </c>
      <c r="E103" s="194" t="s">
        <v>202</v>
      </c>
      <c r="F103" s="197" t="s">
        <v>287</v>
      </c>
      <c r="G103" s="196" t="s">
        <v>287</v>
      </c>
      <c r="H103" s="196"/>
      <c r="I103" s="187"/>
      <c r="J103" s="187"/>
      <c r="K103" s="187">
        <v>2E-3</v>
      </c>
      <c r="L103" s="201" t="s">
        <v>332</v>
      </c>
      <c r="M103" s="187"/>
      <c r="N103" s="202">
        <f t="shared" si="20"/>
        <v>2E-3</v>
      </c>
      <c r="O103" s="202">
        <f t="shared" si="23"/>
        <v>2E-3</v>
      </c>
      <c r="P103" s="203" t="str">
        <f t="shared" si="24"/>
        <v/>
      </c>
    </row>
    <row r="104" spans="2:16" s="186" customFormat="1" ht="16">
      <c r="B104" s="195">
        <v>64</v>
      </c>
      <c r="C104" s="196" t="s">
        <v>267</v>
      </c>
      <c r="D104" s="197">
        <v>1</v>
      </c>
      <c r="E104" s="193" t="s">
        <v>203</v>
      </c>
      <c r="F104" s="197" t="s">
        <v>287</v>
      </c>
      <c r="G104" s="196"/>
      <c r="H104" s="196"/>
      <c r="I104" s="187"/>
      <c r="J104" s="187"/>
      <c r="K104" s="187">
        <v>2E-3</v>
      </c>
      <c r="L104" s="201" t="s">
        <v>332</v>
      </c>
      <c r="M104" s="187"/>
      <c r="N104" s="202">
        <f t="shared" si="20"/>
        <v>2E-3</v>
      </c>
      <c r="O104" s="202">
        <f t="shared" si="23"/>
        <v>2E-3</v>
      </c>
      <c r="P104" s="203" t="str">
        <f t="shared" si="24"/>
        <v/>
      </c>
    </row>
    <row r="105" spans="2:16" s="186" customFormat="1" ht="16">
      <c r="B105" s="195">
        <v>65</v>
      </c>
      <c r="C105" s="196" t="s">
        <v>268</v>
      </c>
      <c r="D105" s="197">
        <v>1</v>
      </c>
      <c r="E105" s="193" t="s">
        <v>204</v>
      </c>
      <c r="F105" s="197" t="s">
        <v>287</v>
      </c>
      <c r="G105" s="196"/>
      <c r="H105" s="196"/>
      <c r="I105" s="187"/>
      <c r="J105" s="187"/>
      <c r="K105" s="187">
        <v>2E-3</v>
      </c>
      <c r="L105" s="201" t="s">
        <v>332</v>
      </c>
      <c r="M105" s="187"/>
      <c r="N105" s="202">
        <f t="shared" si="20"/>
        <v>2E-3</v>
      </c>
      <c r="O105" s="202">
        <f t="shared" si="23"/>
        <v>2E-3</v>
      </c>
      <c r="P105" s="203" t="str">
        <f t="shared" si="24"/>
        <v/>
      </c>
    </row>
    <row r="106" spans="2:16" s="186" customFormat="1" ht="16">
      <c r="B106" s="195">
        <v>66</v>
      </c>
      <c r="C106" s="196" t="s">
        <v>269</v>
      </c>
      <c r="D106" s="197">
        <v>1</v>
      </c>
      <c r="E106" s="193" t="s">
        <v>205</v>
      </c>
      <c r="F106" s="197" t="s">
        <v>287</v>
      </c>
      <c r="G106" s="196"/>
      <c r="H106" s="196"/>
      <c r="I106" s="187"/>
      <c r="J106" s="187"/>
      <c r="K106" s="187">
        <v>2E-3</v>
      </c>
      <c r="L106" s="201" t="s">
        <v>332</v>
      </c>
      <c r="M106" s="187"/>
      <c r="N106" s="202">
        <f t="shared" si="20"/>
        <v>2E-3</v>
      </c>
      <c r="O106" s="202">
        <f t="shared" si="23"/>
        <v>2E-3</v>
      </c>
      <c r="P106" s="203" t="str">
        <f t="shared" si="24"/>
        <v/>
      </c>
    </row>
    <row r="107" spans="2:16" s="186" customFormat="1" ht="16">
      <c r="B107" s="195">
        <v>67</v>
      </c>
      <c r="C107" s="196" t="s">
        <v>269</v>
      </c>
      <c r="D107" s="197">
        <v>1</v>
      </c>
      <c r="E107" s="194" t="s">
        <v>206</v>
      </c>
      <c r="F107" s="197" t="s">
        <v>287</v>
      </c>
      <c r="G107" s="196"/>
      <c r="H107" s="196"/>
      <c r="I107" s="187"/>
      <c r="J107" s="187"/>
      <c r="K107" s="187">
        <v>2E-3</v>
      </c>
      <c r="L107" s="201" t="s">
        <v>332</v>
      </c>
      <c r="M107" s="187"/>
      <c r="N107" s="202">
        <f t="shared" si="20"/>
        <v>2E-3</v>
      </c>
      <c r="O107" s="202">
        <f t="shared" si="23"/>
        <v>2E-3</v>
      </c>
      <c r="P107" s="203" t="str">
        <f t="shared" si="24"/>
        <v/>
      </c>
    </row>
    <row r="108" spans="2:16" s="186" customFormat="1" ht="16">
      <c r="B108" s="195">
        <v>68</v>
      </c>
      <c r="C108" s="196" t="s">
        <v>270</v>
      </c>
      <c r="D108" s="197">
        <v>1</v>
      </c>
      <c r="E108" s="193" t="s">
        <v>207</v>
      </c>
      <c r="F108" s="197" t="s">
        <v>287</v>
      </c>
      <c r="G108" s="196"/>
      <c r="H108" s="196"/>
      <c r="I108" s="187"/>
      <c r="J108" s="187"/>
      <c r="K108" s="187">
        <v>2E-3</v>
      </c>
      <c r="L108" s="201" t="s">
        <v>332</v>
      </c>
      <c r="M108" s="187"/>
      <c r="N108" s="202">
        <f t="shared" ref="N108:N112" si="29">D108*K108</f>
        <v>2E-3</v>
      </c>
      <c r="O108" s="202">
        <f t="shared" ref="O108:O112" si="30">IF(K108&lt;=$W$38,N108,"")</f>
        <v>2E-3</v>
      </c>
      <c r="P108" s="203" t="str">
        <f t="shared" ref="P108:P112" si="31">IF(K108&gt;$W$38,N108,"")</f>
        <v/>
      </c>
    </row>
    <row r="109" spans="2:16" s="186" customFormat="1" ht="16">
      <c r="B109" s="195">
        <v>69</v>
      </c>
      <c r="C109" s="196" t="s">
        <v>271</v>
      </c>
      <c r="D109" s="197">
        <v>1</v>
      </c>
      <c r="E109" s="193" t="s">
        <v>208</v>
      </c>
      <c r="F109" s="197" t="s">
        <v>287</v>
      </c>
      <c r="G109" s="196"/>
      <c r="H109" s="196"/>
      <c r="I109" s="187"/>
      <c r="J109" s="187"/>
      <c r="K109" s="187">
        <v>2E-3</v>
      </c>
      <c r="L109" s="201" t="s">
        <v>332</v>
      </c>
      <c r="M109" s="187"/>
      <c r="N109" s="202">
        <f t="shared" si="29"/>
        <v>2E-3</v>
      </c>
      <c r="O109" s="202">
        <f t="shared" si="30"/>
        <v>2E-3</v>
      </c>
      <c r="P109" s="203" t="str">
        <f t="shared" si="31"/>
        <v/>
      </c>
    </row>
    <row r="110" spans="2:16" s="186" customFormat="1" ht="16">
      <c r="B110" s="195">
        <v>70</v>
      </c>
      <c r="C110" s="196" t="s">
        <v>272</v>
      </c>
      <c r="D110" s="197">
        <v>1</v>
      </c>
      <c r="E110" s="193" t="s">
        <v>209</v>
      </c>
      <c r="F110" s="197" t="s">
        <v>287</v>
      </c>
      <c r="G110" s="196"/>
      <c r="H110" s="196"/>
      <c r="I110" s="187"/>
      <c r="J110" s="187"/>
      <c r="K110" s="187">
        <v>0.03</v>
      </c>
      <c r="L110" s="201" t="s">
        <v>332</v>
      </c>
      <c r="M110" s="187"/>
      <c r="N110" s="202">
        <f t="shared" si="29"/>
        <v>0.03</v>
      </c>
      <c r="O110" s="202">
        <f t="shared" si="30"/>
        <v>0.03</v>
      </c>
      <c r="P110" s="203" t="str">
        <f t="shared" si="31"/>
        <v/>
      </c>
    </row>
    <row r="111" spans="2:16" s="186" customFormat="1" ht="16">
      <c r="B111" s="195">
        <v>71</v>
      </c>
      <c r="C111" s="196" t="s">
        <v>273</v>
      </c>
      <c r="D111" s="197">
        <v>1</v>
      </c>
      <c r="E111" s="194" t="s">
        <v>210</v>
      </c>
      <c r="F111" s="197" t="s">
        <v>287</v>
      </c>
      <c r="G111" s="196"/>
      <c r="H111" s="196"/>
      <c r="I111" s="187"/>
      <c r="J111" s="187"/>
      <c r="K111" s="187">
        <v>0.03</v>
      </c>
      <c r="L111" s="201" t="s">
        <v>332</v>
      </c>
      <c r="M111" s="187"/>
      <c r="N111" s="202">
        <f t="shared" si="29"/>
        <v>0.03</v>
      </c>
      <c r="O111" s="202">
        <f t="shared" si="30"/>
        <v>0.03</v>
      </c>
      <c r="P111" s="203" t="str">
        <f t="shared" si="31"/>
        <v/>
      </c>
    </row>
    <row r="112" spans="2:16" s="186" customFormat="1" ht="16">
      <c r="B112" s="195">
        <v>72</v>
      </c>
      <c r="C112" s="196" t="s">
        <v>274</v>
      </c>
      <c r="D112" s="197">
        <v>1</v>
      </c>
      <c r="E112" s="194" t="s">
        <v>211</v>
      </c>
      <c r="F112" s="197" t="s">
        <v>287</v>
      </c>
      <c r="G112" s="196"/>
      <c r="H112" s="196"/>
      <c r="I112" s="187"/>
      <c r="J112" s="187"/>
      <c r="K112" s="187">
        <v>0.03</v>
      </c>
      <c r="L112" s="201" t="s">
        <v>332</v>
      </c>
      <c r="M112" s="187"/>
      <c r="N112" s="202">
        <f t="shared" si="29"/>
        <v>0.03</v>
      </c>
      <c r="O112" s="202">
        <f t="shared" si="30"/>
        <v>0.03</v>
      </c>
      <c r="P112" s="203" t="str">
        <f t="shared" si="31"/>
        <v/>
      </c>
    </row>
    <row r="113" spans="1:110" s="186" customFormat="1" ht="16">
      <c r="B113" s="195">
        <v>73</v>
      </c>
      <c r="C113" s="196" t="s">
        <v>275</v>
      </c>
      <c r="D113" s="197">
        <v>1</v>
      </c>
      <c r="E113" s="193" t="s">
        <v>212</v>
      </c>
      <c r="F113" s="197" t="s">
        <v>300</v>
      </c>
      <c r="G113" s="196" t="s">
        <v>325</v>
      </c>
      <c r="H113" s="196"/>
      <c r="I113" s="187"/>
      <c r="J113" s="187"/>
      <c r="K113" s="187">
        <v>0.17</v>
      </c>
      <c r="L113" s="201" t="s">
        <v>332</v>
      </c>
      <c r="M113" s="187"/>
      <c r="N113" s="202">
        <f t="shared" ref="N113:N120" si="32">D113*K113</f>
        <v>0.17</v>
      </c>
      <c r="O113" s="202">
        <f t="shared" si="21"/>
        <v>0.17</v>
      </c>
      <c r="P113" s="203" t="str">
        <f t="shared" si="22"/>
        <v/>
      </c>
    </row>
    <row r="114" spans="1:110" s="186" customFormat="1" ht="16">
      <c r="B114" s="195">
        <v>74</v>
      </c>
      <c r="C114" s="196" t="s">
        <v>276</v>
      </c>
      <c r="D114" s="197">
        <v>1</v>
      </c>
      <c r="E114" s="194" t="s">
        <v>213</v>
      </c>
      <c r="F114" s="197" t="s">
        <v>296</v>
      </c>
      <c r="G114" s="196">
        <v>750341445</v>
      </c>
      <c r="H114" s="196"/>
      <c r="I114" s="187"/>
      <c r="J114" s="187"/>
      <c r="K114" s="187">
        <v>0</v>
      </c>
      <c r="L114" s="201" t="s">
        <v>332</v>
      </c>
      <c r="M114" s="187"/>
      <c r="N114" s="202">
        <f t="shared" si="32"/>
        <v>0</v>
      </c>
      <c r="O114" s="202">
        <f t="shared" si="21"/>
        <v>0</v>
      </c>
      <c r="P114" s="203" t="str">
        <f t="shared" si="22"/>
        <v/>
      </c>
      <c r="Q114" s="186" t="s">
        <v>343</v>
      </c>
    </row>
    <row r="115" spans="1:110" s="186" customFormat="1" ht="16">
      <c r="B115" s="195">
        <v>75</v>
      </c>
      <c r="C115" s="205" t="s">
        <v>277</v>
      </c>
      <c r="D115" s="197">
        <v>1</v>
      </c>
      <c r="E115" s="193" t="s">
        <v>214</v>
      </c>
      <c r="F115" s="183" t="s">
        <v>301</v>
      </c>
      <c r="G115" s="183" t="s">
        <v>326</v>
      </c>
      <c r="H115" s="183"/>
      <c r="I115" s="187"/>
      <c r="J115" s="187"/>
      <c r="K115" s="187">
        <v>0.16300000000000001</v>
      </c>
      <c r="L115" s="201" t="s">
        <v>332</v>
      </c>
      <c r="M115" s="187"/>
      <c r="N115" s="202">
        <f t="shared" si="32"/>
        <v>0.16300000000000001</v>
      </c>
      <c r="O115" s="202">
        <f t="shared" si="21"/>
        <v>0.16300000000000001</v>
      </c>
      <c r="P115" s="203" t="str">
        <f t="shared" si="22"/>
        <v/>
      </c>
    </row>
    <row r="116" spans="1:110" s="186" customFormat="1" ht="16">
      <c r="B116" s="195">
        <v>76</v>
      </c>
      <c r="C116" s="205" t="s">
        <v>278</v>
      </c>
      <c r="D116" s="197">
        <v>1</v>
      </c>
      <c r="E116" s="193" t="s">
        <v>215</v>
      </c>
      <c r="F116" s="183" t="s">
        <v>302</v>
      </c>
      <c r="G116" s="183" t="s">
        <v>327</v>
      </c>
      <c r="H116" s="183"/>
      <c r="I116" s="187"/>
      <c r="J116" s="187"/>
      <c r="K116" s="187">
        <v>0.21734999999999999</v>
      </c>
      <c r="L116" s="201" t="s">
        <v>332</v>
      </c>
      <c r="M116" s="187"/>
      <c r="N116" s="202">
        <f t="shared" si="32"/>
        <v>0.21734999999999999</v>
      </c>
      <c r="O116" s="202">
        <f t="shared" si="21"/>
        <v>0.21734999999999999</v>
      </c>
      <c r="P116" s="203" t="str">
        <f t="shared" si="22"/>
        <v/>
      </c>
    </row>
    <row r="117" spans="1:110" s="186" customFormat="1" ht="16">
      <c r="B117" s="195">
        <v>77</v>
      </c>
      <c r="C117" s="205" t="s">
        <v>279</v>
      </c>
      <c r="D117" s="197">
        <v>1</v>
      </c>
      <c r="E117" s="194" t="s">
        <v>216</v>
      </c>
      <c r="F117" s="183" t="s">
        <v>303</v>
      </c>
      <c r="G117" s="183" t="s">
        <v>328</v>
      </c>
      <c r="H117" s="183"/>
      <c r="I117" s="187"/>
      <c r="J117" s="187"/>
      <c r="K117" s="187">
        <v>0</v>
      </c>
      <c r="L117" s="201" t="s">
        <v>332</v>
      </c>
      <c r="M117" s="187"/>
      <c r="N117" s="202">
        <f t="shared" si="32"/>
        <v>0</v>
      </c>
      <c r="O117" s="202">
        <f t="shared" si="21"/>
        <v>0</v>
      </c>
      <c r="P117" s="203" t="str">
        <f t="shared" si="22"/>
        <v/>
      </c>
      <c r="Q117" s="186" t="s">
        <v>343</v>
      </c>
    </row>
    <row r="118" spans="1:110" s="186" customFormat="1" ht="16">
      <c r="B118" s="195">
        <v>78</v>
      </c>
      <c r="C118" s="205" t="s">
        <v>280</v>
      </c>
      <c r="D118" s="197">
        <v>1</v>
      </c>
      <c r="E118" s="193" t="s">
        <v>217</v>
      </c>
      <c r="F118" s="183" t="s">
        <v>304</v>
      </c>
      <c r="G118" s="183" t="s">
        <v>329</v>
      </c>
      <c r="H118" s="183"/>
      <c r="I118" s="187"/>
      <c r="J118" s="187"/>
      <c r="K118" s="187">
        <v>1.76</v>
      </c>
      <c r="L118" s="201" t="s">
        <v>332</v>
      </c>
      <c r="M118" s="187"/>
      <c r="N118" s="202">
        <f t="shared" si="32"/>
        <v>1.76</v>
      </c>
      <c r="O118" s="202" t="str">
        <f t="shared" si="21"/>
        <v/>
      </c>
      <c r="P118" s="203">
        <f t="shared" si="22"/>
        <v>1.76</v>
      </c>
    </row>
    <row r="119" spans="1:110" s="186" customFormat="1" ht="30">
      <c r="B119" s="195">
        <v>79</v>
      </c>
      <c r="C119" s="205" t="s">
        <v>281</v>
      </c>
      <c r="D119" s="197">
        <v>1</v>
      </c>
      <c r="E119" s="193" t="s">
        <v>218</v>
      </c>
      <c r="F119" s="183" t="s">
        <v>305</v>
      </c>
      <c r="G119" s="183" t="s">
        <v>330</v>
      </c>
      <c r="H119" s="183"/>
      <c r="I119" s="187"/>
      <c r="J119" s="187"/>
      <c r="K119" s="187">
        <v>12.5</v>
      </c>
      <c r="L119" s="201" t="s">
        <v>332</v>
      </c>
      <c r="M119" s="187"/>
      <c r="N119" s="202">
        <f t="shared" si="32"/>
        <v>12.5</v>
      </c>
      <c r="O119" s="202" t="str">
        <f t="shared" si="21"/>
        <v/>
      </c>
      <c r="P119" s="203">
        <f t="shared" si="22"/>
        <v>12.5</v>
      </c>
      <c r="Q119" s="186" t="s">
        <v>344</v>
      </c>
    </row>
    <row r="120" spans="1:110" ht="16">
      <c r="A120" s="186"/>
      <c r="B120" s="195">
        <v>80</v>
      </c>
      <c r="C120" s="205" t="s">
        <v>282</v>
      </c>
      <c r="D120" s="197">
        <v>1</v>
      </c>
      <c r="E120" s="194" t="s">
        <v>219</v>
      </c>
      <c r="F120" s="183" t="s">
        <v>306</v>
      </c>
      <c r="G120" s="183" t="s">
        <v>331</v>
      </c>
      <c r="H120" s="183"/>
      <c r="I120" s="187"/>
      <c r="J120" s="187"/>
      <c r="K120" s="187">
        <v>0.49</v>
      </c>
      <c r="L120" s="201" t="s">
        <v>332</v>
      </c>
      <c r="M120" s="187"/>
      <c r="N120" s="202">
        <f t="shared" si="32"/>
        <v>0.49</v>
      </c>
      <c r="O120" s="202">
        <f t="shared" si="21"/>
        <v>0.49</v>
      </c>
      <c r="P120" s="203" t="str">
        <f t="shared" si="22"/>
        <v/>
      </c>
      <c r="Q120" s="186"/>
    </row>
    <row r="121" spans="1:110" ht="16" thickBot="1">
      <c r="F121" s="13"/>
      <c r="M121" s="120" t="s">
        <v>67</v>
      </c>
      <c r="N121" s="121">
        <f>SUM(N41:N120)</f>
        <v>19.850839999999991</v>
      </c>
      <c r="O121" s="121">
        <f>SUM(O41:O120)</f>
        <v>5.5908399999999929</v>
      </c>
      <c r="P121" s="122">
        <f>SUM(P41:P120)</f>
        <v>14.26</v>
      </c>
    </row>
    <row r="122" spans="1:110">
      <c r="F122" s="13"/>
    </row>
    <row r="123" spans="1:110">
      <c r="F123" s="13"/>
      <c r="N123" s="8"/>
      <c r="O123" s="8"/>
      <c r="P123" s="8"/>
      <c r="T123" s="8"/>
      <c r="U123" s="8"/>
      <c r="V123" s="8"/>
    </row>
    <row r="124" spans="1:110" ht="36" customHeight="1" thickBot="1">
      <c r="R124" s="32"/>
      <c r="S124" s="9"/>
      <c r="T124" s="10"/>
      <c r="U124" s="10"/>
      <c r="V124" s="10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</row>
    <row r="125" spans="1:110" ht="31" thickBot="1">
      <c r="A125" s="9"/>
      <c r="B125" s="65" t="s">
        <v>52</v>
      </c>
      <c r="C125" s="213">
        <v>5.5</v>
      </c>
      <c r="D125" s="44"/>
      <c r="E125" s="9"/>
      <c r="F125" s="9"/>
      <c r="G125" s="9"/>
      <c r="H125" s="9"/>
      <c r="I125" s="5"/>
      <c r="J125" s="45"/>
      <c r="K125" s="9"/>
      <c r="L125" s="9"/>
      <c r="M125" s="9"/>
      <c r="N125" s="32"/>
      <c r="O125" s="32"/>
      <c r="P125" s="32"/>
      <c r="Q125" s="32"/>
      <c r="R125" s="9"/>
      <c r="S125" s="9"/>
      <c r="T125" s="9"/>
      <c r="U125" s="10"/>
      <c r="V125" s="10"/>
      <c r="W125" s="10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</row>
    <row r="126" spans="1:110">
      <c r="A126" s="9"/>
      <c r="B126" s="66"/>
      <c r="C126" s="19"/>
      <c r="D126" s="19"/>
      <c r="E126" s="9"/>
      <c r="F126" s="19"/>
      <c r="G126" s="9"/>
      <c r="H126" s="16"/>
      <c r="I126" s="46"/>
      <c r="J126" s="9"/>
      <c r="K126" s="9"/>
      <c r="L126" s="9"/>
      <c r="M126" s="32"/>
      <c r="N126" s="9"/>
      <c r="O126" s="9"/>
      <c r="P126" s="9"/>
      <c r="Q126" s="9"/>
      <c r="U126" s="10"/>
      <c r="V126" s="10"/>
      <c r="W126" s="10"/>
    </row>
    <row r="127" spans="1:110">
      <c r="F127" s="13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</row>
    <row r="128" spans="1:110" ht="16" thickBot="1">
      <c r="A128" s="8"/>
      <c r="B128" s="35" t="s">
        <v>15</v>
      </c>
      <c r="C128" s="8"/>
      <c r="D128" s="8"/>
      <c r="E128" s="8"/>
      <c r="F128" s="8"/>
      <c r="G128" s="8"/>
      <c r="H128" s="12"/>
      <c r="I128" s="12"/>
      <c r="J128" s="47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</row>
    <row r="129" spans="1:110">
      <c r="A129" s="8"/>
      <c r="B129" s="48" t="s">
        <v>12</v>
      </c>
      <c r="C129" s="49" t="s">
        <v>0</v>
      </c>
      <c r="D129" s="49" t="s">
        <v>13</v>
      </c>
      <c r="E129" s="50" t="s">
        <v>16</v>
      </c>
      <c r="F129" s="67" t="s">
        <v>17</v>
      </c>
      <c r="H129" s="8"/>
      <c r="I129" s="3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</row>
    <row r="130" spans="1:110">
      <c r="A130" s="8"/>
      <c r="B130" s="210">
        <v>8.3333333333333329E-2</v>
      </c>
      <c r="C130" s="126" t="s">
        <v>68</v>
      </c>
      <c r="D130" s="211">
        <v>0.35</v>
      </c>
      <c r="E130" s="51"/>
      <c r="F130" s="68">
        <f>B130*D130</f>
        <v>2.9166666666666664E-2</v>
      </c>
      <c r="H130" s="8"/>
      <c r="I130" s="33"/>
      <c r="K130" s="8"/>
      <c r="L130" s="8"/>
      <c r="M130" s="8"/>
      <c r="N130" s="8"/>
      <c r="O130" s="8"/>
      <c r="P130" s="8"/>
      <c r="Q130" s="8"/>
      <c r="R130" s="10"/>
      <c r="S130" s="10"/>
      <c r="T130" s="10"/>
      <c r="U130" s="8"/>
      <c r="V130" s="8"/>
      <c r="W130" s="8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</row>
    <row r="131" spans="1:110" s="186" customFormat="1">
      <c r="A131" s="10"/>
      <c r="B131" s="152">
        <v>1</v>
      </c>
      <c r="C131" s="126" t="s">
        <v>337</v>
      </c>
      <c r="D131" s="211">
        <v>0.85</v>
      </c>
      <c r="E131" s="52"/>
      <c r="F131" s="68">
        <f>B131*D131</f>
        <v>0.85</v>
      </c>
      <c r="G131" s="13" t="s">
        <v>347</v>
      </c>
      <c r="H131" s="10"/>
      <c r="I131" s="33"/>
      <c r="J131" s="13"/>
      <c r="K131" s="10"/>
      <c r="L131" s="10"/>
      <c r="M131" s="10"/>
      <c r="N131" s="10"/>
      <c r="O131" s="10"/>
      <c r="P131" s="10"/>
      <c r="Q131" s="10"/>
      <c r="R131" s="185"/>
      <c r="S131" s="185"/>
      <c r="T131" s="185"/>
      <c r="U131" s="184"/>
      <c r="V131" s="184"/>
      <c r="W131" s="184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  <c r="AX131" s="185"/>
      <c r="AY131" s="185"/>
      <c r="AZ131" s="185"/>
      <c r="BA131" s="185"/>
      <c r="BB131" s="185"/>
      <c r="BC131" s="185"/>
      <c r="BD131" s="185"/>
      <c r="BE131" s="185"/>
      <c r="BF131" s="185"/>
      <c r="BG131" s="185"/>
      <c r="BH131" s="185"/>
      <c r="BI131" s="185"/>
      <c r="BJ131" s="185"/>
      <c r="BK131" s="185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185"/>
      <c r="BW131" s="185"/>
      <c r="BX131" s="185"/>
      <c r="BY131" s="185"/>
      <c r="BZ131" s="185"/>
      <c r="CA131" s="185"/>
      <c r="CB131" s="185"/>
      <c r="CC131" s="185"/>
      <c r="CD131" s="185"/>
      <c r="CE131" s="185"/>
      <c r="CF131" s="185"/>
      <c r="CG131" s="185"/>
      <c r="CH131" s="185"/>
      <c r="CI131" s="185"/>
      <c r="CJ131" s="185"/>
      <c r="CK131" s="185"/>
      <c r="CL131" s="185"/>
      <c r="CM131" s="185"/>
      <c r="CN131" s="185"/>
      <c r="CO131" s="185"/>
      <c r="CP131" s="185"/>
      <c r="CQ131" s="185"/>
      <c r="CR131" s="185"/>
      <c r="CS131" s="185"/>
      <c r="CT131" s="185"/>
      <c r="CU131" s="185"/>
      <c r="CV131" s="185"/>
      <c r="CW131" s="185"/>
      <c r="CX131" s="185"/>
      <c r="CY131" s="185"/>
      <c r="CZ131" s="185"/>
      <c r="DA131" s="185"/>
      <c r="DB131" s="185"/>
      <c r="DC131" s="185"/>
      <c r="DD131" s="185"/>
      <c r="DE131" s="185"/>
      <c r="DF131" s="185"/>
    </row>
    <row r="132" spans="1:110" s="186" customFormat="1" ht="115.5" customHeight="1">
      <c r="A132" s="185"/>
      <c r="B132" s="221">
        <v>1</v>
      </c>
      <c r="C132" s="217" t="s">
        <v>338</v>
      </c>
      <c r="D132" s="218">
        <v>0.25</v>
      </c>
      <c r="E132" s="219">
        <v>80</v>
      </c>
      <c r="F132" s="220">
        <f>B132*D132</f>
        <v>0.25</v>
      </c>
      <c r="G132" s="186" t="s">
        <v>346</v>
      </c>
      <c r="H132" s="185"/>
      <c r="I132" s="188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4"/>
      <c r="V132" s="184"/>
      <c r="W132" s="184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C132" s="185"/>
      <c r="BD132" s="185"/>
      <c r="BE132" s="185"/>
      <c r="BF132" s="185"/>
      <c r="BG132" s="185"/>
      <c r="BH132" s="185"/>
      <c r="BI132" s="185"/>
      <c r="BJ132" s="185"/>
      <c r="BK132" s="185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185"/>
      <c r="BW132" s="185"/>
      <c r="BX132" s="185"/>
      <c r="BY132" s="185"/>
      <c r="BZ132" s="185"/>
      <c r="CA132" s="185"/>
      <c r="CB132" s="185"/>
      <c r="CC132" s="185"/>
      <c r="CD132" s="185"/>
      <c r="CE132" s="185"/>
      <c r="CF132" s="185"/>
      <c r="CG132" s="185"/>
      <c r="CH132" s="185"/>
      <c r="CI132" s="185"/>
      <c r="CJ132" s="185"/>
      <c r="CK132" s="185"/>
      <c r="CL132" s="185"/>
      <c r="CM132" s="185"/>
      <c r="CN132" s="185"/>
      <c r="CO132" s="185"/>
      <c r="CP132" s="185"/>
      <c r="CQ132" s="185"/>
      <c r="CR132" s="185"/>
      <c r="CS132" s="185"/>
      <c r="CT132" s="185"/>
      <c r="CU132" s="185"/>
      <c r="CV132" s="185"/>
      <c r="CW132" s="185"/>
      <c r="CX132" s="185"/>
      <c r="CY132" s="185"/>
      <c r="CZ132" s="185"/>
      <c r="DA132" s="185"/>
      <c r="DB132" s="185"/>
      <c r="DC132" s="185"/>
      <c r="DD132" s="185"/>
      <c r="DE132" s="185"/>
      <c r="DF132" s="185"/>
    </row>
    <row r="133" spans="1:110">
      <c r="A133" s="185"/>
      <c r="B133" s="192">
        <v>1</v>
      </c>
      <c r="C133" s="191" t="s">
        <v>120</v>
      </c>
      <c r="D133" s="212">
        <v>0</v>
      </c>
      <c r="E133" s="189"/>
      <c r="F133" s="190">
        <f>B133*D133</f>
        <v>0</v>
      </c>
      <c r="G133" s="186" t="s">
        <v>343</v>
      </c>
      <c r="H133" s="185"/>
      <c r="I133" s="188"/>
      <c r="J133" s="186"/>
      <c r="K133" s="185"/>
      <c r="L133" s="185"/>
      <c r="M133" s="185"/>
      <c r="N133" s="185"/>
      <c r="O133" s="185"/>
      <c r="P133" s="185"/>
      <c r="Q133" s="185"/>
      <c r="R133" s="10"/>
      <c r="S133" s="10"/>
      <c r="T133" s="10"/>
      <c r="U133" s="8"/>
      <c r="V133" s="8"/>
      <c r="W133" s="8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</row>
    <row r="134" spans="1:110">
      <c r="A134" s="10"/>
      <c r="B134" s="152">
        <v>1</v>
      </c>
      <c r="C134" s="126" t="s">
        <v>53</v>
      </c>
      <c r="D134" s="211">
        <v>0.05</v>
      </c>
      <c r="E134" s="52"/>
      <c r="F134" s="68">
        <f t="shared" ref="F134:F135" si="33">B134*D134</f>
        <v>0.05</v>
      </c>
      <c r="H134" s="10"/>
      <c r="I134" s="3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</row>
    <row r="135" spans="1:110">
      <c r="A135" s="10"/>
      <c r="B135" s="152">
        <v>1</v>
      </c>
      <c r="C135" s="126" t="s">
        <v>121</v>
      </c>
      <c r="D135" s="211">
        <v>0.25</v>
      </c>
      <c r="E135" s="52"/>
      <c r="F135" s="68">
        <f t="shared" si="33"/>
        <v>0.25</v>
      </c>
      <c r="H135" s="10"/>
      <c r="I135" s="33"/>
      <c r="K135" s="10"/>
      <c r="L135" s="10"/>
      <c r="M135" s="10"/>
      <c r="N135" s="10"/>
      <c r="O135" s="10"/>
      <c r="P135" s="10"/>
      <c r="Q135" s="10"/>
      <c r="R135" s="8"/>
      <c r="S135" s="8"/>
      <c r="T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</row>
    <row r="136" spans="1:110" ht="16" thickBot="1">
      <c r="A136" s="8"/>
      <c r="B136" s="152">
        <v>2</v>
      </c>
      <c r="C136" s="126" t="s">
        <v>18</v>
      </c>
      <c r="D136" s="211">
        <v>0.02</v>
      </c>
      <c r="E136" s="51"/>
      <c r="F136" s="68">
        <f>B136*D136</f>
        <v>0.04</v>
      </c>
      <c r="H136" s="8"/>
      <c r="I136" s="32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</row>
    <row r="137" spans="1:110" ht="16" thickBot="1">
      <c r="A137" s="8"/>
      <c r="B137" s="8"/>
      <c r="C137" s="8"/>
      <c r="D137" s="8"/>
      <c r="E137" s="149" t="s">
        <v>99</v>
      </c>
      <c r="F137" s="216">
        <f>SUM(F130:F136)</f>
        <v>1.4691666666666667</v>
      </c>
      <c r="H137" s="8"/>
      <c r="K137" s="12"/>
      <c r="L137" s="12"/>
      <c r="M137" s="4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</row>
    <row r="138" spans="1:110" ht="16" thickBot="1">
      <c r="A138" s="8"/>
      <c r="B138" s="8"/>
      <c r="C138" s="8"/>
      <c r="D138" s="8"/>
      <c r="E138" s="149" t="s">
        <v>100</v>
      </c>
      <c r="F138" s="216">
        <f>0</f>
        <v>0</v>
      </c>
      <c r="H138" s="8"/>
      <c r="K138" s="12"/>
      <c r="L138" s="12"/>
      <c r="M138" s="4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</row>
    <row r="139" spans="1:110" ht="16" thickBot="1">
      <c r="A139" s="8"/>
      <c r="B139" s="8"/>
      <c r="C139" s="8"/>
      <c r="D139" s="8"/>
      <c r="E139" s="149" t="s">
        <v>101</v>
      </c>
      <c r="F139" s="150">
        <f>F137+F138</f>
        <v>1.4691666666666667</v>
      </c>
      <c r="H139" s="8"/>
      <c r="K139" s="12"/>
      <c r="L139" s="12"/>
      <c r="M139" s="4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</row>
    <row r="140" spans="1:110" ht="16" thickBot="1">
      <c r="A140" s="8"/>
      <c r="B140" s="8"/>
      <c r="C140" s="8"/>
      <c r="D140" s="8"/>
      <c r="E140" s="8"/>
      <c r="F140" s="8"/>
      <c r="H140" s="8"/>
      <c r="K140" s="12"/>
      <c r="L140" s="12"/>
      <c r="M140" s="4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</row>
    <row r="141" spans="1:110" ht="16" thickBot="1">
      <c r="A141" s="8"/>
      <c r="B141" s="8"/>
      <c r="C141" s="9"/>
      <c r="D141" s="9"/>
      <c r="E141" s="53" t="s">
        <v>19</v>
      </c>
      <c r="F141" s="54">
        <v>0.4</v>
      </c>
      <c r="H141" s="8"/>
      <c r="K141" s="12"/>
      <c r="L141" s="12"/>
      <c r="M141" s="47"/>
      <c r="N141" s="8"/>
      <c r="O141" s="8"/>
      <c r="P141" s="8"/>
      <c r="Q141" s="8"/>
      <c r="U141" s="8"/>
      <c r="V141" s="8"/>
      <c r="W141" s="8"/>
    </row>
    <row r="143" spans="1:110" ht="16" thickBot="1">
      <c r="U143"/>
      <c r="V143"/>
      <c r="W143"/>
    </row>
    <row r="144" spans="1:110">
      <c r="C144" s="95" t="s">
        <v>37</v>
      </c>
      <c r="D144" s="96" t="s">
        <v>20</v>
      </c>
      <c r="U144"/>
      <c r="V144"/>
      <c r="W144"/>
    </row>
    <row r="145" spans="1:23">
      <c r="C145" s="97" t="s">
        <v>69</v>
      </c>
      <c r="D145" s="98">
        <v>1</v>
      </c>
      <c r="U145"/>
      <c r="V145"/>
      <c r="W145"/>
    </row>
    <row r="146" spans="1:23">
      <c r="C146" s="97" t="s">
        <v>70</v>
      </c>
      <c r="D146" s="99"/>
      <c r="U146"/>
      <c r="V146"/>
      <c r="W146"/>
    </row>
    <row r="147" spans="1:23">
      <c r="C147" s="97" t="s">
        <v>21</v>
      </c>
      <c r="D147" s="100">
        <v>0.15</v>
      </c>
      <c r="U147"/>
      <c r="V147"/>
      <c r="W147"/>
    </row>
    <row r="148" spans="1:23">
      <c r="C148" s="97" t="s">
        <v>71</v>
      </c>
      <c r="D148" s="100">
        <v>0.08</v>
      </c>
      <c r="U148"/>
      <c r="V148"/>
      <c r="W148"/>
    </row>
    <row r="149" spans="1:23" ht="16" thickBot="1">
      <c r="C149" s="101" t="s">
        <v>72</v>
      </c>
      <c r="D149" s="102"/>
      <c r="U149"/>
      <c r="V149"/>
      <c r="W149"/>
    </row>
    <row r="150" spans="1:23">
      <c r="C150" s="103" t="s">
        <v>35</v>
      </c>
      <c r="D150" s="104">
        <f>AA23+H37+F139</f>
        <v>2.5126389487844021</v>
      </c>
      <c r="E150" s="145"/>
      <c r="U150"/>
      <c r="V150"/>
      <c r="W150"/>
    </row>
    <row r="151" spans="1:23" customFormat="1">
      <c r="A151" s="13"/>
      <c r="B151" s="43"/>
      <c r="C151" s="101" t="s">
        <v>73</v>
      </c>
      <c r="D151" s="105">
        <f>O121</f>
        <v>5.5908399999999929</v>
      </c>
      <c r="E151" s="12"/>
      <c r="F151" s="1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23" customFormat="1">
      <c r="C152" s="101" t="s">
        <v>74</v>
      </c>
      <c r="D152" s="105">
        <f>P121</f>
        <v>14.26</v>
      </c>
      <c r="E152" s="142"/>
      <c r="F152" s="71"/>
      <c r="G152" s="13"/>
      <c r="H152" s="13"/>
    </row>
    <row r="153" spans="1:23" customFormat="1" ht="16" thickBot="1">
      <c r="C153" s="143" t="s">
        <v>75</v>
      </c>
      <c r="D153" s="144">
        <v>0</v>
      </c>
      <c r="E153" s="5"/>
      <c r="F153" s="72"/>
      <c r="G153" s="13"/>
      <c r="H153" s="13"/>
      <c r="I153" s="73"/>
      <c r="J153" s="74"/>
      <c r="K153" s="74"/>
      <c r="L153" s="74"/>
      <c r="M153" s="75"/>
    </row>
    <row r="154" spans="1:23" customFormat="1">
      <c r="C154" s="108" t="s">
        <v>76</v>
      </c>
      <c r="D154" s="109">
        <f>SUM(D150:D153)</f>
        <v>22.363478948784397</v>
      </c>
      <c r="E154" s="12"/>
      <c r="F154" s="92"/>
      <c r="G154" s="13"/>
      <c r="H154" s="13"/>
      <c r="I154" s="74"/>
      <c r="J154" s="74"/>
      <c r="M154" s="77"/>
    </row>
    <row r="155" spans="1:23" customFormat="1" ht="16" thickBot="1">
      <c r="C155" s="106" t="s">
        <v>36</v>
      </c>
      <c r="D155" s="107">
        <f>C125+F141</f>
        <v>5.9</v>
      </c>
      <c r="E155" s="18"/>
      <c r="F155" s="93"/>
      <c r="G155" s="34"/>
      <c r="H155" s="13"/>
      <c r="I155" s="80"/>
      <c r="J155" s="74"/>
      <c r="M155" s="77"/>
      <c r="U155" s="91"/>
      <c r="V155" s="86"/>
      <c r="W155" s="86"/>
    </row>
    <row r="156" spans="1:23" customFormat="1">
      <c r="C156" s="110" t="s">
        <v>33</v>
      </c>
      <c r="D156" s="111">
        <f>D147*(D150+D151+D155)+D148*D152+D149*D153</f>
        <v>3.2413218423176593</v>
      </c>
      <c r="E156" s="18"/>
      <c r="F156" s="94"/>
      <c r="G156" s="34"/>
      <c r="H156" s="13"/>
      <c r="I156" s="81"/>
      <c r="J156" s="81"/>
      <c r="M156" s="74"/>
      <c r="U156" s="13"/>
    </row>
    <row r="157" spans="1:23" customFormat="1" ht="16" thickBot="1">
      <c r="C157" s="106" t="s">
        <v>34</v>
      </c>
      <c r="D157" s="107">
        <f>D154+D155+D156</f>
        <v>31.504800791102056</v>
      </c>
      <c r="E157" s="18"/>
      <c r="F157" s="74"/>
      <c r="G157" s="13"/>
      <c r="H157" s="13"/>
      <c r="I157" s="81"/>
      <c r="J157" s="81"/>
      <c r="K157" s="82"/>
      <c r="L157" s="74"/>
      <c r="M157" s="74"/>
      <c r="U157" s="13"/>
    </row>
    <row r="158" spans="1:23" customFormat="1" ht="19" thickBot="1">
      <c r="E158" s="18"/>
      <c r="F158" s="74"/>
      <c r="G158" s="13"/>
      <c r="H158" s="13"/>
      <c r="I158" s="81"/>
      <c r="J158" s="81"/>
      <c r="K158" s="74"/>
      <c r="L158" s="74"/>
      <c r="M158" s="83"/>
      <c r="U158" s="13"/>
    </row>
    <row r="159" spans="1:23" customFormat="1">
      <c r="C159" s="112" t="s">
        <v>77</v>
      </c>
      <c r="D159" s="113" t="s">
        <v>20</v>
      </c>
      <c r="E159" s="18"/>
      <c r="F159" s="76"/>
      <c r="G159" s="13"/>
      <c r="H159" s="13"/>
      <c r="I159" s="81"/>
      <c r="J159" s="76"/>
      <c r="K159" s="74"/>
      <c r="L159" s="80"/>
      <c r="M159" s="74"/>
      <c r="U159" s="13"/>
    </row>
    <row r="160" spans="1:23" customFormat="1">
      <c r="C160" s="114" t="s">
        <v>78</v>
      </c>
      <c r="D160" s="115"/>
      <c r="E160" s="18"/>
      <c r="F160" s="76"/>
      <c r="G160" s="13"/>
      <c r="H160" s="13"/>
      <c r="I160" s="81"/>
      <c r="J160" s="76"/>
      <c r="K160" s="74"/>
      <c r="L160" s="74"/>
      <c r="M160" s="74"/>
      <c r="U160" s="13"/>
    </row>
    <row r="161" spans="1:23" customFormat="1">
      <c r="C161" s="114" t="s">
        <v>79</v>
      </c>
      <c r="D161" s="115"/>
      <c r="E161" s="18"/>
      <c r="F161" s="76"/>
      <c r="G161" s="13"/>
      <c r="H161" s="13"/>
      <c r="I161" s="81"/>
      <c r="J161" s="76"/>
      <c r="K161" s="74"/>
      <c r="L161" s="74"/>
      <c r="M161" s="74"/>
      <c r="U161" s="13"/>
    </row>
    <row r="162" spans="1:23" customFormat="1">
      <c r="C162" s="114" t="s">
        <v>80</v>
      </c>
      <c r="D162" s="115"/>
      <c r="E162" s="18"/>
      <c r="F162" s="84"/>
      <c r="G162" s="13"/>
      <c r="H162" s="13"/>
      <c r="I162" s="85"/>
      <c r="J162" s="84"/>
      <c r="K162" s="74"/>
      <c r="L162" s="84"/>
      <c r="M162" s="74"/>
      <c r="U162" s="13"/>
    </row>
    <row r="163" spans="1:23" s="86" customFormat="1" ht="16" thickBot="1">
      <c r="A163"/>
      <c r="B163"/>
      <c r="C163" s="116" t="s">
        <v>81</v>
      </c>
      <c r="D163" s="117"/>
      <c r="E163" s="18"/>
      <c r="F163" s="71"/>
      <c r="G163" s="13"/>
      <c r="H163" s="13"/>
      <c r="I163"/>
      <c r="J163"/>
      <c r="K163"/>
      <c r="L163"/>
      <c r="M163"/>
      <c r="N163"/>
      <c r="O163"/>
      <c r="P163"/>
      <c r="Q163"/>
      <c r="R163" s="88"/>
      <c r="S163" s="89"/>
      <c r="T163" s="90"/>
      <c r="U163" s="13"/>
      <c r="V163"/>
      <c r="W163"/>
    </row>
    <row r="164" spans="1:23" customFormat="1" ht="16" thickBot="1">
      <c r="A164" s="86"/>
      <c r="B164" s="86"/>
      <c r="E164" s="86"/>
      <c r="F164" s="86"/>
      <c r="G164" s="86"/>
      <c r="H164" s="86"/>
      <c r="I164" s="86"/>
      <c r="J164" s="86"/>
      <c r="K164" s="86"/>
      <c r="L164" s="86"/>
      <c r="M164" s="86"/>
      <c r="N164" s="87"/>
      <c r="O164" s="86"/>
      <c r="P164" s="86"/>
      <c r="Q164" s="86"/>
      <c r="R164" s="13"/>
      <c r="S164" s="13"/>
      <c r="T164" s="13"/>
      <c r="U164" s="13"/>
    </row>
    <row r="165" spans="1:23" customFormat="1">
      <c r="B165" s="43"/>
      <c r="C165" s="112" t="s">
        <v>82</v>
      </c>
      <c r="D165" s="113" t="s">
        <v>20</v>
      </c>
      <c r="E165" s="18"/>
      <c r="F165" s="18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3" customFormat="1">
      <c r="B166" s="43"/>
      <c r="C166" s="114" t="s">
        <v>83</v>
      </c>
      <c r="D166" s="118">
        <f>$D$157+D160</f>
        <v>31.504800791102056</v>
      </c>
      <c r="E166" s="18"/>
      <c r="F166" s="18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3" customFormat="1">
      <c r="B167" s="43"/>
      <c r="C167" s="114" t="s">
        <v>84</v>
      </c>
      <c r="D167" s="118">
        <f t="shared" ref="D167:D169" si="34">$D$157+D161</f>
        <v>31.504800791102056</v>
      </c>
      <c r="E167" s="18"/>
      <c r="F167" s="18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3" customFormat="1">
      <c r="B168" s="43"/>
      <c r="C168" s="114" t="s">
        <v>85</v>
      </c>
      <c r="D168" s="118">
        <f t="shared" si="34"/>
        <v>31.504800791102056</v>
      </c>
      <c r="E168" s="18"/>
      <c r="F168" s="18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3" customFormat="1" ht="16" thickBot="1">
      <c r="B169" s="43"/>
      <c r="C169" s="116" t="s">
        <v>86</v>
      </c>
      <c r="D169" s="119">
        <f t="shared" si="34"/>
        <v>31.504800791102056</v>
      </c>
      <c r="E169" s="18"/>
      <c r="F169" s="18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3" customFormat="1">
      <c r="B170" s="43"/>
      <c r="C170" s="18"/>
      <c r="D170" s="18"/>
      <c r="E170" s="18"/>
      <c r="F170" s="18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3" customFormat="1" ht="16" thickBot="1">
      <c r="B171" s="43"/>
      <c r="C171" s="18"/>
      <c r="D171" s="18"/>
      <c r="E171" s="18"/>
      <c r="F171" s="18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customFormat="1" ht="16" thickBot="1">
      <c r="B172" s="43"/>
      <c r="C172" s="141" t="s">
        <v>97</v>
      </c>
      <c r="D172" s="140">
        <f>B23+SUM(E130:E136)</f>
        <v>20107</v>
      </c>
      <c r="E172" s="146"/>
      <c r="F172" s="18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customFormat="1">
      <c r="B173" s="43"/>
      <c r="C173" s="18"/>
      <c r="D173" s="18"/>
      <c r="E173" s="18"/>
      <c r="F173" s="18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customFormat="1">
      <c r="B174" s="43"/>
      <c r="C174" s="18"/>
      <c r="D174" s="18"/>
      <c r="E174" s="18"/>
      <c r="F174" s="18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customFormat="1">
      <c r="B175" s="43"/>
      <c r="C175" s="18"/>
      <c r="D175" s="18"/>
      <c r="E175" s="18"/>
      <c r="F175" s="18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customFormat="1">
      <c r="B176" s="43"/>
      <c r="C176" s="18"/>
      <c r="D176" s="18"/>
      <c r="E176" s="18"/>
      <c r="F176" s="18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customFormat="1">
      <c r="B177" s="43"/>
      <c r="C177" s="18"/>
      <c r="D177" s="18"/>
      <c r="E177" s="18"/>
      <c r="F177" s="18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customFormat="1">
      <c r="B178" s="43"/>
      <c r="C178" s="18"/>
      <c r="D178" s="18"/>
      <c r="E178" s="18"/>
      <c r="F178" s="18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>
      <c r="A179"/>
    </row>
    <row r="180" spans="1:23">
      <c r="B180" s="13"/>
      <c r="C180" s="13"/>
      <c r="D180" s="13"/>
      <c r="E180" s="13"/>
      <c r="F180" s="13"/>
    </row>
  </sheetData>
  <mergeCells count="22">
    <mergeCell ref="X19:X20"/>
    <mergeCell ref="Y19:Y20"/>
    <mergeCell ref="Z19:Z20"/>
    <mergeCell ref="AA19:AA20"/>
    <mergeCell ref="AB19:AB20"/>
    <mergeCell ref="S19:S20"/>
    <mergeCell ref="T19:T20"/>
    <mergeCell ref="U19:U20"/>
    <mergeCell ref="V19:V20"/>
    <mergeCell ref="W19:W20"/>
    <mergeCell ref="N19:N20"/>
    <mergeCell ref="O19:O20"/>
    <mergeCell ref="P19:P20"/>
    <mergeCell ref="Q19:Q20"/>
    <mergeCell ref="R19:R20"/>
    <mergeCell ref="C6:E6"/>
    <mergeCell ref="C7:E7"/>
    <mergeCell ref="C8:E8"/>
    <mergeCell ref="B19:B20"/>
    <mergeCell ref="I19:I20"/>
    <mergeCell ref="H19:H20"/>
    <mergeCell ref="G19:G20"/>
  </mergeCells>
  <hyperlinks>
    <hyperlink ref="C8" r:id="rId1"/>
  </hyperlinks>
  <printOptions horizontalCentered="1" verticalCentered="1"/>
  <pageMargins left="0.25" right="0.25" top="0.25" bottom="0.25" header="0.3" footer="0.3"/>
  <pageSetup paperSize="9" scale="45" orientation="portrait"/>
  <headerFooter alignWithMargins="0">
    <oddFooter>Page &amp;P of &amp;N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Lightolier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Kuchar</dc:creator>
  <cp:lastModifiedBy>Zach Supalla</cp:lastModifiedBy>
  <cp:lastPrinted>2011-01-27T22:42:32Z</cp:lastPrinted>
  <dcterms:created xsi:type="dcterms:W3CDTF">1999-09-03T19:31:45Z</dcterms:created>
  <dcterms:modified xsi:type="dcterms:W3CDTF">2013-03-25T04:23:30Z</dcterms:modified>
</cp:coreProperties>
</file>