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7795" windowHeight="12075" activeTab="4"/>
  </bookViews>
  <sheets>
    <sheet name="Current Infrastructure Cost" sheetId="2" r:id="rId1"/>
    <sheet name="Current Variables" sheetId="1" r:id="rId2"/>
    <sheet name="Projected Virtualization Cost" sheetId="3" r:id="rId3"/>
    <sheet name="Virtualization Variables" sheetId="5" r:id="rId4"/>
    <sheet name="Summary" sheetId="4" r:id="rId5"/>
  </sheets>
  <definedNames>
    <definedName name="amntServersGroup1">'Virtualization Variables'!$B$6</definedName>
    <definedName name="amntServersGroup2">'Virtualization Variables'!$B$7</definedName>
    <definedName name="amntServersGroup3">'Virtualization Variables'!$B$8</definedName>
    <definedName name="maintainCostPerYearIncrease">'Current Variables'!$B$32</definedName>
    <definedName name="maintainCostYear1Group1A">'Current Variables'!$B$27</definedName>
    <definedName name="maintainCostYear1Group1B">'Current Variables'!$B$28</definedName>
    <definedName name="maintainCostYear1Group2">'Current Variables'!$B$29</definedName>
    <definedName name="maintainCostYear1Group3A">'Current Variables'!$B$30</definedName>
    <definedName name="maintainCostYear1Group3B">'Current Variables'!$B$31</definedName>
    <definedName name="numServersGroup1A">'Current Variables'!$B$3</definedName>
    <definedName name="numServersGroup1B">'Current Variables'!$B$4</definedName>
    <definedName name="numServersGroup2">'Current Variables'!$B$5</definedName>
    <definedName name="numServersGroup3A">'Current Variables'!$B$6</definedName>
    <definedName name="numServersGroup3B">'Current Variables'!$B$7</definedName>
    <definedName name="servAdminCostIncreasePerYear">'Current Variables'!$B$39</definedName>
    <definedName name="servAdminCostPerAdminWeek">'Current Variables'!$B$39</definedName>
    <definedName name="servAdminCostPerVirtualWeek">'Virtualization Variables'!$B$31</definedName>
    <definedName name="servAdminCostVirtualYear1Group1">'Virtualization Variables'!$B$32</definedName>
    <definedName name="servAdminCostVirtualYear1Group2">'Virtualization Variables'!$B$33</definedName>
    <definedName name="servAdminCostVirtualYear1Group3">'Virtualization Variables'!$B$34</definedName>
    <definedName name="servAdminCostVirutalIncrease">'Virtualization Variables'!$B$35</definedName>
    <definedName name="servAdminCostVirutalIncreaseYear2">'Virtualization Variables'!$B$35</definedName>
    <definedName name="servAdminCostVirutalIncreaseYear3">'Virtualization Variables'!$B$36</definedName>
    <definedName name="servAdminCostVirutalIncreaseYear4">'Virtualization Variables'!$B$37</definedName>
    <definedName name="servAdminCostVirutalIncreaseYear5">'Virtualization Variables'!$B$38</definedName>
    <definedName name="servAdminCostYear1Group1A">'Current Variables'!$B$34</definedName>
    <definedName name="servAdminCostYear1Group1B">'Current Variables'!$B$35</definedName>
    <definedName name="servAdminCostYear1Group2">'Current Variables'!$B$36</definedName>
    <definedName name="servAdminCostYear1Group3A">'Current Variables'!$B$37</definedName>
    <definedName name="servAdminCostYear1Group3B">'Current Variables'!$B$38</definedName>
    <definedName name="servBackUpCopiesYear1">'Current Variables'!$B$48</definedName>
    <definedName name="servBackUpCopiesYear3">'Current Variables'!$B$49</definedName>
    <definedName name="servBackUpCostVirtualYear1Group1">'Virtualization Variables'!$B$40</definedName>
    <definedName name="servBackUpCostVirtualYear1Group2">'Virtualization Variables'!$B$41</definedName>
    <definedName name="servBackUpCostVirtualYear1Group3">'Virtualization Variables'!$B$42</definedName>
    <definedName name="servBackUpCostYearlyGroup1A">'Current Variables'!$B$41</definedName>
    <definedName name="servBackUpCostYearlyGroup1B">'Current Variables'!$B$42</definedName>
    <definedName name="servBackUpCostYearlyGroup2">'Current Variables'!$B$43</definedName>
    <definedName name="servBackUpCostYearlyGroup3A">'Current Variables'!$B$44</definedName>
    <definedName name="servBackUpCostYearlyGroup3B">'Current Variables'!$B$45</definedName>
    <definedName name="servG1SecurityAuditsPerYear">'Current Variables'!$B$47</definedName>
    <definedName name="servLoadAvgGroup1A">'Current Variables'!$B$21</definedName>
    <definedName name="servLoadAvgGroup1B">'Current Variables'!$B$22</definedName>
    <definedName name="servLoadAvgGroup2">'Current Variables'!$B$23</definedName>
    <definedName name="servLoadAvgGroup3A">'Current Variables'!$B$24</definedName>
    <definedName name="servLoadAvgGroup3B">'Current Variables'!$B$25</definedName>
    <definedName name="servLoadAvgVirtualGroup1">'Virtualization Variables'!$B$27</definedName>
    <definedName name="servLoadAvgVirtualGroup2">'Virtualization Variables'!$B$28</definedName>
    <definedName name="servLoadAvgVirtualGroup3">'Virtualization Variables'!$B$29</definedName>
    <definedName name="servMaintenanceCostIncrease">'Virtualization Variables'!$B$18</definedName>
    <definedName name="servMaintenanceCostYear2">'Virtualization Variables'!$B$18</definedName>
    <definedName name="servMaintenanceCostYear3">'Virtualization Variables'!$B$19</definedName>
    <definedName name="servMaintenanceCostYear4">'Virtualization Variables'!$B$20</definedName>
    <definedName name="servMaintenanceCostYear5">'Virtualization Variables'!$B$21</definedName>
    <definedName name="servMaintenanceYear1Group1">'Virtualization Variables'!$B$15</definedName>
    <definedName name="servMaintenanceYear1Group2">'Virtualization Variables'!$B$16</definedName>
    <definedName name="servMaintenanceYear1Group3">'Virtualization Variables'!$B$17</definedName>
    <definedName name="servPowerGroup1A">'Current Variables'!$B$9</definedName>
    <definedName name="servPowerGroup1B">'Current Variables'!$B$10</definedName>
    <definedName name="servPowerGroup2">'Current Variables'!$B$11</definedName>
    <definedName name="servPowerGroup3A">'Current Variables'!$B$12</definedName>
    <definedName name="servPowerGroup3B">'Current Variables'!$B$13</definedName>
    <definedName name="servPowerSumOfGroups">'Current Variables'!$C$9:$C$13</definedName>
    <definedName name="servPowerVirtualGroup1">'Virtualization Variables'!$B$23</definedName>
    <definedName name="servPowerVirtualGroup2">'Virtualization Variables'!$B$24</definedName>
    <definedName name="servPowerVirtualGroup3">'Virtualization Variables'!$B$25</definedName>
    <definedName name="servPriceGroup1">'Virtualization Variables'!$B$10</definedName>
    <definedName name="servPriceGroup2">'Virtualization Variables'!$B$11</definedName>
    <definedName name="servPriceGroup3">'Virtualization Variables'!$B$12</definedName>
    <definedName name="servPriceGroupTotal">'Virtualization Variables'!$B$13</definedName>
    <definedName name="servPricePerkwH">'Current Variables'!$B$15</definedName>
    <definedName name="servPricePerkwHYear1">'Current Variables'!$B$15</definedName>
    <definedName name="servPricePerkwHYear2">'Current Variables'!$B$16</definedName>
    <definedName name="servPricePerkwHYear3">'Current Variables'!$B$17</definedName>
    <definedName name="servPricePerkwHYear4">'Current Variables'!$B$18</definedName>
    <definedName name="servPricePerkwHYear5">'Current Variables'!$B$19</definedName>
    <definedName name="softwarePurchaseVMware">'Virtualization Variables'!$B$3</definedName>
    <definedName name="softwarePurchaseVMwareMaintenance">'Virtualization Variables'!$B$4</definedName>
    <definedName name="trainingPerEmployeeYear1">'Virtualization Variables'!$B$44</definedName>
    <definedName name="trainingPerEmployeeYear3">'Virtualization Variables'!$B$45</definedName>
  </definedNames>
  <calcPr calcId="144525"/>
</workbook>
</file>

<file path=xl/calcChain.xml><?xml version="1.0" encoding="utf-8"?>
<calcChain xmlns="http://schemas.openxmlformats.org/spreadsheetml/2006/main">
  <c r="B18" i="4" l="1"/>
  <c r="C15" i="4"/>
  <c r="C13" i="4"/>
  <c r="C6" i="4"/>
  <c r="B17" i="4" s="1"/>
  <c r="C8" i="4"/>
  <c r="B19" i="4" s="1"/>
  <c r="C26" i="3"/>
  <c r="D26" i="3"/>
  <c r="E26" i="3"/>
  <c r="F26" i="3"/>
  <c r="B26" i="3"/>
  <c r="B24" i="3" l="1"/>
  <c r="C23" i="3"/>
  <c r="D23" i="3"/>
  <c r="E23" i="3"/>
  <c r="F23" i="3"/>
  <c r="B23" i="3"/>
  <c r="F21" i="3"/>
  <c r="E21" i="3"/>
  <c r="D21" i="3"/>
  <c r="C21" i="3"/>
  <c r="B21" i="3"/>
  <c r="F20" i="3"/>
  <c r="E20" i="3"/>
  <c r="D20" i="3"/>
  <c r="C20" i="3"/>
  <c r="B20" i="3"/>
  <c r="E12" i="3"/>
  <c r="F12" i="3"/>
  <c r="D12" i="3"/>
  <c r="C12" i="3"/>
  <c r="B12" i="3"/>
  <c r="E11" i="3"/>
  <c r="F11" i="3"/>
  <c r="D11" i="3"/>
  <c r="C11" i="3"/>
  <c r="B11" i="3"/>
  <c r="C10" i="3"/>
  <c r="F10" i="3"/>
  <c r="E10" i="3"/>
  <c r="D10" i="3"/>
  <c r="B10" i="3"/>
  <c r="F9" i="3"/>
  <c r="E9" i="3"/>
  <c r="D9" i="3"/>
  <c r="C9" i="3"/>
  <c r="B9" i="3"/>
  <c r="D8" i="3"/>
  <c r="E8" i="3"/>
  <c r="E14" i="3" s="1"/>
  <c r="F8" i="3"/>
  <c r="C8" i="3"/>
  <c r="B7" i="3"/>
  <c r="B12" i="5"/>
  <c r="B11" i="5"/>
  <c r="B10" i="5"/>
  <c r="D14" i="3" l="1"/>
  <c r="F14" i="3"/>
  <c r="C14" i="3"/>
  <c r="B13" i="5"/>
  <c r="B6" i="3" s="1"/>
  <c r="B14" i="3" s="1"/>
  <c r="B15" i="3" s="1"/>
  <c r="C22" i="2"/>
  <c r="D22" i="2"/>
  <c r="E22" i="2"/>
  <c r="F22" i="2"/>
  <c r="B22" i="2"/>
  <c r="B20" i="2"/>
  <c r="C19" i="2"/>
  <c r="D19" i="2"/>
  <c r="E19" i="2"/>
  <c r="F19" i="2"/>
  <c r="B19" i="2"/>
  <c r="F17" i="2"/>
  <c r="E17" i="2"/>
  <c r="D17" i="2"/>
  <c r="C17" i="2"/>
  <c r="B17" i="2"/>
  <c r="F16" i="2"/>
  <c r="E16" i="2"/>
  <c r="D16" i="2"/>
  <c r="C16" i="2"/>
  <c r="B16" i="2"/>
  <c r="B11" i="2"/>
  <c r="C10" i="2"/>
  <c r="D10" i="2"/>
  <c r="E10" i="2"/>
  <c r="F10" i="2"/>
  <c r="B10" i="2"/>
  <c r="E8" i="2"/>
  <c r="F8" i="2"/>
  <c r="D8" i="2"/>
  <c r="C8" i="2"/>
  <c r="B8" i="2"/>
  <c r="F7" i="2"/>
  <c r="E7" i="2"/>
  <c r="D7" i="2"/>
  <c r="C7" i="2"/>
  <c r="B7" i="2"/>
  <c r="B6" i="2"/>
  <c r="F6" i="2"/>
  <c r="E6" i="2"/>
  <c r="D6" i="2"/>
  <c r="C6" i="2"/>
</calcChain>
</file>

<file path=xl/sharedStrings.xml><?xml version="1.0" encoding="utf-8"?>
<sst xmlns="http://schemas.openxmlformats.org/spreadsheetml/2006/main" count="273" uniqueCount="209">
  <si>
    <t>Hard Costs</t>
  </si>
  <si>
    <t>Value</t>
  </si>
  <si>
    <t>Variable Name</t>
  </si>
  <si>
    <t>Variable Description</t>
  </si>
  <si>
    <t>Group 1A has 15 servers using 3000W each</t>
  </si>
  <si>
    <t>Group1B has 5 servers using 3200W each</t>
  </si>
  <si>
    <t>Group 2 has 10 servers using 2800W each</t>
  </si>
  <si>
    <t>Group 3A has 8 servers using 3000W each</t>
  </si>
  <si>
    <t>Group 3B has 2 servers using 2800W each</t>
  </si>
  <si>
    <t>Power of 15 3000W servers in group one</t>
  </si>
  <si>
    <t>Power of 5 3200W servers in group one</t>
  </si>
  <si>
    <t>Power of 10 2800W servers in group two</t>
  </si>
  <si>
    <t>Power of 8 3000W servers in group three</t>
  </si>
  <si>
    <t>Power of 2 2800W servers in group three</t>
  </si>
  <si>
    <t>Average load of 15 3000W servers in group one (65%)</t>
  </si>
  <si>
    <t>Average load of 5 3200W servers in group one (45%)</t>
  </si>
  <si>
    <t>Average load of 10 2800W servers in group two (15%)</t>
  </si>
  <si>
    <t>Average load of 8 3000W servers in group 3 (8%)</t>
  </si>
  <si>
    <t>Average load of 2 2800W servers in group 3 (8%)</t>
  </si>
  <si>
    <t>maintainCostYear1Group1A</t>
  </si>
  <si>
    <t>maintainCostYear1Group1B</t>
  </si>
  <si>
    <t>maintainCostYear1Group2</t>
  </si>
  <si>
    <t>maintainCostYear1Group3A</t>
  </si>
  <si>
    <t>maintainCostYear1Group3B</t>
  </si>
  <si>
    <t>Cost to maintain contract at year one - 3000W servers in group one</t>
  </si>
  <si>
    <t>Cost to maintain contract at year one - 3200W servers in group one</t>
  </si>
  <si>
    <t>Cost to maintain contract at year one - 2800W servers in group two</t>
  </si>
  <si>
    <t>Cost to maintain contract at year one - 3000W servers in group three</t>
  </si>
  <si>
    <t>Cost to maintain contract at year one - 2800W servers in group three</t>
  </si>
  <si>
    <t>servLoadAvgGroup1A</t>
  </si>
  <si>
    <t>servLoadAvgGroup1B</t>
  </si>
  <si>
    <t>servLoadAvgGroup2</t>
  </si>
  <si>
    <t>servLoadAvgGroup3A</t>
  </si>
  <si>
    <t>servLoadAvgGroup3B</t>
  </si>
  <si>
    <t>numServersGroup1A</t>
  </si>
  <si>
    <t>numServersGroup1B</t>
  </si>
  <si>
    <t>numServersGroup2</t>
  </si>
  <si>
    <t>numServersGroup3A</t>
  </si>
  <si>
    <t>numServersGroup3B</t>
  </si>
  <si>
    <t>servPowerGroup1A</t>
  </si>
  <si>
    <t>servPowerGroup1B</t>
  </si>
  <si>
    <t>servPowerGroup2</t>
  </si>
  <si>
    <t>servPowerGroup3A</t>
  </si>
  <si>
    <t>servPowerGroup3B</t>
  </si>
  <si>
    <t>Cost to administer servers at year one - 3000W servers in group one</t>
  </si>
  <si>
    <t>Cost to administer servers at year one - 3200W servers in group one</t>
  </si>
  <si>
    <t>Cost to administer servers at year one - 2800W servers in group two</t>
  </si>
  <si>
    <t>Cost to administer servers at year one - 3000W servers in group three</t>
  </si>
  <si>
    <t>Cost to administer servers at year one - 2800W servers in group three</t>
  </si>
  <si>
    <t>Cost to back up servers yearly - 3000W servers in group one</t>
  </si>
  <si>
    <t>Cost to back up servers yearly - 3200W servers in group one</t>
  </si>
  <si>
    <t>Cost to back up servers yearly - 2800W servers in group two</t>
  </si>
  <si>
    <t>Cost to back up servers yearly - 3000W servers in group three</t>
  </si>
  <si>
    <t>Cost to back up servers yearly - 2800W servers in group three</t>
  </si>
  <si>
    <t>servG1SecurityAuditsPerYear</t>
  </si>
  <si>
    <t>Cost to run security audits on mission critical servers in group one</t>
  </si>
  <si>
    <t>servBackUpCostYearlyGroup1A</t>
  </si>
  <si>
    <t>servBackUpCostYearlyGroup1B</t>
  </si>
  <si>
    <t>servBackUpCostYearlyGroup2</t>
  </si>
  <si>
    <t>servBackUpCostYearlyGroup3A</t>
  </si>
  <si>
    <t>servBackUpCostYearlyGroup3B</t>
  </si>
  <si>
    <t>servAdminCostYear1Group1A</t>
  </si>
  <si>
    <t>servAdminCostYear1Group1B</t>
  </si>
  <si>
    <t>servAdminCostYear1Group2</t>
  </si>
  <si>
    <t>servAdminCostYear1Group3A</t>
  </si>
  <si>
    <t>servAdminCostYear1Group3B</t>
  </si>
  <si>
    <t>servBackUpCopiesYear1</t>
  </si>
  <si>
    <t>Cost to store data with outside company for two years</t>
  </si>
  <si>
    <t>servBackUpCopiesYear3</t>
  </si>
  <si>
    <t>Cost to store data with outside company for remaining three years</t>
  </si>
  <si>
    <t>Current Yearly Costs</t>
  </si>
  <si>
    <t>Category</t>
  </si>
  <si>
    <t>Cost</t>
  </si>
  <si>
    <t>Power</t>
  </si>
  <si>
    <t>Year 1</t>
  </si>
  <si>
    <t>Year 2</t>
  </si>
  <si>
    <t>Year 3</t>
  </si>
  <si>
    <t>Year 4</t>
  </si>
  <si>
    <t>Year 5</t>
  </si>
  <si>
    <t>Server Maintenance</t>
  </si>
  <si>
    <t xml:space="preserve">Outside Services </t>
  </si>
  <si>
    <t>Total Yearly Hard Costs</t>
  </si>
  <si>
    <t>Total Five Year Costs</t>
  </si>
  <si>
    <t>Soft Costs</t>
  </si>
  <si>
    <t>Machine Administration</t>
  </si>
  <si>
    <t>BackUp</t>
  </si>
  <si>
    <t>Total Yearly Soft Costs</t>
  </si>
  <si>
    <t>Total Five Year Soft Costs</t>
  </si>
  <si>
    <t>Total Yearly Current Costs</t>
  </si>
  <si>
    <t>servPricePerkwHYear1</t>
  </si>
  <si>
    <t>Price per kilowatt hour of power for year one</t>
  </si>
  <si>
    <t>Price per kilowatt hour of power for year two</t>
  </si>
  <si>
    <t>Price per kilowatt hour of power for year three</t>
  </si>
  <si>
    <t>Price per kilowatt hour of power for year four</t>
  </si>
  <si>
    <t>Price per kilowatt hour of power for year five</t>
  </si>
  <si>
    <t>servPricePerkwHYear2</t>
  </si>
  <si>
    <t>servPricePerkwHYear3</t>
  </si>
  <si>
    <t>servPricePerkwHYear4</t>
  </si>
  <si>
    <t>servPricePerkwHYear5</t>
  </si>
  <si>
    <t>maintainCostPerYearIncrease</t>
  </si>
  <si>
    <t>Cost increase for maintaining contract after year one</t>
  </si>
  <si>
    <t>servAdminCostIncreasePerYear</t>
  </si>
  <si>
    <t>Cost increase for administering servers after year one</t>
  </si>
  <si>
    <t>Security audit, backup copies (backup cost increased on third year)</t>
  </si>
  <si>
    <t>Machine Purchases</t>
  </si>
  <si>
    <t>Software Purchases</t>
  </si>
  <si>
    <t>Software Maintenance</t>
  </si>
  <si>
    <t>Training</t>
  </si>
  <si>
    <t>Outside Services</t>
  </si>
  <si>
    <t>Backup</t>
  </si>
  <si>
    <t>All 40 server power requirements, increasing power by 3% per year</t>
  </si>
  <si>
    <t>Price for all servers, adjusted for 3% increased maintenance costs</t>
  </si>
  <si>
    <t>Adjusted for 3% increased maintenance costs</t>
  </si>
  <si>
    <t>Sum of administration and backup</t>
  </si>
  <si>
    <t>Sum of power, maintenance, and outside costs</t>
  </si>
  <si>
    <t>Sum of all five years of hard costs</t>
  </si>
  <si>
    <t>Sum of all five years of soft costs</t>
  </si>
  <si>
    <t>Costs</t>
  </si>
  <si>
    <t>servPriceGroup1</t>
  </si>
  <si>
    <t>servPriceGroup2</t>
  </si>
  <si>
    <t>servPriceGroup3</t>
  </si>
  <si>
    <t>amntServersGroup1</t>
  </si>
  <si>
    <t>amntServersGroup2</t>
  </si>
  <si>
    <t>amntServersGroup3</t>
  </si>
  <si>
    <t xml:space="preserve">Amount of servers required in group one </t>
  </si>
  <si>
    <t>Amount of servers required in group two</t>
  </si>
  <si>
    <t>Amount of servers required in group three</t>
  </si>
  <si>
    <t>softwarePurchaseVMware</t>
  </si>
  <si>
    <t>Cost to purchase VMware per physical server</t>
  </si>
  <si>
    <t>softwarePurchaseVMwareMaintenance</t>
  </si>
  <si>
    <t>Cost to maintain software per year</t>
  </si>
  <si>
    <t>servPriceGroupTotal</t>
  </si>
  <si>
    <t>Cost per year to administer servers ($8/hour, 10hours/week)</t>
  </si>
  <si>
    <t>trainingPerEmployeeYear1</t>
  </si>
  <si>
    <t>trainingPerEmployeeYear3</t>
  </si>
  <si>
    <t>Cost to train four employees per year for the first two years ($2500 each)</t>
  </si>
  <si>
    <t>Cost to train two employees per year for the third, fourth, fifth years ($2500 each)</t>
  </si>
  <si>
    <t>Cost to purchase six required servers for group one</t>
  </si>
  <si>
    <t>Cost to maintain six servers in group one</t>
  </si>
  <si>
    <t>Cost to purchase two required servers for group two</t>
  </si>
  <si>
    <t>Cost to purchase two required servers for group three</t>
  </si>
  <si>
    <t>Cost to maintain two servers in group two</t>
  </si>
  <si>
    <t>Cost to maintain two servers in group three</t>
  </si>
  <si>
    <t>servMaintenanceYear1Group1</t>
  </si>
  <si>
    <t>servMaintenanceYear1Group2</t>
  </si>
  <si>
    <t>servMaintenanceYear1Group3</t>
  </si>
  <si>
    <t>Total cost to purchase 10 required servers</t>
  </si>
  <si>
    <t>Total power required to run six servers in group one</t>
  </si>
  <si>
    <t>Total power required to run two servers in group three</t>
  </si>
  <si>
    <t>Total power required to run two servers in group two</t>
  </si>
  <si>
    <t>Average load from servers in group one</t>
  </si>
  <si>
    <t>Average load from servers in group two</t>
  </si>
  <si>
    <t>Average load from servers in group three</t>
  </si>
  <si>
    <t>Cost per year to administer servers in group one</t>
  </si>
  <si>
    <t>Cost per year to administer servers in group two</t>
  </si>
  <si>
    <t>Cost per year to administer servers in group three</t>
  </si>
  <si>
    <t>Cost to backup servers yearly in group one</t>
  </si>
  <si>
    <t>Cost to backup servers yearly in group two</t>
  </si>
  <si>
    <t>Cost to backup servers yearly in group three</t>
  </si>
  <si>
    <t>servPowerVirtualGroup1</t>
  </si>
  <si>
    <t>servPowerVirtualGroup2</t>
  </si>
  <si>
    <t>servPowerVirtualGroup3</t>
  </si>
  <si>
    <t>servLoadAvgVirtualGroup1</t>
  </si>
  <si>
    <t>servLoadAvgVirtualGroup2</t>
  </si>
  <si>
    <t>servLoadAvgVirtualGroup3</t>
  </si>
  <si>
    <t>servAdminCostVirtualYear1Group1</t>
  </si>
  <si>
    <t>servAdminCostVirtualYear1Group2</t>
  </si>
  <si>
    <t>servAdminCostVirtualYear1Group3</t>
  </si>
  <si>
    <t>servAdminCostPerVirtualWeek</t>
  </si>
  <si>
    <t>servBackUpCostVirtualYear1Group1</t>
  </si>
  <si>
    <t>servBackUpCostVirtualYear1Group2</t>
  </si>
  <si>
    <t>servBackUpCostVirtualYear1Group3</t>
  </si>
  <si>
    <t>servMaintenanceCostYear2</t>
  </si>
  <si>
    <t>servMaintenanceCostYear3</t>
  </si>
  <si>
    <t>servMaintenanceCostYear4</t>
  </si>
  <si>
    <t>servMaintenanceCostYear5</t>
  </si>
  <si>
    <t>Cost increase for maintenance year two</t>
  </si>
  <si>
    <t>Cost increase for maintenance year three</t>
  </si>
  <si>
    <t>Cost increase for maintenance year four</t>
  </si>
  <si>
    <t>Cost increase for maintenance year five</t>
  </si>
  <si>
    <t>servAdminCostVirutalIncreaseYear3</t>
  </si>
  <si>
    <t>servAdminCostVirutalIncreaseYear4</t>
  </si>
  <si>
    <t>servAdminCostVirutalIncreaseYear5</t>
  </si>
  <si>
    <t>Cost increase for server administration year five</t>
  </si>
  <si>
    <t>Cost increase for server administration year four</t>
  </si>
  <si>
    <t>Cost increase for server administration year three</t>
  </si>
  <si>
    <t>Cost increase for server administration year two</t>
  </si>
  <si>
    <t>servAdminCostVirutalIncreaseYear2</t>
  </si>
  <si>
    <t>Virtual Yearly Costs</t>
  </si>
  <si>
    <t>Total Yearly Virtual Costs</t>
  </si>
  <si>
    <t>Virtualization Project Cost Summary</t>
  </si>
  <si>
    <t>Current Infrastructure Costs</t>
  </si>
  <si>
    <t>Total Five Year Hard Costs</t>
  </si>
  <si>
    <t>Virtualized Infrastructure Costs</t>
  </si>
  <si>
    <t>Net Five Year Hard Cost Savings</t>
  </si>
  <si>
    <t>Net Five Year Soft Cost Savings</t>
  </si>
  <si>
    <t>Net Five Year Overall Savings</t>
  </si>
  <si>
    <t>Notes</t>
  </si>
  <si>
    <t>Cost of purchasing all 10 servers from Sun Microsystems</t>
  </si>
  <si>
    <t>Cost of buying VMware for all 10 servers</t>
  </si>
  <si>
    <t>Cost of maintaining servers with VMware (15% of software cost per year after first)</t>
  </si>
  <si>
    <t>Cost of powering 10 servers and adjusting by 2% every year</t>
  </si>
  <si>
    <t>Cost to train four employees first two years and two employees year three and on</t>
  </si>
  <si>
    <t>Sum of hard costs for all five years</t>
  </si>
  <si>
    <t>Sum of hard costs for each yeah</t>
  </si>
  <si>
    <t>Sum of soft costs for all five years</t>
  </si>
  <si>
    <t>Sum of soft costs for each yeah</t>
  </si>
  <si>
    <t>Cost for back up services adjusted for 3% increase in administration</t>
  </si>
  <si>
    <t>Cost for machine admin attention adjusted for 3% increase in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</si>
</sst>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164" fontId="0" fillId="0" borderId="0" xfId="0" applyNumberFormat="1" applyAlignment="1">
      <alignment horizontal="left"/>
    </xf>
    <xf numFmtId="164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/>
    </xf>
    <xf numFmtId="3" fontId="0" fillId="0" borderId="0" xfId="1" applyNumberFormat="1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8" fontId="0" fillId="5" borderId="1" xfId="0" applyNumberForma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164" fontId="5" fillId="7" borderId="1" xfId="0" applyNumberFormat="1" applyFont="1" applyFill="1" applyBorder="1" applyAlignment="1">
      <alignment horizontal="right" vertical="center"/>
    </xf>
    <xf numFmtId="0" fontId="0" fillId="0" borderId="1" xfId="0" applyBorder="1"/>
    <xf numFmtId="8" fontId="0" fillId="0" borderId="1" xfId="0" applyNumberFormat="1" applyBorder="1" applyAlignment="1">
      <alignment horizontal="right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6" fillId="6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8" sqref="H8"/>
    </sheetView>
  </sheetViews>
  <sheetFormatPr defaultRowHeight="15" x14ac:dyDescent="0.25"/>
  <cols>
    <col min="1" max="1" width="24.140625" customWidth="1"/>
    <col min="2" max="6" width="12.7109375" bestFit="1" customWidth="1"/>
    <col min="8" max="8" width="61.7109375" bestFit="1" customWidth="1"/>
  </cols>
  <sheetData>
    <row r="1" spans="1:8" ht="18.75" x14ac:dyDescent="0.25">
      <c r="A1" s="29" t="s">
        <v>70</v>
      </c>
      <c r="B1" s="29"/>
      <c r="C1" s="29"/>
      <c r="D1" s="29"/>
      <c r="E1" s="29"/>
      <c r="F1" s="29"/>
    </row>
    <row r="2" spans="1:8" x14ac:dyDescent="0.25">
      <c r="A2" s="8"/>
    </row>
    <row r="3" spans="1:8" x14ac:dyDescent="0.25">
      <c r="A3" s="21" t="s">
        <v>71</v>
      </c>
      <c r="B3" s="30" t="s">
        <v>72</v>
      </c>
      <c r="C3" s="31"/>
      <c r="D3" s="31"/>
      <c r="E3" s="31"/>
      <c r="F3" s="32"/>
      <c r="H3" t="s">
        <v>197</v>
      </c>
    </row>
    <row r="4" spans="1:8" x14ac:dyDescent="0.25">
      <c r="A4" s="14"/>
      <c r="B4" s="20" t="s">
        <v>74</v>
      </c>
      <c r="C4" s="20" t="s">
        <v>75</v>
      </c>
      <c r="D4" s="20" t="s">
        <v>76</v>
      </c>
      <c r="E4" s="20" t="s">
        <v>77</v>
      </c>
      <c r="F4" s="20" t="s">
        <v>78</v>
      </c>
    </row>
    <row r="5" spans="1:8" x14ac:dyDescent="0.25">
      <c r="A5" s="22" t="s">
        <v>0</v>
      </c>
      <c r="B5" s="13"/>
      <c r="C5" s="13"/>
      <c r="D5" s="13"/>
      <c r="E5" s="13"/>
      <c r="F5" s="13"/>
    </row>
    <row r="6" spans="1:8" x14ac:dyDescent="0.25">
      <c r="A6" s="11" t="s">
        <v>73</v>
      </c>
      <c r="B6" s="17">
        <f>(servPowerGroup1A+servPowerGroup1B+servPowerGroup2+servPowerGroup3A+servPowerGroup3B)*servPricePerkwHYear1</f>
        <v>15418</v>
      </c>
      <c r="C6" s="17">
        <f>(servPowerGroup1A+servPowerGroup1B+servPowerGroup2+servPowerGroup3A+servPowerGroup3B)*servPricePerkwHYear2</f>
        <v>16604</v>
      </c>
      <c r="D6" s="17">
        <f>(servPowerGroup1A+servPowerGroup1B+servPowerGroup2+servPowerGroup3A+servPowerGroup3B)*servPricePerkwHYear3</f>
        <v>17790</v>
      </c>
      <c r="E6" s="17">
        <f>(servPowerGroup1A+servPowerGroup1B+servPowerGroup2+servPowerGroup3A+servPowerGroup3B)*servPricePerkwHYear4</f>
        <v>18976</v>
      </c>
      <c r="F6" s="17">
        <f>(servPowerGroup1A+servPowerGroup1B+servPowerGroup2+servPowerGroup3A+servPowerGroup3B)*servPricePerkwHYear5</f>
        <v>20162</v>
      </c>
      <c r="H6" t="s">
        <v>110</v>
      </c>
    </row>
    <row r="7" spans="1:8" x14ac:dyDescent="0.25">
      <c r="A7" s="11" t="s">
        <v>79</v>
      </c>
      <c r="B7" s="17">
        <f>(maintainCostYear1Group1A+maintainCostYear1Group1B+maintainCostYear1Group2+maintainCostYear1Group3A+maintainCostYear1Group3B)</f>
        <v>66000</v>
      </c>
      <c r="C7" s="17">
        <f>((maintainCostYear1Group1A+maintainCostYear1Group1B+maintainCostYear1Group2+maintainCostYear1Group3A+maintainCostYear1Group3B)*maintainCostPerYearIncrease)+(maintainCostYear1Group1A+maintainCostYear1Group1B+maintainCostYear1Group2+maintainCostYear1Group3A+maintainCostYear1Group3B)</f>
        <v>67980</v>
      </c>
      <c r="D7" s="17">
        <f>(((maintainCostYear1Group1A+maintainCostYear1Group1B+maintainCostYear1Group2+maintainCostYear1Group3A+maintainCostYear1Group3B)*maintainCostPerYearIncrease)+(maintainCostYear1Group1A+maintainCostYear1Group1B+maintainCostYear1Group2+maintainCostYear1Group3A+maintainCostYear1Group3B))*maintainCostPerYearIncrease+(maintainCostYear1Group1A+maintainCostYear1Group1B+maintainCostYear1Group2+maintainCostYear1Group3A+maintainCostYear1Group3B)</f>
        <v>68039.399999999994</v>
      </c>
      <c r="E7" s="17">
        <f>(((maintainCostYear1Group1A+maintainCostYear1Group1B+maintainCostYear1Group2+maintainCostYear1Group3A+maintainCostYear1Group3B)*maintainCostPerYearIncrease)+(maintainCostYear1Group1A+maintainCostYear1Group1B+maintainCostYear1Group2+maintainCostYear1Group3A+maintainCostYear1Group3B))*maintainCostPerYearIncrease+(maintainCostYear1Group1A+maintainCostYear1Group1B+maintainCostYear1Group2+maintainCostYear1Group3A+maintainCostYear1Group3B)*maintainCostPerYearIncrease+(maintainCostYear1Group1A+maintainCostYear1Group1B+maintainCostYear1Group2+maintainCostYear1Group3A+maintainCostYear1Group3B)</f>
        <v>70019.399999999994</v>
      </c>
      <c r="F7" s="17">
        <f>(((maintainCostYear1Group1A+maintainCostYear1Group1B+maintainCostYear1Group2+maintainCostYear1Group3A+maintainCostYear1Group3B)*maintainCostPerYearIncrease)+(maintainCostYear1Group1A+maintainCostYear1Group1B+maintainCostYear1Group2+maintainCostYear1Group3A+maintainCostYear1Group3B))*maintainCostPerYearIncrease+(maintainCostYear1Group1A+maintainCostYear1Group1B+maintainCostYear1Group2+maintainCostYear1Group3A+maintainCostYear1Group3B)*maintainCostPerYearIncrease+(maintainCostYear1Group1A+maintainCostYear1Group1B+maintainCostYear1Group2+maintainCostYear1Group3A+maintainCostYear1Group3B)*maintainCostPerYearIncrease+(maintainCostYear1Group1A+maintainCostYear1Group1B+maintainCostYear1Group2+maintainCostYear1Group3A+maintainCostYear1Group3B)</f>
        <v>71999.399999999994</v>
      </c>
      <c r="H7" t="s">
        <v>111</v>
      </c>
    </row>
    <row r="8" spans="1:8" x14ac:dyDescent="0.25">
      <c r="A8" s="11" t="s">
        <v>80</v>
      </c>
      <c r="B8" s="17">
        <f>servG1SecurityAuditsPerYear+servBackUpCopiesYear1</f>
        <v>22200</v>
      </c>
      <c r="C8" s="17">
        <f>servG1SecurityAuditsPerYear+servBackUpCopiesYear1</f>
        <v>22200</v>
      </c>
      <c r="D8" s="17">
        <f>servG1SecurityAuditsPerYear+servBackUpCopiesYear3</f>
        <v>24000</v>
      </c>
      <c r="E8" s="17">
        <f>servG1SecurityAuditsPerYear+servBackUpCopiesYear3</f>
        <v>24000</v>
      </c>
      <c r="F8" s="17">
        <f>servG1SecurityAuditsPerYear+servBackUpCopiesYear3</f>
        <v>24000</v>
      </c>
      <c r="H8" t="s">
        <v>103</v>
      </c>
    </row>
    <row r="9" spans="1:8" x14ac:dyDescent="0.25">
      <c r="A9" s="9"/>
      <c r="B9" s="17"/>
      <c r="C9" s="17"/>
      <c r="D9" s="17"/>
      <c r="E9" s="17"/>
      <c r="F9" s="17"/>
    </row>
    <row r="10" spans="1:8" x14ac:dyDescent="0.25">
      <c r="A10" s="9" t="s">
        <v>81</v>
      </c>
      <c r="B10" s="17">
        <f>SUM(B6:B8)</f>
        <v>103618</v>
      </c>
      <c r="C10" s="17">
        <f t="shared" ref="C10:F10" si="0">SUM(C6:C8)</f>
        <v>106784</v>
      </c>
      <c r="D10" s="17">
        <f t="shared" si="0"/>
        <v>109829.4</v>
      </c>
      <c r="E10" s="17">
        <f t="shared" si="0"/>
        <v>112995.4</v>
      </c>
      <c r="F10" s="17">
        <f t="shared" si="0"/>
        <v>116161.4</v>
      </c>
      <c r="H10" t="s">
        <v>114</v>
      </c>
    </row>
    <row r="11" spans="1:8" x14ac:dyDescent="0.25">
      <c r="A11" s="9" t="s">
        <v>82</v>
      </c>
      <c r="B11" s="17">
        <f>SUM(B10:F10)</f>
        <v>549388.20000000007</v>
      </c>
      <c r="C11" s="17"/>
      <c r="D11" s="17"/>
      <c r="E11" s="17"/>
      <c r="F11" s="17"/>
      <c r="H11" t="s">
        <v>115</v>
      </c>
    </row>
    <row r="12" spans="1:8" x14ac:dyDescent="0.25">
      <c r="A12" s="8"/>
      <c r="B12" s="1"/>
      <c r="C12" s="1"/>
      <c r="D12" s="1"/>
      <c r="E12" s="1"/>
      <c r="F12" s="1"/>
    </row>
    <row r="13" spans="1:8" x14ac:dyDescent="0.25">
      <c r="A13" s="21" t="s">
        <v>71</v>
      </c>
      <c r="B13" s="30" t="s">
        <v>72</v>
      </c>
      <c r="C13" s="31"/>
      <c r="D13" s="31"/>
      <c r="E13" s="31"/>
      <c r="F13" s="32"/>
    </row>
    <row r="14" spans="1:8" x14ac:dyDescent="0.25">
      <c r="A14" s="14"/>
      <c r="B14" s="20" t="s">
        <v>74</v>
      </c>
      <c r="C14" s="20" t="s">
        <v>75</v>
      </c>
      <c r="D14" s="20" t="s">
        <v>76</v>
      </c>
      <c r="E14" s="20" t="s">
        <v>77</v>
      </c>
      <c r="F14" s="20" t="s">
        <v>78</v>
      </c>
    </row>
    <row r="15" spans="1:8" x14ac:dyDescent="0.25">
      <c r="A15" s="21" t="s">
        <v>83</v>
      </c>
      <c r="B15" s="14"/>
      <c r="C15" s="14"/>
      <c r="D15" s="14"/>
      <c r="E15" s="14"/>
      <c r="F15" s="14"/>
    </row>
    <row r="16" spans="1:8" x14ac:dyDescent="0.25">
      <c r="A16" s="11" t="s">
        <v>84</v>
      </c>
      <c r="B16" s="18">
        <f>(servAdminCostYear1Group1A+servAdminCostYear1Group1B+servAdminCostYear1Group2+servAdminCostYear1Group3A+servAdminCostYear1Group3B)</f>
        <v>632800</v>
      </c>
      <c r="C16" s="18">
        <f>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</f>
        <v>645456</v>
      </c>
      <c r="D16" s="18">
        <f>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</f>
        <v>658112</v>
      </c>
      <c r="E16" s="18">
        <f>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</f>
        <v>670768</v>
      </c>
      <c r="F16" s="18">
        <f>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*servAdminCostIncreasePerYear+(servAdminCostYear1Group1A+servAdminCostYear1Group1B+servAdminCostYear1Group2+servAdminCostYear1Group3A+servAdminCostYear1Group3B)</f>
        <v>683424</v>
      </c>
      <c r="H16" t="s">
        <v>112</v>
      </c>
    </row>
    <row r="17" spans="1:8" x14ac:dyDescent="0.25">
      <c r="A17" s="11" t="s">
        <v>85</v>
      </c>
      <c r="B17" s="18">
        <f>servBackUpCostYearlyGroup1A+servBackUpCostYearlyGroup1B+servBackUpCostYearlyGroup2+servBackUpCostYearlyGroup3A+servBackUpCostYearlyGroup3B</f>
        <v>760240</v>
      </c>
      <c r="C17" s="18">
        <f>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</f>
        <v>775444.8</v>
      </c>
      <c r="D17" s="18">
        <f>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</f>
        <v>790649.6</v>
      </c>
      <c r="E17" s="18">
        <f>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</f>
        <v>805854.4</v>
      </c>
      <c r="F17" s="18">
        <f>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IncreasePerYear+(servBackUpCostYearlyGroup1A+servBackUpCostYearlyGroup1B+servBackUpCostYearlyGroup2+servBackUpCostYearlyGroup3A+servBackUpCostYearlyGroup3B)*servAdminCostPerAdminWeek+(servBackUpCostYearlyGroup1A+servBackUpCostYearlyGroup1B+servBackUpCostYearlyGroup2+servBackUpCostYearlyGroup3A+servBackUpCostYearlyGroup3B)</f>
        <v>821059.2</v>
      </c>
      <c r="H17" t="s">
        <v>112</v>
      </c>
    </row>
    <row r="18" spans="1:8" x14ac:dyDescent="0.25">
      <c r="A18" s="9"/>
      <c r="B18" s="18"/>
      <c r="C18" s="18"/>
      <c r="D18" s="18"/>
      <c r="E18" s="18"/>
      <c r="F18" s="18"/>
    </row>
    <row r="19" spans="1:8" x14ac:dyDescent="0.25">
      <c r="A19" s="9" t="s">
        <v>86</v>
      </c>
      <c r="B19" s="18">
        <f>SUM(B16:B17)</f>
        <v>1393040</v>
      </c>
      <c r="C19" s="18">
        <f t="shared" ref="C19:F19" si="1">SUM(C16:C17)</f>
        <v>1420900.8</v>
      </c>
      <c r="D19" s="18">
        <f t="shared" si="1"/>
        <v>1448761.6</v>
      </c>
      <c r="E19" s="18">
        <f t="shared" si="1"/>
        <v>1476622.4</v>
      </c>
      <c r="F19" s="18">
        <f t="shared" si="1"/>
        <v>1504483.2</v>
      </c>
      <c r="H19" t="s">
        <v>113</v>
      </c>
    </row>
    <row r="20" spans="1:8" x14ac:dyDescent="0.25">
      <c r="A20" s="9" t="s">
        <v>87</v>
      </c>
      <c r="B20" s="18">
        <f>SUM(B19:F19)</f>
        <v>7243808.0000000009</v>
      </c>
      <c r="C20" s="18"/>
      <c r="D20" s="18"/>
      <c r="E20" s="18"/>
      <c r="F20" s="18"/>
      <c r="H20" t="s">
        <v>116</v>
      </c>
    </row>
    <row r="21" spans="1:8" x14ac:dyDescent="0.25">
      <c r="A21" s="16"/>
      <c r="B21" s="16"/>
      <c r="C21" s="16"/>
      <c r="D21" s="16"/>
      <c r="E21" s="16"/>
      <c r="F21" s="16"/>
    </row>
    <row r="22" spans="1:8" x14ac:dyDescent="0.25">
      <c r="A22" s="23" t="s">
        <v>88</v>
      </c>
      <c r="B22" s="19">
        <f>B19+B10</f>
        <v>1496658</v>
      </c>
      <c r="C22" s="19">
        <f t="shared" ref="C22:F22" si="2">C19+C10</f>
        <v>1527684.8</v>
      </c>
      <c r="D22" s="19">
        <f t="shared" si="2"/>
        <v>1558591</v>
      </c>
      <c r="E22" s="19">
        <f t="shared" si="2"/>
        <v>1589617.7999999998</v>
      </c>
      <c r="F22" s="19">
        <f t="shared" si="2"/>
        <v>1620644.5999999999</v>
      </c>
    </row>
  </sheetData>
  <mergeCells count="3">
    <mergeCell ref="A1:F1"/>
    <mergeCell ref="B3:F3"/>
    <mergeCell ref="B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27" sqref="F27"/>
    </sheetView>
  </sheetViews>
  <sheetFormatPr defaultRowHeight="15" x14ac:dyDescent="0.25"/>
  <cols>
    <col min="1" max="1" width="10.28515625" bestFit="1" customWidth="1"/>
    <col min="2" max="2" width="15" customWidth="1"/>
    <col min="3" max="3" width="28.42578125" customWidth="1"/>
    <col min="4" max="4" width="63.28515625" customWidth="1"/>
    <col min="5" max="5" width="17.85546875" customWidth="1"/>
  </cols>
  <sheetData>
    <row r="1" spans="1:4" x14ac:dyDescent="0.25">
      <c r="A1" s="4" t="s">
        <v>117</v>
      </c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B3" s="2">
        <v>15</v>
      </c>
      <c r="C3" s="2" t="s">
        <v>34</v>
      </c>
      <c r="D3" s="2" t="s">
        <v>4</v>
      </c>
    </row>
    <row r="4" spans="1:4" x14ac:dyDescent="0.25">
      <c r="B4" s="2">
        <v>5</v>
      </c>
      <c r="C4" s="2" t="s">
        <v>35</v>
      </c>
      <c r="D4" s="2" t="s">
        <v>5</v>
      </c>
    </row>
    <row r="5" spans="1:4" x14ac:dyDescent="0.25">
      <c r="B5" s="2">
        <v>10</v>
      </c>
      <c r="C5" s="2" t="s">
        <v>36</v>
      </c>
      <c r="D5" s="2" t="s">
        <v>6</v>
      </c>
    </row>
    <row r="6" spans="1:4" x14ac:dyDescent="0.25">
      <c r="B6" s="2">
        <v>8</v>
      </c>
      <c r="C6" s="2" t="s">
        <v>37</v>
      </c>
      <c r="D6" s="2" t="s">
        <v>7</v>
      </c>
    </row>
    <row r="7" spans="1:4" x14ac:dyDescent="0.25">
      <c r="B7" s="2">
        <v>2</v>
      </c>
      <c r="C7" s="2" t="s">
        <v>38</v>
      </c>
      <c r="D7" s="2" t="s">
        <v>8</v>
      </c>
    </row>
    <row r="8" spans="1:4" x14ac:dyDescent="0.25">
      <c r="B8" s="2"/>
      <c r="C8" s="2"/>
      <c r="D8" s="2"/>
    </row>
    <row r="9" spans="1:4" x14ac:dyDescent="0.25">
      <c r="B9" s="7">
        <v>45000</v>
      </c>
      <c r="C9" s="2" t="s">
        <v>39</v>
      </c>
      <c r="D9" s="2" t="s">
        <v>9</v>
      </c>
    </row>
    <row r="10" spans="1:4" x14ac:dyDescent="0.25">
      <c r="B10" s="7">
        <v>16000</v>
      </c>
      <c r="C10" s="2" t="s">
        <v>40</v>
      </c>
      <c r="D10" s="2" t="s">
        <v>10</v>
      </c>
    </row>
    <row r="11" spans="1:4" x14ac:dyDescent="0.25">
      <c r="B11" s="7">
        <v>28000</v>
      </c>
      <c r="C11" s="2" t="s">
        <v>41</v>
      </c>
      <c r="D11" s="2" t="s">
        <v>11</v>
      </c>
    </row>
    <row r="12" spans="1:4" x14ac:dyDescent="0.25">
      <c r="B12" s="7">
        <v>24000</v>
      </c>
      <c r="C12" s="2" t="s">
        <v>42</v>
      </c>
      <c r="D12" s="2" t="s">
        <v>12</v>
      </c>
    </row>
    <row r="13" spans="1:4" x14ac:dyDescent="0.25">
      <c r="B13" s="7">
        <v>5600</v>
      </c>
      <c r="C13" s="2" t="s">
        <v>43</v>
      </c>
      <c r="D13" s="2" t="s">
        <v>13</v>
      </c>
    </row>
    <row r="14" spans="1:4" x14ac:dyDescent="0.25">
      <c r="B14" s="7"/>
      <c r="C14" s="2"/>
      <c r="D14" s="2"/>
    </row>
    <row r="15" spans="1:4" x14ac:dyDescent="0.25">
      <c r="B15" s="5">
        <v>0.13</v>
      </c>
      <c r="C15" s="2" t="s">
        <v>89</v>
      </c>
      <c r="D15" s="2" t="s">
        <v>90</v>
      </c>
    </row>
    <row r="16" spans="1:4" x14ac:dyDescent="0.25">
      <c r="B16" s="5">
        <v>0.14000000000000001</v>
      </c>
      <c r="C16" s="2" t="s">
        <v>95</v>
      </c>
      <c r="D16" s="2" t="s">
        <v>91</v>
      </c>
    </row>
    <row r="17" spans="2:4" x14ac:dyDescent="0.25">
      <c r="B17" s="5">
        <v>0.15</v>
      </c>
      <c r="C17" s="2" t="s">
        <v>96</v>
      </c>
      <c r="D17" s="2" t="s">
        <v>92</v>
      </c>
    </row>
    <row r="18" spans="2:4" x14ac:dyDescent="0.25">
      <c r="B18" s="5">
        <v>0.16</v>
      </c>
      <c r="C18" s="2" t="s">
        <v>97</v>
      </c>
      <c r="D18" t="s">
        <v>93</v>
      </c>
    </row>
    <row r="19" spans="2:4" x14ac:dyDescent="0.25">
      <c r="B19" s="5">
        <v>0.17</v>
      </c>
      <c r="C19" s="2" t="s">
        <v>98</v>
      </c>
      <c r="D19" s="2" t="s">
        <v>94</v>
      </c>
    </row>
    <row r="20" spans="2:4" x14ac:dyDescent="0.25">
      <c r="B20" s="7"/>
      <c r="C20" s="2"/>
      <c r="D20" s="2"/>
    </row>
    <row r="21" spans="2:4" x14ac:dyDescent="0.25">
      <c r="B21" s="7">
        <v>29250</v>
      </c>
      <c r="C21" s="2" t="s">
        <v>29</v>
      </c>
      <c r="D21" s="2" t="s">
        <v>14</v>
      </c>
    </row>
    <row r="22" spans="2:4" x14ac:dyDescent="0.25">
      <c r="B22" s="7">
        <v>7200</v>
      </c>
      <c r="C22" s="2" t="s">
        <v>30</v>
      </c>
      <c r="D22" s="2" t="s">
        <v>15</v>
      </c>
    </row>
    <row r="23" spans="2:4" x14ac:dyDescent="0.25">
      <c r="B23" s="7">
        <v>4200</v>
      </c>
      <c r="C23" s="2" t="s">
        <v>31</v>
      </c>
      <c r="D23" s="2" t="s">
        <v>16</v>
      </c>
    </row>
    <row r="24" spans="2:4" x14ac:dyDescent="0.25">
      <c r="B24" s="7">
        <v>1920</v>
      </c>
      <c r="C24" s="2" t="s">
        <v>32</v>
      </c>
      <c r="D24" s="2" t="s">
        <v>17</v>
      </c>
    </row>
    <row r="25" spans="2:4" x14ac:dyDescent="0.25">
      <c r="B25" s="7">
        <v>448</v>
      </c>
      <c r="C25" s="2" t="s">
        <v>33</v>
      </c>
      <c r="D25" s="2" t="s">
        <v>18</v>
      </c>
    </row>
    <row r="26" spans="2:4" x14ac:dyDescent="0.25">
      <c r="B26" s="2"/>
      <c r="C26" s="2"/>
      <c r="D26" s="2"/>
    </row>
    <row r="27" spans="2:4" x14ac:dyDescent="0.25">
      <c r="B27" s="5">
        <v>30000</v>
      </c>
      <c r="C27" s="2" t="s">
        <v>19</v>
      </c>
      <c r="D27" s="2" t="s">
        <v>24</v>
      </c>
    </row>
    <row r="28" spans="2:4" x14ac:dyDescent="0.25">
      <c r="B28" s="5">
        <v>12500</v>
      </c>
      <c r="C28" s="2" t="s">
        <v>20</v>
      </c>
      <c r="D28" s="2" t="s">
        <v>25</v>
      </c>
    </row>
    <row r="29" spans="2:4" x14ac:dyDescent="0.25">
      <c r="B29" s="5">
        <v>10000</v>
      </c>
      <c r="C29" s="2" t="s">
        <v>21</v>
      </c>
      <c r="D29" s="2" t="s">
        <v>26</v>
      </c>
    </row>
    <row r="30" spans="2:4" x14ac:dyDescent="0.25">
      <c r="B30" s="5">
        <v>12000</v>
      </c>
      <c r="C30" s="2" t="s">
        <v>22</v>
      </c>
      <c r="D30" s="2" t="s">
        <v>27</v>
      </c>
    </row>
    <row r="31" spans="2:4" x14ac:dyDescent="0.25">
      <c r="B31" s="5">
        <v>1500</v>
      </c>
      <c r="C31" s="2" t="s">
        <v>23</v>
      </c>
      <c r="D31" s="2" t="s">
        <v>28</v>
      </c>
    </row>
    <row r="32" spans="2:4" x14ac:dyDescent="0.25">
      <c r="B32" s="27">
        <v>0.03</v>
      </c>
      <c r="C32" s="2" t="s">
        <v>99</v>
      </c>
      <c r="D32" s="2" t="s">
        <v>100</v>
      </c>
    </row>
    <row r="33" spans="2:4" x14ac:dyDescent="0.25">
      <c r="B33" s="5"/>
      <c r="C33" s="2"/>
      <c r="D33" s="2"/>
    </row>
    <row r="34" spans="2:4" x14ac:dyDescent="0.25">
      <c r="B34" s="5">
        <v>112000</v>
      </c>
      <c r="C34" s="2" t="s">
        <v>61</v>
      </c>
      <c r="D34" s="2" t="s">
        <v>44</v>
      </c>
    </row>
    <row r="35" spans="2:4" x14ac:dyDescent="0.25">
      <c r="B35" s="5">
        <v>252000</v>
      </c>
      <c r="C35" s="2" t="s">
        <v>62</v>
      </c>
      <c r="D35" t="s">
        <v>45</v>
      </c>
    </row>
    <row r="36" spans="2:4" x14ac:dyDescent="0.25">
      <c r="B36" s="5">
        <v>112000</v>
      </c>
      <c r="C36" s="2" t="s">
        <v>63</v>
      </c>
      <c r="D36" s="2" t="s">
        <v>46</v>
      </c>
    </row>
    <row r="37" spans="2:4" x14ac:dyDescent="0.25">
      <c r="B37" s="5">
        <v>134400</v>
      </c>
      <c r="C37" s="2" t="s">
        <v>64</v>
      </c>
      <c r="D37" s="2" t="s">
        <v>47</v>
      </c>
    </row>
    <row r="38" spans="2:4" x14ac:dyDescent="0.25">
      <c r="B38" s="5">
        <v>22400</v>
      </c>
      <c r="C38" s="2" t="s">
        <v>65</v>
      </c>
      <c r="D38" s="2" t="s">
        <v>48</v>
      </c>
    </row>
    <row r="39" spans="2:4" x14ac:dyDescent="0.25">
      <c r="B39" s="27">
        <v>0.02</v>
      </c>
      <c r="C39" s="2" t="s">
        <v>101</v>
      </c>
      <c r="D39" s="2" t="s">
        <v>102</v>
      </c>
    </row>
    <row r="40" spans="2:4" x14ac:dyDescent="0.25">
      <c r="B40" s="6"/>
      <c r="C40" s="2"/>
    </row>
    <row r="41" spans="2:4" x14ac:dyDescent="0.25">
      <c r="B41" s="5">
        <v>436800</v>
      </c>
      <c r="C41" s="2" t="s">
        <v>56</v>
      </c>
      <c r="D41" s="2" t="s">
        <v>49</v>
      </c>
    </row>
    <row r="42" spans="2:4" x14ac:dyDescent="0.25">
      <c r="B42" s="5">
        <v>182000</v>
      </c>
      <c r="C42" s="2" t="s">
        <v>57</v>
      </c>
      <c r="D42" t="s">
        <v>50</v>
      </c>
    </row>
    <row r="43" spans="2:4" x14ac:dyDescent="0.25">
      <c r="B43" s="5">
        <v>83200</v>
      </c>
      <c r="C43" s="2" t="s">
        <v>58</v>
      </c>
      <c r="D43" t="s">
        <v>51</v>
      </c>
    </row>
    <row r="44" spans="2:4" x14ac:dyDescent="0.25">
      <c r="B44" s="5">
        <v>41600</v>
      </c>
      <c r="C44" s="2" t="s">
        <v>59</v>
      </c>
      <c r="D44" t="s">
        <v>52</v>
      </c>
    </row>
    <row r="45" spans="2:4" x14ac:dyDescent="0.25">
      <c r="B45" s="5">
        <v>16640</v>
      </c>
      <c r="C45" s="2" t="s">
        <v>60</v>
      </c>
      <c r="D45" t="s">
        <v>53</v>
      </c>
    </row>
    <row r="46" spans="2:4" x14ac:dyDescent="0.25">
      <c r="B46" s="6"/>
      <c r="C46" s="2"/>
    </row>
    <row r="47" spans="2:4" x14ac:dyDescent="0.25">
      <c r="B47" s="5">
        <v>18000</v>
      </c>
      <c r="C47" s="2" t="s">
        <v>54</v>
      </c>
      <c r="D47" t="s">
        <v>55</v>
      </c>
    </row>
    <row r="48" spans="2:4" x14ac:dyDescent="0.25">
      <c r="B48" s="5">
        <v>4200</v>
      </c>
      <c r="C48" s="2" t="s">
        <v>66</v>
      </c>
      <c r="D48" t="s">
        <v>67</v>
      </c>
    </row>
    <row r="49" spans="2:4" x14ac:dyDescent="0.25">
      <c r="B49" s="5">
        <v>6000</v>
      </c>
      <c r="C49" s="2" t="s">
        <v>68</v>
      </c>
      <c r="D49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RowHeight="15" x14ac:dyDescent="0.25"/>
  <cols>
    <col min="1" max="1" width="24" bestFit="1" customWidth="1"/>
    <col min="2" max="2" width="12.7109375" bestFit="1" customWidth="1"/>
    <col min="3" max="6" width="11.140625" bestFit="1" customWidth="1"/>
    <col min="8" max="8" width="76" bestFit="1" customWidth="1"/>
  </cols>
  <sheetData>
    <row r="1" spans="1:8" ht="18.75" x14ac:dyDescent="0.25">
      <c r="A1" s="29" t="s">
        <v>188</v>
      </c>
      <c r="B1" s="29"/>
      <c r="C1" s="29"/>
      <c r="D1" s="29"/>
      <c r="E1" s="29"/>
      <c r="F1" s="29"/>
    </row>
    <row r="2" spans="1:8" x14ac:dyDescent="0.25">
      <c r="A2" s="8"/>
    </row>
    <row r="3" spans="1:8" x14ac:dyDescent="0.25">
      <c r="A3" s="9" t="s">
        <v>71</v>
      </c>
      <c r="B3" s="33" t="s">
        <v>72</v>
      </c>
      <c r="C3" s="34"/>
      <c r="D3" s="34"/>
      <c r="E3" s="34"/>
      <c r="F3" s="35"/>
      <c r="H3" t="s">
        <v>197</v>
      </c>
    </row>
    <row r="4" spans="1:8" x14ac:dyDescent="0.25">
      <c r="A4" s="9"/>
      <c r="B4" s="10" t="s">
        <v>74</v>
      </c>
      <c r="C4" s="10" t="s">
        <v>75</v>
      </c>
      <c r="D4" s="10" t="s">
        <v>76</v>
      </c>
      <c r="E4" s="10" t="s">
        <v>77</v>
      </c>
      <c r="F4" s="10" t="s">
        <v>78</v>
      </c>
    </row>
    <row r="5" spans="1:8" x14ac:dyDescent="0.25">
      <c r="A5" s="12" t="s">
        <v>0</v>
      </c>
      <c r="B5" s="13"/>
      <c r="C5" s="13"/>
      <c r="D5" s="13"/>
      <c r="E5" s="13"/>
      <c r="F5" s="13"/>
    </row>
    <row r="6" spans="1:8" x14ac:dyDescent="0.25">
      <c r="A6" s="11" t="s">
        <v>104</v>
      </c>
      <c r="B6" s="17">
        <f>servPriceGroupTotal</f>
        <v>5230000</v>
      </c>
      <c r="C6" s="17"/>
      <c r="D6" s="17"/>
      <c r="E6" s="17"/>
      <c r="F6" s="17"/>
      <c r="H6" t="s">
        <v>198</v>
      </c>
    </row>
    <row r="7" spans="1:8" x14ac:dyDescent="0.25">
      <c r="A7" s="11" t="s">
        <v>105</v>
      </c>
      <c r="B7" s="17">
        <f>softwarePurchaseVMware</f>
        <v>60000</v>
      </c>
      <c r="C7" s="17"/>
      <c r="D7" s="17"/>
      <c r="E7" s="17"/>
      <c r="F7" s="17"/>
      <c r="H7" t="s">
        <v>199</v>
      </c>
    </row>
    <row r="8" spans="1:8" x14ac:dyDescent="0.25">
      <c r="A8" s="11" t="s">
        <v>106</v>
      </c>
      <c r="B8" s="17">
        <v>0</v>
      </c>
      <c r="C8" s="17">
        <f>softwarePurchaseVMwareMaintenance</f>
        <v>9000</v>
      </c>
      <c r="D8" s="17">
        <f>softwarePurchaseVMwareMaintenance</f>
        <v>9000</v>
      </c>
      <c r="E8" s="17">
        <f>softwarePurchaseVMwareMaintenance</f>
        <v>9000</v>
      </c>
      <c r="F8" s="17">
        <f>softwarePurchaseVMwareMaintenance</f>
        <v>9000</v>
      </c>
      <c r="H8" t="s">
        <v>200</v>
      </c>
    </row>
    <row r="9" spans="1:8" x14ac:dyDescent="0.25">
      <c r="A9" s="11" t="s">
        <v>73</v>
      </c>
      <c r="B9" s="17">
        <f>(servPowerVirtualGroup1+servPowerVirtualGroup2+servPowerVirtualGroup3)*servPricePerkwHYear1</f>
        <v>7410</v>
      </c>
      <c r="C9" s="17">
        <f>(servPowerVirtualGroup1+servPowerVirtualGroup2+servPowerVirtualGroup3)*servPricePerkwHYear2</f>
        <v>7980.0000000000009</v>
      </c>
      <c r="D9" s="17">
        <f>(servPowerVirtualGroup1+servPowerVirtualGroup2+servPowerVirtualGroup3)*servPricePerkwHYear3</f>
        <v>8550</v>
      </c>
      <c r="E9" s="17">
        <f>(servPowerVirtualGroup1+servPowerVirtualGroup2+servPowerVirtualGroup3)*servPricePerkwHYear4</f>
        <v>9120</v>
      </c>
      <c r="F9" s="17">
        <f>(servPowerVirtualGroup1+servPowerVirtualGroup2+servPowerVirtualGroup3)*servPricePerkwHYear5</f>
        <v>9690</v>
      </c>
      <c r="H9" t="s">
        <v>201</v>
      </c>
    </row>
    <row r="10" spans="1:8" x14ac:dyDescent="0.25">
      <c r="A10" s="11" t="s">
        <v>79</v>
      </c>
      <c r="B10" s="17">
        <f>(servMaintenanceYear1Group1+servMaintenanceYear1Group2+servMaintenanceYear1Group3)</f>
        <v>84793.200000000012</v>
      </c>
      <c r="C10" s="17">
        <f>(servMaintenanceYear1Group1+servMaintenanceYear1Group2+servMaintenanceYear1Group3)*servMaintenanceCostIncrease+(servMaintenanceYear1Group1+servMaintenanceYear1Group2+servMaintenanceYear1Group3)</f>
        <v>87336.996000000014</v>
      </c>
      <c r="D10" s="17">
        <f>(servMaintenanceYear1Group1+servMaintenanceYear1Group2+servMaintenanceYear1Group3)*servMaintenanceCostYear3+(servMaintenanceYear1Group1+servMaintenanceYear1Group2+servMaintenanceYear1Group3)</f>
        <v>89880.792000000016</v>
      </c>
      <c r="E10" s="17">
        <f>(servMaintenanceYear1Group1+servMaintenanceYear1Group2+servMaintenanceYear1Group3)*servMaintenanceCostYear4+(servMaintenanceYear1Group1+servMaintenanceYear1Group2+servMaintenanceYear1Group3)</f>
        <v>92424.588000000018</v>
      </c>
      <c r="F10" s="17">
        <f>(servMaintenanceYear1Group1+servMaintenanceYear1Group2+servMaintenanceYear1Group3)*servMaintenanceCostYear5+(servMaintenanceYear1Group1+servMaintenanceYear1Group2+servMaintenanceYear1Group3)</f>
        <v>94968.38400000002</v>
      </c>
    </row>
    <row r="11" spans="1:8" x14ac:dyDescent="0.25">
      <c r="A11" s="11" t="s">
        <v>107</v>
      </c>
      <c r="B11" s="17">
        <f>trainingPerEmployeeYear1</f>
        <v>10000</v>
      </c>
      <c r="C11" s="17">
        <f>trainingPerEmployeeYear1</f>
        <v>10000</v>
      </c>
      <c r="D11" s="17">
        <f>trainingPerEmployeeYear3</f>
        <v>5000</v>
      </c>
      <c r="E11" s="17">
        <f>trainingPerEmployeeYear3</f>
        <v>5000</v>
      </c>
      <c r="F11" s="17">
        <f>trainingPerEmployeeYear3</f>
        <v>5000</v>
      </c>
      <c r="H11" t="s">
        <v>202</v>
      </c>
    </row>
    <row r="12" spans="1:8" x14ac:dyDescent="0.25">
      <c r="A12" s="11" t="s">
        <v>108</v>
      </c>
      <c r="B12" s="17">
        <f>servG1SecurityAuditsPerYear+servBackUpCopiesYear1</f>
        <v>22200</v>
      </c>
      <c r="C12" s="17">
        <f>servG1SecurityAuditsPerYear+servBackUpCopiesYear1</f>
        <v>22200</v>
      </c>
      <c r="D12" s="17">
        <f>servG1SecurityAuditsPerYear+servBackUpCopiesYear3</f>
        <v>24000</v>
      </c>
      <c r="E12" s="17">
        <f>servG1SecurityAuditsPerYear+servBackUpCopiesYear3</f>
        <v>24000</v>
      </c>
      <c r="F12" s="17">
        <f>servG1SecurityAuditsPerYear+servBackUpCopiesYear3</f>
        <v>24000</v>
      </c>
      <c r="H12" t="s">
        <v>103</v>
      </c>
    </row>
    <row r="13" spans="1:8" x14ac:dyDescent="0.25">
      <c r="A13" s="9"/>
      <c r="B13" s="17"/>
      <c r="C13" s="17"/>
      <c r="D13" s="17"/>
      <c r="E13" s="17"/>
      <c r="F13" s="17"/>
    </row>
    <row r="14" spans="1:8" x14ac:dyDescent="0.25">
      <c r="A14" s="9" t="s">
        <v>81</v>
      </c>
      <c r="B14" s="17">
        <f>SUM(B6:B12)</f>
        <v>5414403.2000000002</v>
      </c>
      <c r="C14" s="17">
        <f t="shared" ref="C14:F14" si="0">SUM(C6:C12)</f>
        <v>136516.99600000001</v>
      </c>
      <c r="D14" s="17">
        <f t="shared" si="0"/>
        <v>136430.79200000002</v>
      </c>
      <c r="E14" s="17">
        <f t="shared" si="0"/>
        <v>139544.58800000002</v>
      </c>
      <c r="F14" s="17">
        <f t="shared" si="0"/>
        <v>142658.38400000002</v>
      </c>
      <c r="H14" t="s">
        <v>204</v>
      </c>
    </row>
    <row r="15" spans="1:8" x14ac:dyDescent="0.25">
      <c r="A15" s="9" t="s">
        <v>82</v>
      </c>
      <c r="B15" s="17">
        <f>SUM(B14:F14)</f>
        <v>5969553.9600000009</v>
      </c>
      <c r="C15" s="17"/>
      <c r="D15" s="17"/>
      <c r="E15" s="17"/>
      <c r="F15" s="17"/>
      <c r="H15" t="s">
        <v>203</v>
      </c>
    </row>
    <row r="16" spans="1:8" x14ac:dyDescent="0.25">
      <c r="A16" s="8"/>
      <c r="B16" s="1"/>
      <c r="C16" s="1"/>
      <c r="D16" s="1"/>
      <c r="E16" s="1"/>
      <c r="F16" s="1"/>
    </row>
    <row r="17" spans="1:8" x14ac:dyDescent="0.25">
      <c r="A17" s="9" t="s">
        <v>71</v>
      </c>
      <c r="B17" s="33" t="s">
        <v>72</v>
      </c>
      <c r="C17" s="34"/>
      <c r="D17" s="34"/>
      <c r="E17" s="34"/>
      <c r="F17" s="35"/>
    </row>
    <row r="18" spans="1:8" x14ac:dyDescent="0.25">
      <c r="A18" s="9"/>
      <c r="B18" s="10" t="s">
        <v>74</v>
      </c>
      <c r="C18" s="10" t="s">
        <v>75</v>
      </c>
      <c r="D18" s="10" t="s">
        <v>76</v>
      </c>
      <c r="E18" s="10" t="s">
        <v>77</v>
      </c>
      <c r="F18" s="10" t="s">
        <v>78</v>
      </c>
    </row>
    <row r="19" spans="1:8" x14ac:dyDescent="0.25">
      <c r="A19" s="14" t="s">
        <v>83</v>
      </c>
      <c r="B19" s="14"/>
      <c r="C19" s="14"/>
      <c r="D19" s="14"/>
      <c r="E19" s="14"/>
      <c r="F19" s="14"/>
    </row>
    <row r="20" spans="1:8" x14ac:dyDescent="0.25">
      <c r="A20" s="11" t="s">
        <v>84</v>
      </c>
      <c r="B20" s="18">
        <f>(servAdminCostVirtualYear1Group1+servAdminCostVirtualYear1Group2+servAdminCostVirtualYear1Group3)</f>
        <v>28000</v>
      </c>
      <c r="C20" s="18">
        <f>(servAdminCostVirtualYear1Group1+servAdminCostVirtualYear1Group2+servAdminCostVirtualYear1Group3)*servAdminCostVirutalIncreaseYear2+(servAdminCostVirtualYear1Group1+servAdminCostVirtualYear1Group2+servAdminCostVirtualYear1Group3)</f>
        <v>28840</v>
      </c>
      <c r="D20" s="18">
        <f>(servAdminCostVirtualYear1Group1+servAdminCostVirtualYear1Group2+servAdminCostVirtualYear1Group3)*servAdminCostVirutalIncreaseYear3+(servAdminCostVirtualYear1Group1+servAdminCostVirtualYear1Group2+servAdminCostVirtualYear1Group3)</f>
        <v>29680</v>
      </c>
      <c r="E20" s="18">
        <f>(servAdminCostVirtualYear1Group1+servAdminCostVirtualYear1Group2+servAdminCostVirtualYear1Group3)*servAdminCostVirutalIncreaseYear4+(servAdminCostVirtualYear1Group1+servAdminCostVirtualYear1Group2+servAdminCostVirtualYear1Group3)</f>
        <v>30520</v>
      </c>
      <c r="F20" s="18">
        <f>(servAdminCostVirtualYear1Group1+servAdminCostVirtualYear1Group2+servAdminCostVirtualYear1Group3)*servAdminCostVirutalIncreaseYear5+(servAdminCostVirtualYear1Group1+servAdminCostVirtualYear1Group2+servAdminCostVirtualYear1Group3)</f>
        <v>31360</v>
      </c>
      <c r="H20" t="s">
        <v>208</v>
      </c>
    </row>
    <row r="21" spans="1:8" x14ac:dyDescent="0.25">
      <c r="A21" s="11" t="s">
        <v>109</v>
      </c>
      <c r="B21" s="18">
        <f>(servBackUpCostVirtualYear1Group1+servBackUpCostVirtualYear1Group2+servBackUpCostVirtualYear1Group3)</f>
        <v>29200</v>
      </c>
      <c r="C21" s="18">
        <f>(servBackUpCostVirtualYear1Group1+servBackUpCostVirtualYear1Group2+servBackUpCostVirtualYear1Group3)*servAdminCostVirutalIncreaseYear2+(servBackUpCostVirtualYear1Group1+servBackUpCostVirtualYear1Group2+servBackUpCostVirtualYear1Group3)</f>
        <v>30076</v>
      </c>
      <c r="D21" s="18">
        <f>(servBackUpCostVirtualYear1Group1+servBackUpCostVirtualYear1Group2+servBackUpCostVirtualYear1Group3)*servAdminCostVirutalIncreaseYear3+(servBackUpCostVirtualYear1Group1+servBackUpCostVirtualYear1Group2+servBackUpCostVirtualYear1Group3)</f>
        <v>30952</v>
      </c>
      <c r="E21" s="18">
        <f>(servBackUpCostVirtualYear1Group1+servBackUpCostVirtualYear1Group2+servBackUpCostVirtualYear1Group3)*servAdminCostVirutalIncreaseYear4+(servBackUpCostVirtualYear1Group1+servBackUpCostVirtualYear1Group2+servBackUpCostVirtualYear1Group3)</f>
        <v>31828</v>
      </c>
      <c r="F21" s="18">
        <f>(servBackUpCostVirtualYear1Group1+servBackUpCostVirtualYear1Group2+servBackUpCostVirtualYear1Group3)*servAdminCostVirutalIncreaseYear5+(servBackUpCostVirtualYear1Group1+servBackUpCostVirtualYear1Group2+servBackUpCostVirtualYear1Group3)</f>
        <v>32704</v>
      </c>
      <c r="H21" t="s">
        <v>207</v>
      </c>
    </row>
    <row r="22" spans="1:8" x14ac:dyDescent="0.25">
      <c r="A22" s="9"/>
      <c r="B22" s="18"/>
      <c r="C22" s="18"/>
      <c r="D22" s="18"/>
      <c r="E22" s="18"/>
      <c r="F22" s="18"/>
    </row>
    <row r="23" spans="1:8" x14ac:dyDescent="0.25">
      <c r="A23" s="9" t="s">
        <v>86</v>
      </c>
      <c r="B23" s="18">
        <f>SUM(B20:B21)</f>
        <v>57200</v>
      </c>
      <c r="C23" s="18">
        <f t="shared" ref="C23:F23" si="1">SUM(C20:C21)</f>
        <v>58916</v>
      </c>
      <c r="D23" s="18">
        <f t="shared" si="1"/>
        <v>60632</v>
      </c>
      <c r="E23" s="18">
        <f t="shared" si="1"/>
        <v>62348</v>
      </c>
      <c r="F23" s="18">
        <f t="shared" si="1"/>
        <v>64064</v>
      </c>
      <c r="H23" t="s">
        <v>206</v>
      </c>
    </row>
    <row r="24" spans="1:8" x14ac:dyDescent="0.25">
      <c r="A24" s="9" t="s">
        <v>87</v>
      </c>
      <c r="B24" s="18">
        <f>SUM(B23:F23)</f>
        <v>303160</v>
      </c>
      <c r="C24" s="18"/>
      <c r="D24" s="18"/>
      <c r="E24" s="18"/>
      <c r="F24" s="18"/>
      <c r="H24" t="s">
        <v>205</v>
      </c>
    </row>
    <row r="25" spans="1:8" x14ac:dyDescent="0.25">
      <c r="A25" s="16"/>
      <c r="B25" s="16"/>
      <c r="C25" s="16"/>
      <c r="D25" s="16"/>
      <c r="E25" s="16"/>
      <c r="F25" s="16"/>
    </row>
    <row r="26" spans="1:8" x14ac:dyDescent="0.25">
      <c r="A26" s="15" t="s">
        <v>189</v>
      </c>
      <c r="B26" s="19">
        <f>B14+B23</f>
        <v>5471603.2000000002</v>
      </c>
      <c r="C26" s="19">
        <f t="shared" ref="C26:F26" si="2">C14+C23</f>
        <v>195432.99600000001</v>
      </c>
      <c r="D26" s="19">
        <f t="shared" si="2"/>
        <v>197062.79200000002</v>
      </c>
      <c r="E26" s="19">
        <f t="shared" si="2"/>
        <v>201892.58800000002</v>
      </c>
      <c r="F26" s="19">
        <f t="shared" si="2"/>
        <v>206722.38400000002</v>
      </c>
    </row>
  </sheetData>
  <mergeCells count="3">
    <mergeCell ref="A1:F1"/>
    <mergeCell ref="B3:F3"/>
    <mergeCell ref="B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2" workbookViewId="0">
      <selection activeCell="D59" sqref="D59"/>
    </sheetView>
  </sheetViews>
  <sheetFormatPr defaultRowHeight="15" x14ac:dyDescent="0.25"/>
  <cols>
    <col min="2" max="2" width="12.7109375" bestFit="1" customWidth="1"/>
    <col min="3" max="3" width="36.7109375" bestFit="1" customWidth="1"/>
    <col min="4" max="4" width="74.85546875" bestFit="1" customWidth="1"/>
  </cols>
  <sheetData>
    <row r="1" spans="1:4" x14ac:dyDescent="0.25">
      <c r="A1" t="s">
        <v>117</v>
      </c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B3" s="24">
        <v>60000</v>
      </c>
      <c r="C3" s="25" t="s">
        <v>127</v>
      </c>
      <c r="D3" s="25" t="s">
        <v>128</v>
      </c>
    </row>
    <row r="4" spans="1:4" x14ac:dyDescent="0.25">
      <c r="B4" s="24">
        <v>9000</v>
      </c>
      <c r="C4" s="25" t="s">
        <v>129</v>
      </c>
      <c r="D4" s="25" t="s">
        <v>130</v>
      </c>
    </row>
    <row r="5" spans="1:4" x14ac:dyDescent="0.25">
      <c r="B5" s="25"/>
      <c r="C5" s="25"/>
      <c r="D5" s="25"/>
    </row>
    <row r="6" spans="1:4" x14ac:dyDescent="0.25">
      <c r="B6" s="25">
        <v>6</v>
      </c>
      <c r="C6" s="25" t="s">
        <v>121</v>
      </c>
      <c r="D6" s="25" t="s">
        <v>124</v>
      </c>
    </row>
    <row r="7" spans="1:4" x14ac:dyDescent="0.25">
      <c r="B7" s="25">
        <v>2</v>
      </c>
      <c r="C7" s="25" t="s">
        <v>122</v>
      </c>
      <c r="D7" s="25" t="s">
        <v>125</v>
      </c>
    </row>
    <row r="8" spans="1:4" x14ac:dyDescent="0.25">
      <c r="B8" s="25">
        <v>2</v>
      </c>
      <c r="C8" s="25" t="s">
        <v>123</v>
      </c>
      <c r="D8" s="25" t="s">
        <v>126</v>
      </c>
    </row>
    <row r="9" spans="1:4" x14ac:dyDescent="0.25">
      <c r="B9" s="25"/>
      <c r="C9" s="25"/>
      <c r="D9" s="25"/>
    </row>
    <row r="10" spans="1:4" x14ac:dyDescent="0.25">
      <c r="B10" s="24">
        <f>574812*6</f>
        <v>3448872</v>
      </c>
      <c r="C10" s="25" t="s">
        <v>118</v>
      </c>
      <c r="D10" s="25" t="s">
        <v>137</v>
      </c>
    </row>
    <row r="11" spans="1:4" x14ac:dyDescent="0.25">
      <c r="B11" s="24">
        <f>315752*2</f>
        <v>631504</v>
      </c>
      <c r="C11" s="25" t="s">
        <v>119</v>
      </c>
      <c r="D11" s="25" t="s">
        <v>139</v>
      </c>
    </row>
    <row r="12" spans="1:4" x14ac:dyDescent="0.25">
      <c r="B12" s="24">
        <f>574812*2</f>
        <v>1149624</v>
      </c>
      <c r="C12" s="25" t="s">
        <v>120</v>
      </c>
      <c r="D12" s="25" t="s">
        <v>140</v>
      </c>
    </row>
    <row r="13" spans="1:4" x14ac:dyDescent="0.25">
      <c r="B13" s="24">
        <f>SUM(B10:B12)</f>
        <v>5230000</v>
      </c>
      <c r="C13" s="25" t="s">
        <v>131</v>
      </c>
      <c r="D13" s="25" t="s">
        <v>146</v>
      </c>
    </row>
    <row r="14" spans="1:4" x14ac:dyDescent="0.25">
      <c r="B14" s="25"/>
      <c r="C14" s="25"/>
      <c r="D14" s="25"/>
    </row>
    <row r="15" spans="1:4" x14ac:dyDescent="0.25">
      <c r="B15" s="24">
        <v>32446.080000000002</v>
      </c>
      <c r="C15" s="25" t="s">
        <v>143</v>
      </c>
      <c r="D15" s="25" t="s">
        <v>138</v>
      </c>
    </row>
    <row r="16" spans="1:4" x14ac:dyDescent="0.25">
      <c r="B16" s="24">
        <v>19901.04</v>
      </c>
      <c r="C16" s="25" t="s">
        <v>144</v>
      </c>
      <c r="D16" s="25" t="s">
        <v>141</v>
      </c>
    </row>
    <row r="17" spans="2:4" x14ac:dyDescent="0.25">
      <c r="B17" s="24">
        <v>32446.080000000002</v>
      </c>
      <c r="C17" s="25" t="s">
        <v>145</v>
      </c>
      <c r="D17" s="25" t="s">
        <v>142</v>
      </c>
    </row>
    <row r="18" spans="2:4" x14ac:dyDescent="0.25">
      <c r="B18" s="26">
        <v>0.03</v>
      </c>
      <c r="C18" s="25" t="s">
        <v>172</v>
      </c>
      <c r="D18" s="25" t="s">
        <v>176</v>
      </c>
    </row>
    <row r="19" spans="2:4" x14ac:dyDescent="0.25">
      <c r="B19" s="26">
        <v>0.06</v>
      </c>
      <c r="C19" s="25" t="s">
        <v>173</v>
      </c>
      <c r="D19" s="25" t="s">
        <v>177</v>
      </c>
    </row>
    <row r="20" spans="2:4" x14ac:dyDescent="0.25">
      <c r="B20" s="26">
        <v>0.09</v>
      </c>
      <c r="C20" s="25" t="s">
        <v>174</v>
      </c>
      <c r="D20" s="25" t="s">
        <v>178</v>
      </c>
    </row>
    <row r="21" spans="2:4" x14ac:dyDescent="0.25">
      <c r="B21" s="26">
        <v>0.12</v>
      </c>
      <c r="C21" s="25" t="s">
        <v>175</v>
      </c>
      <c r="D21" s="25" t="s">
        <v>179</v>
      </c>
    </row>
    <row r="22" spans="2:4" x14ac:dyDescent="0.25">
      <c r="B22" s="25"/>
      <c r="C22" s="25"/>
      <c r="D22" s="25"/>
    </row>
    <row r="23" spans="2:4" x14ac:dyDescent="0.25">
      <c r="B23" s="28">
        <v>34200</v>
      </c>
      <c r="C23" s="25" t="s">
        <v>159</v>
      </c>
      <c r="D23" s="25" t="s">
        <v>147</v>
      </c>
    </row>
    <row r="24" spans="2:4" x14ac:dyDescent="0.25">
      <c r="B24" s="28">
        <v>11400</v>
      </c>
      <c r="C24" s="25" t="s">
        <v>160</v>
      </c>
      <c r="D24" s="25" t="s">
        <v>149</v>
      </c>
    </row>
    <row r="25" spans="2:4" x14ac:dyDescent="0.25">
      <c r="B25" s="28">
        <v>11400</v>
      </c>
      <c r="C25" s="25" t="s">
        <v>161</v>
      </c>
      <c r="D25" s="25" t="s">
        <v>148</v>
      </c>
    </row>
    <row r="26" spans="2:4" x14ac:dyDescent="0.25">
      <c r="B26" s="25"/>
      <c r="C26" s="25"/>
      <c r="D26" s="25"/>
    </row>
    <row r="27" spans="2:4" x14ac:dyDescent="0.25">
      <c r="B27" s="28">
        <v>30780</v>
      </c>
      <c r="C27" s="25" t="s">
        <v>162</v>
      </c>
      <c r="D27" s="25" t="s">
        <v>150</v>
      </c>
    </row>
    <row r="28" spans="2:4" x14ac:dyDescent="0.25">
      <c r="B28" s="28">
        <v>8550</v>
      </c>
      <c r="C28" s="25" t="s">
        <v>163</v>
      </c>
      <c r="D28" s="25" t="s">
        <v>151</v>
      </c>
    </row>
    <row r="29" spans="2:4" x14ac:dyDescent="0.25">
      <c r="B29" s="28">
        <v>6840</v>
      </c>
      <c r="C29" s="25" t="s">
        <v>164</v>
      </c>
      <c r="D29" s="25" t="s">
        <v>152</v>
      </c>
    </row>
    <row r="30" spans="2:4" x14ac:dyDescent="0.25">
      <c r="B30" s="25"/>
      <c r="C30" s="25"/>
      <c r="D30" s="25"/>
    </row>
    <row r="31" spans="2:4" x14ac:dyDescent="0.25">
      <c r="B31" s="24">
        <v>560</v>
      </c>
      <c r="C31" s="25" t="s">
        <v>168</v>
      </c>
      <c r="D31" s="25" t="s">
        <v>132</v>
      </c>
    </row>
    <row r="32" spans="2:4" x14ac:dyDescent="0.25">
      <c r="B32" s="24">
        <v>16800</v>
      </c>
      <c r="C32" s="25" t="s">
        <v>165</v>
      </c>
      <c r="D32" s="25" t="s">
        <v>153</v>
      </c>
    </row>
    <row r="33" spans="2:4" x14ac:dyDescent="0.25">
      <c r="B33" s="24">
        <v>5600</v>
      </c>
      <c r="C33" s="25" t="s">
        <v>166</v>
      </c>
      <c r="D33" s="25" t="s">
        <v>154</v>
      </c>
    </row>
    <row r="34" spans="2:4" x14ac:dyDescent="0.25">
      <c r="B34" s="24">
        <v>5600</v>
      </c>
      <c r="C34" s="25" t="s">
        <v>167</v>
      </c>
      <c r="D34" s="25" t="s">
        <v>155</v>
      </c>
    </row>
    <row r="35" spans="2:4" x14ac:dyDescent="0.25">
      <c r="B35" s="26">
        <v>0.03</v>
      </c>
      <c r="C35" s="25" t="s">
        <v>187</v>
      </c>
      <c r="D35" s="25" t="s">
        <v>186</v>
      </c>
    </row>
    <row r="36" spans="2:4" x14ac:dyDescent="0.25">
      <c r="B36" s="26">
        <v>0.06</v>
      </c>
      <c r="C36" s="25" t="s">
        <v>180</v>
      </c>
      <c r="D36" s="25" t="s">
        <v>185</v>
      </c>
    </row>
    <row r="37" spans="2:4" x14ac:dyDescent="0.25">
      <c r="B37" s="26">
        <v>0.09</v>
      </c>
      <c r="C37" s="25" t="s">
        <v>181</v>
      </c>
      <c r="D37" s="25" t="s">
        <v>184</v>
      </c>
    </row>
    <row r="38" spans="2:4" x14ac:dyDescent="0.25">
      <c r="B38" s="26">
        <v>0.12</v>
      </c>
      <c r="C38" s="25" t="s">
        <v>182</v>
      </c>
      <c r="D38" s="25" t="s">
        <v>183</v>
      </c>
    </row>
    <row r="39" spans="2:4" x14ac:dyDescent="0.25">
      <c r="B39" s="24"/>
      <c r="C39" s="25"/>
      <c r="D39" s="25"/>
    </row>
    <row r="40" spans="2:4" x14ac:dyDescent="0.25">
      <c r="B40" s="24">
        <v>17520</v>
      </c>
      <c r="C40" s="25" t="s">
        <v>169</v>
      </c>
      <c r="D40" s="25" t="s">
        <v>156</v>
      </c>
    </row>
    <row r="41" spans="2:4" x14ac:dyDescent="0.25">
      <c r="B41" s="24">
        <v>5840</v>
      </c>
      <c r="C41" s="25" t="s">
        <v>170</v>
      </c>
      <c r="D41" s="25" t="s">
        <v>157</v>
      </c>
    </row>
    <row r="42" spans="2:4" x14ac:dyDescent="0.25">
      <c r="B42" s="24">
        <v>5840</v>
      </c>
      <c r="C42" s="25" t="s">
        <v>171</v>
      </c>
      <c r="D42" s="25" t="s">
        <v>158</v>
      </c>
    </row>
    <row r="43" spans="2:4" x14ac:dyDescent="0.25">
      <c r="B43" s="25"/>
      <c r="C43" s="25"/>
      <c r="D43" s="25"/>
    </row>
    <row r="44" spans="2:4" x14ac:dyDescent="0.25">
      <c r="B44" s="24">
        <v>10000</v>
      </c>
      <c r="C44" s="25" t="s">
        <v>133</v>
      </c>
      <c r="D44" s="25" t="s">
        <v>135</v>
      </c>
    </row>
    <row r="45" spans="2:4" x14ac:dyDescent="0.25">
      <c r="B45" s="24">
        <v>5000</v>
      </c>
      <c r="C45" s="25" t="s">
        <v>134</v>
      </c>
      <c r="D45" s="25" t="s">
        <v>136</v>
      </c>
    </row>
    <row r="46" spans="2:4" x14ac:dyDescent="0.25">
      <c r="B46" s="25"/>
      <c r="C46" s="25"/>
      <c r="D46" s="25"/>
    </row>
    <row r="47" spans="2:4" x14ac:dyDescent="0.25">
      <c r="B47" s="24">
        <v>18000</v>
      </c>
      <c r="C47" s="25" t="s">
        <v>54</v>
      </c>
      <c r="D47" s="25" t="s">
        <v>55</v>
      </c>
    </row>
    <row r="48" spans="2:4" x14ac:dyDescent="0.25">
      <c r="B48" s="24">
        <v>4200</v>
      </c>
      <c r="C48" s="25" t="s">
        <v>66</v>
      </c>
      <c r="D48" s="25" t="s">
        <v>67</v>
      </c>
    </row>
    <row r="49" spans="2:4" x14ac:dyDescent="0.25">
      <c r="B49" s="24">
        <v>6000</v>
      </c>
      <c r="C49" s="25" t="s">
        <v>68</v>
      </c>
      <c r="D49" s="25" t="s">
        <v>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23" sqref="B23"/>
    </sheetView>
  </sheetViews>
  <sheetFormatPr defaultRowHeight="15" x14ac:dyDescent="0.25"/>
  <cols>
    <col min="1" max="1" width="48.28515625" customWidth="1"/>
    <col min="2" max="2" width="31.7109375" customWidth="1"/>
    <col min="3" max="3" width="13.5703125" bestFit="1" customWidth="1"/>
    <col min="4" max="7" width="12.7109375" bestFit="1" customWidth="1"/>
  </cols>
  <sheetData>
    <row r="1" spans="1:7" ht="21" x14ac:dyDescent="0.25">
      <c r="A1" s="52" t="s">
        <v>190</v>
      </c>
      <c r="B1" s="52"/>
      <c r="C1" s="52"/>
      <c r="D1" s="52"/>
      <c r="E1" s="52"/>
      <c r="F1" s="52"/>
      <c r="G1" s="52"/>
    </row>
    <row r="3" spans="1:7" x14ac:dyDescent="0.25">
      <c r="A3" s="48" t="s">
        <v>191</v>
      </c>
      <c r="B3" s="49" t="s">
        <v>71</v>
      </c>
      <c r="C3" s="47" t="s">
        <v>72</v>
      </c>
      <c r="D3" s="47"/>
      <c r="E3" s="47"/>
      <c r="F3" s="47"/>
      <c r="G3" s="47"/>
    </row>
    <row r="4" spans="1:7" x14ac:dyDescent="0.25">
      <c r="A4" s="48"/>
      <c r="B4" s="50"/>
      <c r="C4" s="20" t="s">
        <v>74</v>
      </c>
      <c r="D4" s="20" t="s">
        <v>75</v>
      </c>
      <c r="E4" s="20" t="s">
        <v>76</v>
      </c>
      <c r="F4" s="20" t="s">
        <v>77</v>
      </c>
      <c r="G4" s="20" t="s">
        <v>78</v>
      </c>
    </row>
    <row r="5" spans="1:7" x14ac:dyDescent="0.25">
      <c r="A5" s="51"/>
      <c r="B5" s="44" t="s">
        <v>81</v>
      </c>
      <c r="C5" s="45">
        <v>103618</v>
      </c>
      <c r="D5" s="45">
        <v>106784</v>
      </c>
      <c r="E5" s="45">
        <v>109829.4</v>
      </c>
      <c r="F5" s="45">
        <v>112995.4</v>
      </c>
      <c r="G5" s="45">
        <v>116161.4</v>
      </c>
    </row>
    <row r="6" spans="1:7" x14ac:dyDescent="0.25">
      <c r="A6" s="51"/>
      <c r="B6" s="44" t="s">
        <v>192</v>
      </c>
      <c r="C6" s="45">
        <f>SUM(C5:G5)</f>
        <v>549388.20000000007</v>
      </c>
      <c r="D6" s="11"/>
      <c r="E6" s="11"/>
      <c r="F6" s="11"/>
      <c r="G6" s="11"/>
    </row>
    <row r="7" spans="1:7" x14ac:dyDescent="0.25">
      <c r="A7" s="51"/>
      <c r="B7" s="44" t="s">
        <v>86</v>
      </c>
      <c r="C7" s="36">
        <v>1393040</v>
      </c>
      <c r="D7" s="36">
        <v>1420900.8</v>
      </c>
      <c r="E7" s="36">
        <v>1448761.6</v>
      </c>
      <c r="F7" s="36">
        <v>1476622.4</v>
      </c>
      <c r="G7" s="36">
        <v>1504483.2</v>
      </c>
    </row>
    <row r="8" spans="1:7" x14ac:dyDescent="0.25">
      <c r="A8" s="51"/>
      <c r="B8" s="44" t="s">
        <v>87</v>
      </c>
      <c r="C8" s="36">
        <f>SUM(C7:G7)</f>
        <v>7243808.0000000009</v>
      </c>
      <c r="D8" s="11"/>
      <c r="E8" s="11"/>
      <c r="F8" s="11"/>
      <c r="G8" s="11"/>
    </row>
    <row r="9" spans="1:7" x14ac:dyDescent="0.25">
      <c r="C9" s="38"/>
      <c r="D9" s="37"/>
      <c r="E9" s="37"/>
      <c r="F9" s="37"/>
      <c r="G9" s="37"/>
    </row>
    <row r="10" spans="1:7" x14ac:dyDescent="0.25">
      <c r="A10" s="48" t="s">
        <v>193</v>
      </c>
      <c r="B10" s="49" t="s">
        <v>71</v>
      </c>
      <c r="C10" s="46" t="s">
        <v>72</v>
      </c>
      <c r="D10" s="46"/>
      <c r="E10" s="46"/>
      <c r="F10" s="46"/>
      <c r="G10" s="46"/>
    </row>
    <row r="11" spans="1:7" x14ac:dyDescent="0.25">
      <c r="A11" s="48"/>
      <c r="B11" s="50"/>
      <c r="C11" s="20" t="s">
        <v>74</v>
      </c>
      <c r="D11" s="20" t="s">
        <v>75</v>
      </c>
      <c r="E11" s="20" t="s">
        <v>76</v>
      </c>
      <c r="F11" s="20" t="s">
        <v>77</v>
      </c>
      <c r="G11" s="20" t="s">
        <v>78</v>
      </c>
    </row>
    <row r="12" spans="1:7" x14ac:dyDescent="0.25">
      <c r="A12" s="51"/>
      <c r="B12" s="44" t="s">
        <v>81</v>
      </c>
      <c r="C12" s="45">
        <v>5414403.2000000002</v>
      </c>
      <c r="D12" s="45">
        <v>136517</v>
      </c>
      <c r="E12" s="45">
        <v>136430.79</v>
      </c>
      <c r="F12" s="45">
        <v>139544.59</v>
      </c>
      <c r="G12" s="45">
        <v>142658.38</v>
      </c>
    </row>
    <row r="13" spans="1:7" x14ac:dyDescent="0.25">
      <c r="A13" s="51"/>
      <c r="B13" s="44" t="s">
        <v>192</v>
      </c>
      <c r="C13" s="45">
        <f>SUM(C12:G12)</f>
        <v>5969553.96</v>
      </c>
      <c r="D13" s="11"/>
      <c r="E13" s="11"/>
      <c r="F13" s="11"/>
      <c r="G13" s="11"/>
    </row>
    <row r="14" spans="1:7" x14ac:dyDescent="0.25">
      <c r="A14" s="51"/>
      <c r="B14" s="44" t="s">
        <v>86</v>
      </c>
      <c r="C14" s="45">
        <v>57200</v>
      </c>
      <c r="D14" s="45">
        <v>58916</v>
      </c>
      <c r="E14" s="45">
        <v>60632</v>
      </c>
      <c r="F14" s="45">
        <v>62348</v>
      </c>
      <c r="G14" s="45">
        <v>64064</v>
      </c>
    </row>
    <row r="15" spans="1:7" x14ac:dyDescent="0.25">
      <c r="A15" s="51"/>
      <c r="B15" s="44" t="s">
        <v>87</v>
      </c>
      <c r="C15" s="45">
        <f>SUM(C14:G14)</f>
        <v>303160</v>
      </c>
      <c r="D15" s="11"/>
      <c r="E15" s="11"/>
      <c r="F15" s="11"/>
      <c r="G15" s="11"/>
    </row>
    <row r="17" spans="1:2" x14ac:dyDescent="0.25">
      <c r="A17" s="39" t="s">
        <v>194</v>
      </c>
      <c r="B17" s="40">
        <f>C6-C8</f>
        <v>-6694419.8000000007</v>
      </c>
    </row>
    <row r="18" spans="1:2" x14ac:dyDescent="0.25">
      <c r="A18" s="39" t="s">
        <v>195</v>
      </c>
      <c r="B18" s="41">
        <f>C13-C15</f>
        <v>5666393.96</v>
      </c>
    </row>
    <row r="19" spans="1:2" x14ac:dyDescent="0.25">
      <c r="A19" s="42" t="s">
        <v>196</v>
      </c>
      <c r="B19" s="43">
        <f>(C8+C6)-(C13+C15)</f>
        <v>1520482.2400000012</v>
      </c>
    </row>
  </sheetData>
  <mergeCells count="7">
    <mergeCell ref="A1:G1"/>
    <mergeCell ref="C3:G3"/>
    <mergeCell ref="C10:G10"/>
    <mergeCell ref="A3:A4"/>
    <mergeCell ref="A10:A11"/>
    <mergeCell ref="B10:B11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80</vt:i4>
      </vt:variant>
    </vt:vector>
  </HeadingPairs>
  <TitlesOfParts>
    <vt:vector size="85" baseType="lpstr">
      <vt:lpstr>Current Infrastructure Cost</vt:lpstr>
      <vt:lpstr>Current Variables</vt:lpstr>
      <vt:lpstr>Projected Virtualization Cost</vt:lpstr>
      <vt:lpstr>Virtualization Variables</vt:lpstr>
      <vt:lpstr>Summary</vt:lpstr>
      <vt:lpstr>amntServersGroup1</vt:lpstr>
      <vt:lpstr>amntServersGroup2</vt:lpstr>
      <vt:lpstr>amntServersGroup3</vt:lpstr>
      <vt:lpstr>maintainCostPerYearIncrease</vt:lpstr>
      <vt:lpstr>maintainCostYear1Group1A</vt:lpstr>
      <vt:lpstr>maintainCostYear1Group1B</vt:lpstr>
      <vt:lpstr>maintainCostYear1Group2</vt:lpstr>
      <vt:lpstr>maintainCostYear1Group3A</vt:lpstr>
      <vt:lpstr>maintainCostYear1Group3B</vt:lpstr>
      <vt:lpstr>numServersGroup1A</vt:lpstr>
      <vt:lpstr>numServersGroup1B</vt:lpstr>
      <vt:lpstr>numServersGroup2</vt:lpstr>
      <vt:lpstr>numServersGroup3A</vt:lpstr>
      <vt:lpstr>numServersGroup3B</vt:lpstr>
      <vt:lpstr>servAdminCostIncreasePerYear</vt:lpstr>
      <vt:lpstr>servAdminCostPerAdminWeek</vt:lpstr>
      <vt:lpstr>servAdminCostPerVirtualWeek</vt:lpstr>
      <vt:lpstr>servAdminCostVirtualYear1Group1</vt:lpstr>
      <vt:lpstr>servAdminCostVirtualYear1Group2</vt:lpstr>
      <vt:lpstr>servAdminCostVirtualYear1Group3</vt:lpstr>
      <vt:lpstr>servAdminCostVirutalIncrease</vt:lpstr>
      <vt:lpstr>servAdminCostVirutalIncreaseYear2</vt:lpstr>
      <vt:lpstr>servAdminCostVirutalIncreaseYear3</vt:lpstr>
      <vt:lpstr>servAdminCostVirutalIncreaseYear4</vt:lpstr>
      <vt:lpstr>servAdminCostVirutalIncreaseYear5</vt:lpstr>
      <vt:lpstr>servAdminCostYear1Group1A</vt:lpstr>
      <vt:lpstr>servAdminCostYear1Group1B</vt:lpstr>
      <vt:lpstr>servAdminCostYear1Group2</vt:lpstr>
      <vt:lpstr>servAdminCostYear1Group3A</vt:lpstr>
      <vt:lpstr>servAdminCostYear1Group3B</vt:lpstr>
      <vt:lpstr>servBackUpCopiesYear1</vt:lpstr>
      <vt:lpstr>servBackUpCopiesYear3</vt:lpstr>
      <vt:lpstr>servBackUpCostVirtualYear1Group1</vt:lpstr>
      <vt:lpstr>servBackUpCostVirtualYear1Group2</vt:lpstr>
      <vt:lpstr>servBackUpCostVirtualYear1Group3</vt:lpstr>
      <vt:lpstr>servBackUpCostYearlyGroup1A</vt:lpstr>
      <vt:lpstr>servBackUpCostYearlyGroup1B</vt:lpstr>
      <vt:lpstr>servBackUpCostYearlyGroup2</vt:lpstr>
      <vt:lpstr>servBackUpCostYearlyGroup3A</vt:lpstr>
      <vt:lpstr>servBackUpCostYearlyGroup3B</vt:lpstr>
      <vt:lpstr>servG1SecurityAuditsPerYear</vt:lpstr>
      <vt:lpstr>servLoadAvgGroup1A</vt:lpstr>
      <vt:lpstr>servLoadAvgGroup1B</vt:lpstr>
      <vt:lpstr>servLoadAvgGroup2</vt:lpstr>
      <vt:lpstr>servLoadAvgGroup3A</vt:lpstr>
      <vt:lpstr>servLoadAvgGroup3B</vt:lpstr>
      <vt:lpstr>servLoadAvgVirtualGroup1</vt:lpstr>
      <vt:lpstr>servLoadAvgVirtualGroup2</vt:lpstr>
      <vt:lpstr>servLoadAvgVirtualGroup3</vt:lpstr>
      <vt:lpstr>servMaintenanceCostIncrease</vt:lpstr>
      <vt:lpstr>servMaintenanceCostYear2</vt:lpstr>
      <vt:lpstr>servMaintenanceCostYear3</vt:lpstr>
      <vt:lpstr>servMaintenanceCostYear4</vt:lpstr>
      <vt:lpstr>servMaintenanceCostYear5</vt:lpstr>
      <vt:lpstr>servMaintenanceYear1Group1</vt:lpstr>
      <vt:lpstr>servMaintenanceYear1Group2</vt:lpstr>
      <vt:lpstr>servMaintenanceYear1Group3</vt:lpstr>
      <vt:lpstr>servPowerGroup1A</vt:lpstr>
      <vt:lpstr>servPowerGroup1B</vt:lpstr>
      <vt:lpstr>servPowerGroup2</vt:lpstr>
      <vt:lpstr>servPowerGroup3A</vt:lpstr>
      <vt:lpstr>servPowerGroup3B</vt:lpstr>
      <vt:lpstr>servPowerSumOfGroups</vt:lpstr>
      <vt:lpstr>servPowerVirtualGroup1</vt:lpstr>
      <vt:lpstr>servPowerVirtualGroup2</vt:lpstr>
      <vt:lpstr>servPowerVirtualGroup3</vt:lpstr>
      <vt:lpstr>servPriceGroup1</vt:lpstr>
      <vt:lpstr>servPriceGroup2</vt:lpstr>
      <vt:lpstr>servPriceGroup3</vt:lpstr>
      <vt:lpstr>servPriceGroupTotal</vt:lpstr>
      <vt:lpstr>servPricePerkwH</vt:lpstr>
      <vt:lpstr>servPricePerkwHYear1</vt:lpstr>
      <vt:lpstr>servPricePerkwHYear2</vt:lpstr>
      <vt:lpstr>servPricePerkwHYear3</vt:lpstr>
      <vt:lpstr>servPricePerkwHYear4</vt:lpstr>
      <vt:lpstr>servPricePerkwHYear5</vt:lpstr>
      <vt:lpstr>softwarePurchaseVMware</vt:lpstr>
      <vt:lpstr>softwarePurchaseVMwareMaintenance</vt:lpstr>
      <vt:lpstr>trainingPerEmployeeYear1</vt:lpstr>
      <vt:lpstr>trainingPerEmployeeYear3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BrianDesktop</dc:creator>
  <cp:lastModifiedBy>BrianDesktop</cp:lastModifiedBy>
  <dcterms:created xsi:type="dcterms:W3CDTF">2015-02-07T20:25:24Z</dcterms:created>
  <dcterms:modified xsi:type="dcterms:W3CDTF">2015-02-09T00:40:21Z</dcterms:modified>
</cp:coreProperties>
</file>