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d.docs.live.net/bb8e3d2de811e2f8/Escritorio/nutrismart/NutriSmart_Excel/"/>
    </mc:Choice>
  </mc:AlternateContent>
  <xr:revisionPtr revIDLastSave="4565" documentId="8_{A3402956-74FB-4B9C-923D-09CA48365439}" xr6:coauthVersionLast="47" xr6:coauthVersionMax="47" xr10:uidLastSave="{7DF44B30-DC46-4026-B681-EE3F7BAD70EB}"/>
  <bookViews>
    <workbookView xWindow="-110" yWindow="-110" windowWidth="19420" windowHeight="10300" activeTab="1" xr2:uid="{7DC8F523-B675-44A4-9AFE-46E93CC396B2}"/>
  </bookViews>
  <sheets>
    <sheet name="Dashboard" sheetId="5" r:id="rId1"/>
    <sheet name="Registry" sheetId="1" r:id="rId2"/>
    <sheet name="Food" sheetId="3" r:id="rId3"/>
    <sheet name="goals" sheetId="2" r:id="rId4"/>
    <sheet name="pivot_tables" sheetId="4" r:id="rId5"/>
  </sheets>
  <definedNames>
    <definedName name="Slicer_date">#N/A</definedName>
  </definedNames>
  <calcPr calcId="191028"/>
  <pivotCaches>
    <pivotCache cacheId="5"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8" i="1" l="1"/>
  <c r="E88" i="1"/>
  <c r="F88" i="1"/>
  <c r="G88" i="1"/>
  <c r="H88" i="1" a="1"/>
  <c r="H88" i="1"/>
  <c r="I88" i="1" a="1"/>
  <c r="I88" i="1"/>
  <c r="J88" i="1" a="1"/>
  <c r="J88" i="1" s="1"/>
  <c r="K88" i="1" a="1"/>
  <c r="K88" i="1" s="1"/>
  <c r="M88" i="1" a="1"/>
  <c r="M88" i="1" s="1"/>
  <c r="N88" i="1" a="1"/>
  <c r="N88" i="1"/>
  <c r="O88" i="1" a="1"/>
  <c r="O88" i="1"/>
  <c r="D87" i="1"/>
  <c r="E87" i="1"/>
  <c r="F87" i="1"/>
  <c r="G87" i="1"/>
  <c r="H87" i="1" a="1"/>
  <c r="H87" i="1"/>
  <c r="I87" i="1" a="1"/>
  <c r="I87" i="1"/>
  <c r="J87" i="1" a="1"/>
  <c r="J87" i="1" s="1"/>
  <c r="K87" i="1" a="1"/>
  <c r="K87" i="1" s="1"/>
  <c r="M87" i="1" a="1"/>
  <c r="M87" i="1"/>
  <c r="N87" i="1" a="1"/>
  <c r="N87" i="1" s="1"/>
  <c r="O87" i="1" a="1"/>
  <c r="O87" i="1"/>
  <c r="D86" i="1"/>
  <c r="E86" i="1"/>
  <c r="F86" i="1"/>
  <c r="G86" i="1"/>
  <c r="H86" i="1" a="1"/>
  <c r="H86" i="1"/>
  <c r="I86" i="1" a="1"/>
  <c r="I86" i="1"/>
  <c r="J86" i="1" a="1"/>
  <c r="J86" i="1"/>
  <c r="K86" i="1" a="1"/>
  <c r="K86" i="1" s="1"/>
  <c r="M86" i="1" a="1"/>
  <c r="M86" i="1" s="1"/>
  <c r="N86" i="1" a="1"/>
  <c r="N86" i="1" s="1"/>
  <c r="O86" i="1" a="1"/>
  <c r="O86" i="1"/>
  <c r="D85" i="1"/>
  <c r="E85" i="1"/>
  <c r="F85" i="1"/>
  <c r="G85" i="1"/>
  <c r="H85" i="1" a="1"/>
  <c r="H85" i="1"/>
  <c r="I85" i="1" a="1"/>
  <c r="I85" i="1"/>
  <c r="J85" i="1" a="1"/>
  <c r="J85" i="1" s="1"/>
  <c r="K85" i="1" a="1"/>
  <c r="K85" i="1" s="1"/>
  <c r="M85" i="1" a="1"/>
  <c r="M85" i="1" s="1"/>
  <c r="N85" i="1" a="1"/>
  <c r="N85" i="1" s="1"/>
  <c r="O85" i="1" a="1"/>
  <c r="O85" i="1"/>
  <c r="D83" i="1"/>
  <c r="D84" i="1"/>
  <c r="E84" i="1"/>
  <c r="F84" i="1"/>
  <c r="G84" i="1"/>
  <c r="H84" i="1" a="1"/>
  <c r="H84" i="1"/>
  <c r="I84" i="1" a="1"/>
  <c r="I84" i="1"/>
  <c r="J84" i="1" a="1"/>
  <c r="J84" i="1"/>
  <c r="K84" i="1" a="1"/>
  <c r="K84" i="1"/>
  <c r="M84" i="1" a="1"/>
  <c r="M84" i="1"/>
  <c r="N84" i="1" a="1"/>
  <c r="N84" i="1"/>
  <c r="O84" i="1" a="1"/>
  <c r="O84" i="1"/>
  <c r="E83" i="1"/>
  <c r="F83" i="1"/>
  <c r="G83" i="1"/>
  <c r="H83" i="1" a="1"/>
  <c r="H83" i="1"/>
  <c r="I83" i="1" a="1"/>
  <c r="I83" i="1"/>
  <c r="J83" i="1" a="1"/>
  <c r="J83" i="1"/>
  <c r="K83" i="1" a="1"/>
  <c r="K83" i="1"/>
  <c r="M83" i="1" a="1"/>
  <c r="M83" i="1"/>
  <c r="N83" i="1" a="1"/>
  <c r="N83" i="1"/>
  <c r="O83" i="1" a="1"/>
  <c r="O83" i="1"/>
  <c r="D82" i="1"/>
  <c r="E82" i="1"/>
  <c r="F82" i="1"/>
  <c r="G82" i="1"/>
  <c r="H82" i="1" a="1"/>
  <c r="H82" i="1"/>
  <c r="I82" i="1" a="1"/>
  <c r="I82" i="1"/>
  <c r="J82" i="1" a="1"/>
  <c r="J82" i="1"/>
  <c r="K82" i="1" a="1"/>
  <c r="K82" i="1"/>
  <c r="M82" i="1" a="1"/>
  <c r="M82" i="1"/>
  <c r="N82" i="1" a="1"/>
  <c r="N82" i="1"/>
  <c r="O82" i="1" a="1"/>
  <c r="O82" i="1"/>
  <c r="D81" i="1"/>
  <c r="E81" i="1"/>
  <c r="F81" i="1"/>
  <c r="G81" i="1"/>
  <c r="H81" i="1" a="1"/>
  <c r="H81" i="1"/>
  <c r="I81" i="1" a="1"/>
  <c r="I81" i="1"/>
  <c r="J81" i="1" a="1"/>
  <c r="J81" i="1"/>
  <c r="K81" i="1" a="1"/>
  <c r="K81" i="1"/>
  <c r="M81" i="1" a="1"/>
  <c r="M81" i="1"/>
  <c r="N81" i="1" a="1"/>
  <c r="N81" i="1"/>
  <c r="O81" i="1" a="1"/>
  <c r="O81" i="1"/>
  <c r="D80" i="1"/>
  <c r="E80" i="1"/>
  <c r="F80" i="1"/>
  <c r="G80" i="1"/>
  <c r="H80" i="1" a="1"/>
  <c r="H80" i="1"/>
  <c r="I80" i="1" a="1"/>
  <c r="I80" i="1"/>
  <c r="J80" i="1" a="1"/>
  <c r="J80" i="1"/>
  <c r="K80" i="1" a="1"/>
  <c r="K80" i="1"/>
  <c r="M80" i="1" a="1"/>
  <c r="M80" i="1"/>
  <c r="N80" i="1" a="1"/>
  <c r="N80" i="1"/>
  <c r="O80" i="1" a="1"/>
  <c r="O80" i="1"/>
  <c r="D79" i="1"/>
  <c r="E79" i="1"/>
  <c r="F79" i="1"/>
  <c r="G79" i="1"/>
  <c r="H79" i="1" a="1"/>
  <c r="H79" i="1"/>
  <c r="I79" i="1" a="1"/>
  <c r="I79" i="1"/>
  <c r="J79" i="1" a="1"/>
  <c r="J79" i="1"/>
  <c r="K79" i="1" a="1"/>
  <c r="K79" i="1"/>
  <c r="M79" i="1" a="1"/>
  <c r="M79" i="1"/>
  <c r="N79" i="1" a="1"/>
  <c r="N79" i="1"/>
  <c r="O79" i="1" a="1"/>
  <c r="O79" i="1"/>
  <c r="D78" i="1"/>
  <c r="E78" i="1"/>
  <c r="F78" i="1"/>
  <c r="G78" i="1"/>
  <c r="H78" i="1" a="1"/>
  <c r="H78" i="1"/>
  <c r="I78" i="1" a="1"/>
  <c r="I78" i="1"/>
  <c r="J78" i="1" a="1"/>
  <c r="J78" i="1"/>
  <c r="K78" i="1" a="1"/>
  <c r="K78" i="1"/>
  <c r="M78" i="1" a="1"/>
  <c r="M78" i="1"/>
  <c r="N78" i="1" a="1"/>
  <c r="N78" i="1"/>
  <c r="O78" i="1" a="1"/>
  <c r="O78" i="1"/>
  <c r="D77" i="1"/>
  <c r="E77" i="1"/>
  <c r="F77" i="1"/>
  <c r="G77" i="1"/>
  <c r="H77" i="1" a="1"/>
  <c r="H77" i="1"/>
  <c r="I77" i="1" a="1"/>
  <c r="I77" i="1"/>
  <c r="J77" i="1" a="1"/>
  <c r="J77" i="1"/>
  <c r="K77" i="1" a="1"/>
  <c r="K77" i="1"/>
  <c r="M77" i="1" a="1"/>
  <c r="M77" i="1"/>
  <c r="N77" i="1" a="1"/>
  <c r="N77" i="1"/>
  <c r="O77" i="1" a="1"/>
  <c r="O77" i="1"/>
  <c r="D76" i="1"/>
  <c r="E76" i="1"/>
  <c r="F76" i="1"/>
  <c r="G76" i="1"/>
  <c r="H76" i="1" a="1"/>
  <c r="H76" i="1"/>
  <c r="I76" i="1" a="1"/>
  <c r="I76" i="1"/>
  <c r="J76" i="1" a="1"/>
  <c r="J76" i="1"/>
  <c r="K76" i="1" a="1"/>
  <c r="K76" i="1"/>
  <c r="M76" i="1" a="1"/>
  <c r="M76" i="1"/>
  <c r="N76" i="1" a="1"/>
  <c r="N76" i="1"/>
  <c r="O76" i="1" a="1"/>
  <c r="O76" i="1"/>
  <c r="D75" i="1"/>
  <c r="E75" i="1"/>
  <c r="F75" i="1"/>
  <c r="G75" i="1"/>
  <c r="H75" i="1" a="1"/>
  <c r="H75" i="1"/>
  <c r="I75" i="1" a="1"/>
  <c r="I75" i="1"/>
  <c r="J75" i="1" a="1"/>
  <c r="J75" i="1"/>
  <c r="K75" i="1" a="1"/>
  <c r="K75" i="1"/>
  <c r="M75" i="1" a="1"/>
  <c r="M75" i="1"/>
  <c r="N75" i="1" a="1"/>
  <c r="N75" i="1"/>
  <c r="O75" i="1" a="1"/>
  <c r="O75" i="1"/>
  <c r="D74" i="1"/>
  <c r="E74" i="1"/>
  <c r="F74" i="1"/>
  <c r="G74" i="1"/>
  <c r="H74" i="1" a="1"/>
  <c r="H74" i="1"/>
  <c r="I74" i="1" a="1"/>
  <c r="I74" i="1"/>
  <c r="J74" i="1" a="1"/>
  <c r="J74" i="1"/>
  <c r="K74" i="1" a="1"/>
  <c r="K74" i="1"/>
  <c r="M74" i="1" a="1"/>
  <c r="M74" i="1"/>
  <c r="N74" i="1" a="1"/>
  <c r="N74" i="1"/>
  <c r="O74" i="1" a="1"/>
  <c r="O74" i="1"/>
  <c r="D73" i="1"/>
  <c r="E73" i="1"/>
  <c r="F73" i="1"/>
  <c r="G73" i="1"/>
  <c r="H73" i="1" a="1"/>
  <c r="H73" i="1"/>
  <c r="I73" i="1" a="1"/>
  <c r="I73" i="1"/>
  <c r="J73" i="1" a="1"/>
  <c r="J73" i="1"/>
  <c r="K73" i="1" a="1"/>
  <c r="K73" i="1"/>
  <c r="M73" i="1" a="1"/>
  <c r="M73" i="1"/>
  <c r="N73" i="1" a="1"/>
  <c r="N73" i="1"/>
  <c r="O73" i="1" a="1"/>
  <c r="O73" i="1"/>
  <c r="D72" i="1"/>
  <c r="E72" i="1"/>
  <c r="F72" i="1"/>
  <c r="G72" i="1"/>
  <c r="H72" i="1" a="1"/>
  <c r="H72" i="1"/>
  <c r="I72" i="1" a="1"/>
  <c r="I72" i="1"/>
  <c r="J72" i="1" a="1"/>
  <c r="J72" i="1"/>
  <c r="K72" i="1" a="1"/>
  <c r="K72" i="1"/>
  <c r="M72" i="1" a="1"/>
  <c r="M72" i="1"/>
  <c r="N72" i="1" a="1"/>
  <c r="N72" i="1"/>
  <c r="O72" i="1" a="1"/>
  <c r="O72" i="1"/>
  <c r="D71" i="1"/>
  <c r="E71" i="1"/>
  <c r="F71" i="1"/>
  <c r="G71" i="1"/>
  <c r="H71" i="1" a="1"/>
  <c r="H71" i="1"/>
  <c r="I71" i="1" a="1"/>
  <c r="I71" i="1"/>
  <c r="J71" i="1" a="1"/>
  <c r="J71" i="1"/>
  <c r="K71" i="1" a="1"/>
  <c r="K71" i="1"/>
  <c r="M71" i="1" a="1"/>
  <c r="M71" i="1"/>
  <c r="N71" i="1" a="1"/>
  <c r="N71" i="1"/>
  <c r="O71" i="1" a="1"/>
  <c r="O71" i="1"/>
  <c r="D70" i="1"/>
  <c r="E70" i="1"/>
  <c r="F70" i="1"/>
  <c r="G70" i="1"/>
  <c r="H70" i="1" a="1"/>
  <c r="H70" i="1"/>
  <c r="I70" i="1" a="1"/>
  <c r="I70" i="1"/>
  <c r="J70" i="1" a="1"/>
  <c r="J70" i="1"/>
  <c r="K70" i="1" a="1"/>
  <c r="K70" i="1"/>
  <c r="M70" i="1" a="1"/>
  <c r="M70" i="1"/>
  <c r="N70" i="1" a="1"/>
  <c r="N70" i="1"/>
  <c r="O70" i="1" a="1"/>
  <c r="O70" i="1"/>
  <c r="D69" i="1"/>
  <c r="E69" i="1"/>
  <c r="F69" i="1"/>
  <c r="G69" i="1"/>
  <c r="H69" i="1" a="1"/>
  <c r="H69" i="1"/>
  <c r="I69" i="1" a="1"/>
  <c r="I69" i="1"/>
  <c r="J69" i="1" a="1"/>
  <c r="J69" i="1"/>
  <c r="K69" i="1" a="1"/>
  <c r="K69" i="1"/>
  <c r="M69" i="1" a="1"/>
  <c r="M69" i="1"/>
  <c r="N69" i="1" a="1"/>
  <c r="N69" i="1"/>
  <c r="O69" i="1" a="1"/>
  <c r="O69" i="1"/>
  <c r="D68" i="1"/>
  <c r="E68" i="1"/>
  <c r="F68" i="1"/>
  <c r="G68" i="1"/>
  <c r="H68" i="1" a="1"/>
  <c r="H68" i="1"/>
  <c r="I68" i="1" a="1"/>
  <c r="I68" i="1"/>
  <c r="J68" i="1" a="1"/>
  <c r="J68" i="1"/>
  <c r="K68" i="1" a="1"/>
  <c r="K68" i="1"/>
  <c r="M68" i="1" a="1"/>
  <c r="M68" i="1"/>
  <c r="N68" i="1" a="1"/>
  <c r="N68" i="1"/>
  <c r="O68" i="1" a="1"/>
  <c r="O68" i="1"/>
  <c r="D67" i="1"/>
  <c r="E67" i="1"/>
  <c r="F67" i="1"/>
  <c r="G67" i="1"/>
  <c r="H67" i="1" a="1"/>
  <c r="H67" i="1"/>
  <c r="I67" i="1" a="1"/>
  <c r="I67" i="1"/>
  <c r="J67" i="1" a="1"/>
  <c r="J67" i="1"/>
  <c r="K67" i="1" a="1"/>
  <c r="K67" i="1"/>
  <c r="M67" i="1" a="1"/>
  <c r="M67" i="1"/>
  <c r="N67" i="1" a="1"/>
  <c r="N67" i="1"/>
  <c r="O67" i="1" a="1"/>
  <c r="O67" i="1"/>
  <c r="D66" i="1"/>
  <c r="E66" i="1"/>
  <c r="F66" i="1"/>
  <c r="G66" i="1"/>
  <c r="H66" i="1" a="1"/>
  <c r="H66" i="1"/>
  <c r="I66" i="1" a="1"/>
  <c r="I66" i="1"/>
  <c r="J66" i="1" a="1"/>
  <c r="J66" i="1"/>
  <c r="K66" i="1" a="1"/>
  <c r="K66" i="1"/>
  <c r="M66" i="1" a="1"/>
  <c r="M66" i="1"/>
  <c r="N66" i="1" a="1"/>
  <c r="N66" i="1"/>
  <c r="O66" i="1" a="1"/>
  <c r="O66" i="1"/>
  <c r="D65" i="1"/>
  <c r="E65" i="1"/>
  <c r="F65" i="1"/>
  <c r="G65" i="1"/>
  <c r="H65" i="1" a="1"/>
  <c r="H65" i="1"/>
  <c r="I65" i="1" a="1"/>
  <c r="I65" i="1"/>
  <c r="J65" i="1" a="1"/>
  <c r="J65" i="1"/>
  <c r="K65" i="1" a="1"/>
  <c r="K65" i="1"/>
  <c r="M65" i="1" a="1"/>
  <c r="M65" i="1"/>
  <c r="N65" i="1" a="1"/>
  <c r="N65" i="1"/>
  <c r="O65" i="1" a="1"/>
  <c r="O65" i="1"/>
  <c r="D64" i="1"/>
  <c r="E64" i="1"/>
  <c r="F64" i="1"/>
  <c r="G64" i="1"/>
  <c r="H64" i="1" a="1"/>
  <c r="H64" i="1"/>
  <c r="I64" i="1" a="1"/>
  <c r="I64" i="1"/>
  <c r="J64" i="1" a="1"/>
  <c r="J64" i="1"/>
  <c r="K64" i="1" a="1"/>
  <c r="K64" i="1"/>
  <c r="M64" i="1" a="1"/>
  <c r="M64" i="1"/>
  <c r="N64" i="1" a="1"/>
  <c r="N64" i="1"/>
  <c r="O64" i="1" a="1"/>
  <c r="O64" i="1"/>
  <c r="D63" i="1"/>
  <c r="E63" i="1"/>
  <c r="F63" i="1"/>
  <c r="G63" i="1"/>
  <c r="H63" i="1" a="1"/>
  <c r="H63" i="1"/>
  <c r="I63" i="1" a="1"/>
  <c r="I63" i="1"/>
  <c r="J63" i="1" a="1"/>
  <c r="J63" i="1"/>
  <c r="K63" i="1" a="1"/>
  <c r="K63" i="1"/>
  <c r="M63" i="1" a="1"/>
  <c r="M63" i="1"/>
  <c r="N63" i="1" a="1"/>
  <c r="N63" i="1"/>
  <c r="O63" i="1" a="1"/>
  <c r="O63" i="1"/>
  <c r="D62" i="1"/>
  <c r="E62" i="1"/>
  <c r="F62" i="1"/>
  <c r="G62" i="1"/>
  <c r="H62" i="1" a="1"/>
  <c r="H62" i="1"/>
  <c r="I62" i="1" a="1"/>
  <c r="I62" i="1"/>
  <c r="J62" i="1" a="1"/>
  <c r="J62" i="1"/>
  <c r="K62" i="1" a="1"/>
  <c r="K62" i="1"/>
  <c r="M62" i="1" a="1"/>
  <c r="M62" i="1"/>
  <c r="N62" i="1" a="1"/>
  <c r="N62" i="1"/>
  <c r="O62" i="1" a="1"/>
  <c r="O62" i="1"/>
  <c r="D61" i="1"/>
  <c r="E61" i="1"/>
  <c r="F61" i="1"/>
  <c r="G61" i="1"/>
  <c r="H61" i="1" a="1"/>
  <c r="H61" i="1"/>
  <c r="I61" i="1" a="1"/>
  <c r="I61" i="1"/>
  <c r="J61" i="1" a="1"/>
  <c r="J61" i="1"/>
  <c r="K61" i="1" a="1"/>
  <c r="K61" i="1"/>
  <c r="M61" i="1" a="1"/>
  <c r="M61" i="1"/>
  <c r="N61" i="1" a="1"/>
  <c r="N61" i="1"/>
  <c r="O61" i="1" a="1"/>
  <c r="O61" i="1"/>
  <c r="D55" i="1"/>
  <c r="D56" i="1"/>
  <c r="D57" i="1"/>
  <c r="D58" i="1"/>
  <c r="D59" i="1"/>
  <c r="D60" i="1"/>
  <c r="E55" i="1"/>
  <c r="E56" i="1"/>
  <c r="E57" i="1"/>
  <c r="E58" i="1"/>
  <c r="E59" i="1"/>
  <c r="E60" i="1"/>
  <c r="F55" i="1"/>
  <c r="F56" i="1"/>
  <c r="F57" i="1"/>
  <c r="F58" i="1"/>
  <c r="F59" i="1"/>
  <c r="F60" i="1"/>
  <c r="G55" i="1"/>
  <c r="G56" i="1"/>
  <c r="G57" i="1"/>
  <c r="G58" i="1"/>
  <c r="G59" i="1"/>
  <c r="G60" i="1"/>
  <c r="H55" i="1" a="1"/>
  <c r="H55" i="1"/>
  <c r="H56" i="1" a="1"/>
  <c r="H56" i="1"/>
  <c r="H57" i="1" a="1"/>
  <c r="H57" i="1"/>
  <c r="H58" i="1" a="1"/>
  <c r="H58" i="1"/>
  <c r="H59" i="1" a="1"/>
  <c r="H59" i="1"/>
  <c r="H60" i="1" a="1"/>
  <c r="H60" i="1"/>
  <c r="I55" i="1" a="1"/>
  <c r="I55" i="1"/>
  <c r="I56" i="1" a="1"/>
  <c r="I56" i="1"/>
  <c r="I57" i="1" a="1"/>
  <c r="I57" i="1"/>
  <c r="I58" i="1" a="1"/>
  <c r="I58" i="1"/>
  <c r="I59" i="1" a="1"/>
  <c r="I59" i="1"/>
  <c r="I60" i="1" a="1"/>
  <c r="I60" i="1"/>
  <c r="J55" i="1" a="1"/>
  <c r="J55" i="1"/>
  <c r="J56" i="1" a="1"/>
  <c r="J56" i="1"/>
  <c r="J57" i="1" a="1"/>
  <c r="J57" i="1"/>
  <c r="J58" i="1" a="1"/>
  <c r="J58" i="1"/>
  <c r="J59" i="1" a="1"/>
  <c r="J59" i="1"/>
  <c r="J60" i="1" a="1"/>
  <c r="J60" i="1"/>
  <c r="K55" i="1" a="1"/>
  <c r="K55" i="1"/>
  <c r="K56" i="1" a="1"/>
  <c r="K56" i="1"/>
  <c r="K57" i="1" a="1"/>
  <c r="K57" i="1"/>
  <c r="K58" i="1" a="1"/>
  <c r="K58" i="1"/>
  <c r="K59" i="1" a="1"/>
  <c r="K59" i="1"/>
  <c r="K60" i="1" a="1"/>
  <c r="K60" i="1"/>
  <c r="M55" i="1" a="1"/>
  <c r="M55" i="1"/>
  <c r="M56" i="1" a="1"/>
  <c r="M56" i="1"/>
  <c r="M57" i="1" a="1"/>
  <c r="M57" i="1"/>
  <c r="M58" i="1" a="1"/>
  <c r="M58" i="1"/>
  <c r="M59" i="1" a="1"/>
  <c r="M59" i="1"/>
  <c r="M60" i="1" a="1"/>
  <c r="M60" i="1"/>
  <c r="N55" i="1" a="1"/>
  <c r="N55" i="1"/>
  <c r="N56" i="1" a="1"/>
  <c r="N56" i="1"/>
  <c r="N57" i="1" a="1"/>
  <c r="N57" i="1"/>
  <c r="N58" i="1" a="1"/>
  <c r="N58" i="1"/>
  <c r="N59" i="1" a="1"/>
  <c r="N59" i="1"/>
  <c r="N60" i="1" a="1"/>
  <c r="N60" i="1"/>
  <c r="O55" i="1" a="1"/>
  <c r="O55" i="1"/>
  <c r="O56" i="1" a="1"/>
  <c r="O56" i="1"/>
  <c r="O57" i="1" a="1"/>
  <c r="O57" i="1"/>
  <c r="O58" i="1" a="1"/>
  <c r="O58" i="1"/>
  <c r="O59" i="1" a="1"/>
  <c r="O59" i="1"/>
  <c r="O60" i="1" a="1"/>
  <c r="O60" i="1"/>
  <c r="D54" i="1"/>
  <c r="E54" i="1"/>
  <c r="F54" i="1"/>
  <c r="G54" i="1"/>
  <c r="H54" i="1" a="1"/>
  <c r="H54" i="1"/>
  <c r="I54" i="1" a="1"/>
  <c r="I54" i="1"/>
  <c r="J54" i="1" a="1"/>
  <c r="J54" i="1"/>
  <c r="K54" i="1" a="1"/>
  <c r="K54" i="1"/>
  <c r="M54" i="1" a="1"/>
  <c r="M54" i="1"/>
  <c r="N54" i="1" a="1"/>
  <c r="N54" i="1"/>
  <c r="O54" i="1" a="1"/>
  <c r="O54" i="1"/>
  <c r="D53" i="1"/>
  <c r="E53" i="1"/>
  <c r="F53" i="1"/>
  <c r="G53" i="1"/>
  <c r="H53" i="1" a="1"/>
  <c r="H53" i="1"/>
  <c r="I53" i="1" a="1"/>
  <c r="I53" i="1"/>
  <c r="J53" i="1" a="1"/>
  <c r="J53" i="1"/>
  <c r="K53" i="1" a="1"/>
  <c r="K53" i="1"/>
  <c r="M53" i="1" a="1"/>
  <c r="M53" i="1"/>
  <c r="N53" i="1" a="1"/>
  <c r="N53" i="1"/>
  <c r="O53" i="1" a="1"/>
  <c r="O53" i="1"/>
  <c r="D52" i="1"/>
  <c r="E52" i="1"/>
  <c r="F52" i="1"/>
  <c r="G52" i="1"/>
  <c r="H52" i="1" a="1"/>
  <c r="H52" i="1"/>
  <c r="I52" i="1" a="1"/>
  <c r="I52" i="1"/>
  <c r="J52" i="1" a="1"/>
  <c r="J52" i="1"/>
  <c r="K52" i="1" a="1"/>
  <c r="K52" i="1"/>
  <c r="M52" i="1" a="1"/>
  <c r="M52" i="1"/>
  <c r="N52" i="1" a="1"/>
  <c r="N52" i="1"/>
  <c r="O52" i="1" a="1"/>
  <c r="O52" i="1"/>
  <c r="D51" i="1"/>
  <c r="E51" i="1"/>
  <c r="F51" i="1"/>
  <c r="G51" i="1"/>
  <c r="H51" i="1" a="1"/>
  <c r="H51" i="1"/>
  <c r="I51" i="1" a="1"/>
  <c r="I51" i="1"/>
  <c r="J51" i="1" a="1"/>
  <c r="J51" i="1"/>
  <c r="K51" i="1" a="1"/>
  <c r="K51" i="1"/>
  <c r="M51" i="1" a="1"/>
  <c r="M51" i="1"/>
  <c r="N51" i="1" a="1"/>
  <c r="N51" i="1"/>
  <c r="O51" i="1" a="1"/>
  <c r="O51" i="1"/>
  <c r="D50" i="1"/>
  <c r="E50" i="1"/>
  <c r="F50" i="1"/>
  <c r="G50" i="1"/>
  <c r="H50" i="1" a="1"/>
  <c r="H50" i="1"/>
  <c r="I50" i="1" a="1"/>
  <c r="I50" i="1"/>
  <c r="J50" i="1" a="1"/>
  <c r="J50" i="1"/>
  <c r="K50" i="1" a="1"/>
  <c r="K50" i="1"/>
  <c r="M50" i="1" a="1"/>
  <c r="M50" i="1"/>
  <c r="N50" i="1" a="1"/>
  <c r="N50" i="1"/>
  <c r="O50" i="1" a="1"/>
  <c r="O50" i="1"/>
  <c r="D49" i="1"/>
  <c r="E49" i="1"/>
  <c r="F49" i="1"/>
  <c r="G49" i="1"/>
  <c r="H49" i="1" a="1"/>
  <c r="H49" i="1"/>
  <c r="I49" i="1" a="1"/>
  <c r="I49" i="1"/>
  <c r="J49" i="1" a="1"/>
  <c r="J49" i="1"/>
  <c r="K49" i="1" a="1"/>
  <c r="K49" i="1"/>
  <c r="M49" i="1" a="1"/>
  <c r="M49" i="1"/>
  <c r="N49" i="1" a="1"/>
  <c r="N49" i="1"/>
  <c r="O49" i="1" a="1"/>
  <c r="O49" i="1"/>
  <c r="D48" i="1"/>
  <c r="E48" i="1"/>
  <c r="F48" i="1"/>
  <c r="G48" i="1"/>
  <c r="H48" i="1" a="1"/>
  <c r="H48" i="1"/>
  <c r="I48" i="1" a="1"/>
  <c r="I48" i="1"/>
  <c r="J48" i="1" a="1"/>
  <c r="J48" i="1"/>
  <c r="K48" i="1" a="1"/>
  <c r="K48" i="1"/>
  <c r="M48" i="1" a="1"/>
  <c r="M48" i="1"/>
  <c r="N48" i="1" a="1"/>
  <c r="N48" i="1"/>
  <c r="O48" i="1" a="1"/>
  <c r="O48" i="1"/>
  <c r="D47" i="1"/>
  <c r="E47" i="1"/>
  <c r="F47" i="1"/>
  <c r="G47" i="1"/>
  <c r="H47" i="1" a="1"/>
  <c r="H47" i="1"/>
  <c r="I47" i="1" a="1"/>
  <c r="I47" i="1"/>
  <c r="J47" i="1" a="1"/>
  <c r="J47" i="1"/>
  <c r="K47" i="1" a="1"/>
  <c r="K47" i="1"/>
  <c r="M47" i="1" a="1"/>
  <c r="M47" i="1"/>
  <c r="N47" i="1" a="1"/>
  <c r="N47" i="1"/>
  <c r="O47" i="1" a="1"/>
  <c r="O47" i="1"/>
  <c r="D46" i="1"/>
  <c r="E46" i="1"/>
  <c r="F46" i="1"/>
  <c r="G46" i="1"/>
  <c r="H46" i="1" a="1"/>
  <c r="H46" i="1"/>
  <c r="I46" i="1" a="1"/>
  <c r="I46" i="1"/>
  <c r="J46" i="1" a="1"/>
  <c r="J46" i="1"/>
  <c r="K46" i="1" a="1"/>
  <c r="K46" i="1"/>
  <c r="M46" i="1" a="1"/>
  <c r="M46" i="1"/>
  <c r="N46" i="1" a="1"/>
  <c r="N46" i="1"/>
  <c r="O46" i="1" a="1"/>
  <c r="O46" i="1"/>
  <c r="D45" i="1"/>
  <c r="E45" i="1"/>
  <c r="F45" i="1"/>
  <c r="G45" i="1"/>
  <c r="H45" i="1" a="1"/>
  <c r="H45" i="1"/>
  <c r="I45" i="1" a="1"/>
  <c r="I45" i="1"/>
  <c r="J45" i="1" a="1"/>
  <c r="J45" i="1"/>
  <c r="K45" i="1" a="1"/>
  <c r="K45" i="1"/>
  <c r="M45" i="1" a="1"/>
  <c r="M45" i="1"/>
  <c r="N45" i="1" a="1"/>
  <c r="N45" i="1"/>
  <c r="O45" i="1" a="1"/>
  <c r="O45" i="1"/>
  <c r="D44" i="1"/>
  <c r="E44" i="1"/>
  <c r="F44" i="1"/>
  <c r="G44" i="1"/>
  <c r="H44" i="1" a="1"/>
  <c r="H44" i="1"/>
  <c r="I44" i="1" a="1"/>
  <c r="I44" i="1"/>
  <c r="J44" i="1" a="1"/>
  <c r="J44" i="1"/>
  <c r="K44" i="1" a="1"/>
  <c r="K44" i="1"/>
  <c r="M44" i="1" a="1"/>
  <c r="M44" i="1"/>
  <c r="N44" i="1" a="1"/>
  <c r="N44" i="1"/>
  <c r="O44" i="1" a="1"/>
  <c r="O44" i="1"/>
  <c r="D43" i="1"/>
  <c r="E43" i="1"/>
  <c r="F43" i="1"/>
  <c r="G43" i="1"/>
  <c r="H43" i="1" a="1"/>
  <c r="H43" i="1"/>
  <c r="I43" i="1" a="1"/>
  <c r="I43" i="1"/>
  <c r="J43" i="1" a="1"/>
  <c r="J43" i="1"/>
  <c r="K43" i="1" a="1"/>
  <c r="K43" i="1"/>
  <c r="M43" i="1" a="1"/>
  <c r="M43" i="1"/>
  <c r="N43" i="1" a="1"/>
  <c r="N43" i="1"/>
  <c r="O43" i="1" a="1"/>
  <c r="O43" i="1"/>
  <c r="D42" i="1"/>
  <c r="E42" i="1"/>
  <c r="F42" i="1"/>
  <c r="G42" i="1"/>
  <c r="H42" i="1" a="1"/>
  <c r="H42" i="1"/>
  <c r="I42" i="1" a="1"/>
  <c r="I42" i="1"/>
  <c r="J42" i="1" a="1"/>
  <c r="J42" i="1"/>
  <c r="K42" i="1" a="1"/>
  <c r="K42" i="1"/>
  <c r="M42" i="1" a="1"/>
  <c r="M42" i="1"/>
  <c r="N42" i="1" a="1"/>
  <c r="N42" i="1"/>
  <c r="O42" i="1" a="1"/>
  <c r="O42" i="1"/>
  <c r="D41" i="1"/>
  <c r="E41" i="1"/>
  <c r="F41" i="1"/>
  <c r="G41" i="1"/>
  <c r="H41" i="1" a="1"/>
  <c r="H41" i="1"/>
  <c r="I41" i="1" a="1"/>
  <c r="I41" i="1"/>
  <c r="J41" i="1" a="1"/>
  <c r="J41" i="1"/>
  <c r="K41" i="1" a="1"/>
  <c r="K41" i="1"/>
  <c r="M41" i="1" a="1"/>
  <c r="M41" i="1"/>
  <c r="N41" i="1" a="1"/>
  <c r="N41" i="1"/>
  <c r="O41" i="1" a="1"/>
  <c r="O41" i="1"/>
  <c r="D40" i="1"/>
  <c r="E40" i="1"/>
  <c r="F40" i="1"/>
  <c r="G40" i="1"/>
  <c r="H40" i="1" a="1"/>
  <c r="H40" i="1"/>
  <c r="I40" i="1" a="1"/>
  <c r="I40" i="1"/>
  <c r="J40" i="1" a="1"/>
  <c r="J40" i="1"/>
  <c r="K40" i="1" a="1"/>
  <c r="K40" i="1"/>
  <c r="M40" i="1" a="1"/>
  <c r="M40" i="1"/>
  <c r="N40" i="1" a="1"/>
  <c r="N40" i="1"/>
  <c r="O40" i="1" a="1"/>
  <c r="O40" i="1"/>
  <c r="D39" i="1"/>
  <c r="E39" i="1"/>
  <c r="F39" i="1"/>
  <c r="G39" i="1"/>
  <c r="H39" i="1" a="1"/>
  <c r="H39" i="1"/>
  <c r="I39" i="1" a="1"/>
  <c r="I39" i="1"/>
  <c r="J39" i="1" a="1"/>
  <c r="J39" i="1"/>
  <c r="K39" i="1" a="1"/>
  <c r="K39" i="1"/>
  <c r="M39" i="1" a="1"/>
  <c r="M39" i="1"/>
  <c r="N39" i="1" a="1"/>
  <c r="N39" i="1"/>
  <c r="O39" i="1" a="1"/>
  <c r="O39" i="1"/>
  <c r="D38" i="1"/>
  <c r="E38" i="1"/>
  <c r="F38" i="1"/>
  <c r="G38" i="1"/>
  <c r="H38" i="1" a="1"/>
  <c r="H38" i="1"/>
  <c r="I38" i="1" a="1"/>
  <c r="I38" i="1"/>
  <c r="J38" i="1" a="1"/>
  <c r="J38" i="1"/>
  <c r="K38" i="1" a="1"/>
  <c r="K38" i="1"/>
  <c r="M38" i="1" a="1"/>
  <c r="M38" i="1"/>
  <c r="N38" i="1" a="1"/>
  <c r="N38" i="1"/>
  <c r="O38" i="1" a="1"/>
  <c r="O38" i="1"/>
  <c r="O37" i="1" a="1"/>
  <c r="O37" i="1"/>
  <c r="N37" i="1" a="1"/>
  <c r="N37" i="1"/>
  <c r="M37" i="1" a="1"/>
  <c r="M37" i="1"/>
  <c r="K37" i="1" a="1"/>
  <c r="K37" i="1"/>
  <c r="J37" i="1" a="1"/>
  <c r="J37" i="1"/>
  <c r="I37" i="1" a="1"/>
  <c r="I37" i="1"/>
  <c r="H37" i="1" a="1"/>
  <c r="H37" i="1"/>
  <c r="G37" i="1"/>
  <c r="F37" i="1"/>
  <c r="E37" i="1"/>
  <c r="D37" i="1"/>
  <c r="O36" i="1" a="1"/>
  <c r="O36" i="1"/>
  <c r="N36" i="1" a="1"/>
  <c r="N36" i="1"/>
  <c r="M36" i="1" a="1"/>
  <c r="M36" i="1"/>
  <c r="K36" i="1" a="1"/>
  <c r="K36" i="1"/>
  <c r="J36" i="1" a="1"/>
  <c r="J36" i="1"/>
  <c r="I36" i="1" a="1"/>
  <c r="I36" i="1"/>
  <c r="H36" i="1" a="1"/>
  <c r="H36" i="1"/>
  <c r="G36" i="1"/>
  <c r="F36" i="1"/>
  <c r="E36" i="1"/>
  <c r="D36" i="1"/>
  <c r="O35" i="1" a="1"/>
  <c r="O35" i="1"/>
  <c r="N35" i="1" a="1"/>
  <c r="N35" i="1"/>
  <c r="M35" i="1" a="1"/>
  <c r="M35" i="1"/>
  <c r="K35" i="1" a="1"/>
  <c r="K35" i="1"/>
  <c r="J35" i="1" a="1"/>
  <c r="J35" i="1"/>
  <c r="I35" i="1" a="1"/>
  <c r="I35" i="1"/>
  <c r="H35" i="1" a="1"/>
  <c r="H35" i="1"/>
  <c r="G35" i="1"/>
  <c r="F35" i="1"/>
  <c r="E35" i="1"/>
  <c r="D35" i="1"/>
  <c r="O34" i="1" a="1"/>
  <c r="O34" i="1"/>
  <c r="N34" i="1" a="1"/>
  <c r="N34" i="1"/>
  <c r="M34" i="1" a="1"/>
  <c r="M34" i="1"/>
  <c r="K34" i="1" a="1"/>
  <c r="K34" i="1"/>
  <c r="J34" i="1" a="1"/>
  <c r="J34" i="1"/>
  <c r="I34" i="1" a="1"/>
  <c r="I34" i="1"/>
  <c r="H34" i="1" a="1"/>
  <c r="H34" i="1"/>
  <c r="G34" i="1"/>
  <c r="F34" i="1"/>
  <c r="E34" i="1"/>
  <c r="D34" i="1"/>
  <c r="O33" i="1" a="1"/>
  <c r="O33" i="1"/>
  <c r="N33" i="1" a="1"/>
  <c r="N33" i="1"/>
  <c r="M33" i="1" a="1"/>
  <c r="M33" i="1"/>
  <c r="K33" i="1" a="1"/>
  <c r="K33" i="1"/>
  <c r="J33" i="1" a="1"/>
  <c r="J33" i="1"/>
  <c r="I33" i="1" a="1"/>
  <c r="I33" i="1"/>
  <c r="H33" i="1" a="1"/>
  <c r="H33" i="1"/>
  <c r="G33" i="1"/>
  <c r="F33" i="1"/>
  <c r="E33" i="1"/>
  <c r="D33" i="1"/>
  <c r="O32" i="1" a="1"/>
  <c r="O32" i="1"/>
  <c r="N32" i="1" a="1"/>
  <c r="N32" i="1"/>
  <c r="M32" i="1" a="1"/>
  <c r="M32" i="1"/>
  <c r="K32" i="1" a="1"/>
  <c r="K32" i="1"/>
  <c r="J32" i="1" a="1"/>
  <c r="J32" i="1"/>
  <c r="I32" i="1" a="1"/>
  <c r="I32" i="1"/>
  <c r="H32" i="1" a="1"/>
  <c r="H32" i="1"/>
  <c r="G32" i="1"/>
  <c r="F32" i="1"/>
  <c r="E32" i="1"/>
  <c r="D32" i="1"/>
  <c r="O31" i="1" a="1"/>
  <c r="O31" i="1"/>
  <c r="N31" i="1" a="1"/>
  <c r="N31" i="1"/>
  <c r="M31" i="1" a="1"/>
  <c r="M31" i="1"/>
  <c r="K31" i="1" a="1"/>
  <c r="K31" i="1"/>
  <c r="J31" i="1" a="1"/>
  <c r="J31" i="1"/>
  <c r="I31" i="1" a="1"/>
  <c r="I31" i="1"/>
  <c r="H31" i="1" a="1"/>
  <c r="H31" i="1"/>
  <c r="G31" i="1"/>
  <c r="F31" i="1"/>
  <c r="E31" i="1"/>
  <c r="D31" i="1"/>
  <c r="O30" i="1" a="1"/>
  <c r="O30" i="1"/>
  <c r="N30" i="1" a="1"/>
  <c r="N30" i="1"/>
  <c r="M30" i="1" a="1"/>
  <c r="M30" i="1"/>
  <c r="K30" i="1" a="1"/>
  <c r="K30" i="1"/>
  <c r="J30" i="1" a="1"/>
  <c r="J30" i="1"/>
  <c r="I30" i="1" a="1"/>
  <c r="I30" i="1"/>
  <c r="H30" i="1" a="1"/>
  <c r="H30" i="1"/>
  <c r="G30" i="1"/>
  <c r="F30" i="1"/>
  <c r="E30" i="1"/>
  <c r="D30" i="1"/>
  <c r="O29" i="1" a="1"/>
  <c r="O29" i="1"/>
  <c r="N29" i="1" a="1"/>
  <c r="N29" i="1"/>
  <c r="M29" i="1" a="1"/>
  <c r="M29" i="1"/>
  <c r="K29" i="1" a="1"/>
  <c r="K29" i="1"/>
  <c r="J29" i="1" a="1"/>
  <c r="J29" i="1"/>
  <c r="I29" i="1" a="1"/>
  <c r="I29" i="1"/>
  <c r="H29" i="1" a="1"/>
  <c r="H29" i="1"/>
  <c r="G29" i="1"/>
  <c r="F29" i="1"/>
  <c r="E29" i="1"/>
  <c r="D29" i="1"/>
  <c r="O28" i="1" a="1"/>
  <c r="O28" i="1"/>
  <c r="N28" i="1" a="1"/>
  <c r="N28" i="1"/>
  <c r="M28" i="1" a="1"/>
  <c r="M28" i="1"/>
  <c r="K28" i="1" a="1"/>
  <c r="K28" i="1"/>
  <c r="J28" i="1" a="1"/>
  <c r="J28" i="1"/>
  <c r="I28" i="1" a="1"/>
  <c r="I28" i="1"/>
  <c r="H28" i="1" a="1"/>
  <c r="H28" i="1"/>
  <c r="G28" i="1"/>
  <c r="F28" i="1"/>
  <c r="E28" i="1"/>
  <c r="D28" i="1"/>
  <c r="O27" i="1" a="1"/>
  <c r="O27" i="1"/>
  <c r="N27" i="1" a="1"/>
  <c r="N27" i="1"/>
  <c r="M27" i="1" a="1"/>
  <c r="M27" i="1"/>
  <c r="K27" i="1" a="1"/>
  <c r="K27" i="1"/>
  <c r="J27" i="1" a="1"/>
  <c r="J27" i="1"/>
  <c r="I27" i="1" a="1"/>
  <c r="I27" i="1"/>
  <c r="H27" i="1" a="1"/>
  <c r="H27" i="1"/>
  <c r="G27" i="1"/>
  <c r="F27" i="1"/>
  <c r="E27" i="1"/>
  <c r="D27" i="1"/>
  <c r="O26" i="1" a="1"/>
  <c r="O26" i="1"/>
  <c r="N26" i="1" a="1"/>
  <c r="N26" i="1"/>
  <c r="M26" i="1" a="1"/>
  <c r="M26" i="1"/>
  <c r="K26" i="1" a="1"/>
  <c r="K26" i="1"/>
  <c r="J26" i="1" a="1"/>
  <c r="J26" i="1"/>
  <c r="I26" i="1" a="1"/>
  <c r="I26" i="1"/>
  <c r="H26" i="1" a="1"/>
  <c r="H26" i="1"/>
  <c r="G26" i="1"/>
  <c r="F26" i="1"/>
  <c r="E26" i="1"/>
  <c r="D26" i="1"/>
  <c r="O25" i="1" a="1"/>
  <c r="O25" i="1"/>
  <c r="N25" i="1" a="1"/>
  <c r="N25" i="1"/>
  <c r="M25" i="1" a="1"/>
  <c r="M25" i="1"/>
  <c r="K25" i="1" a="1"/>
  <c r="K25" i="1"/>
  <c r="J25" i="1" a="1"/>
  <c r="J25" i="1"/>
  <c r="I25" i="1" a="1"/>
  <c r="I25" i="1"/>
  <c r="H25" i="1" a="1"/>
  <c r="H25" i="1"/>
  <c r="G25" i="1"/>
  <c r="F25" i="1"/>
  <c r="E25" i="1"/>
  <c r="D25" i="1"/>
  <c r="O24" i="1" a="1"/>
  <c r="O24" i="1"/>
  <c r="N24" i="1" a="1"/>
  <c r="N24" i="1"/>
  <c r="M24" i="1" a="1"/>
  <c r="M24" i="1"/>
  <c r="K24" i="1" a="1"/>
  <c r="K24" i="1"/>
  <c r="J24" i="1" a="1"/>
  <c r="J24" i="1"/>
  <c r="I24" i="1" a="1"/>
  <c r="I24" i="1"/>
  <c r="H24" i="1" a="1"/>
  <c r="H24" i="1"/>
  <c r="G24" i="1"/>
  <c r="F24" i="1"/>
  <c r="E24" i="1"/>
  <c r="D24" i="1"/>
  <c r="O23" i="1" a="1"/>
  <c r="O23" i="1"/>
  <c r="O22" i="1" a="1"/>
  <c r="O22" i="1"/>
  <c r="O21" i="1" a="1"/>
  <c r="O21" i="1"/>
  <c r="N23" i="1" a="1"/>
  <c r="N23" i="1"/>
  <c r="N22" i="1" a="1"/>
  <c r="N22" i="1"/>
  <c r="N21" i="1" a="1"/>
  <c r="N21" i="1"/>
  <c r="M23" i="1" a="1"/>
  <c r="M23" i="1"/>
  <c r="M22" i="1" a="1"/>
  <c r="M22" i="1"/>
  <c r="M21" i="1" a="1"/>
  <c r="M21" i="1"/>
  <c r="K23" i="1" a="1"/>
  <c r="K23" i="1"/>
  <c r="K22" i="1" a="1"/>
  <c r="K22" i="1"/>
  <c r="K21" i="1" a="1"/>
  <c r="K21" i="1"/>
  <c r="J23" i="1" a="1"/>
  <c r="J23" i="1"/>
  <c r="J22" i="1" a="1"/>
  <c r="J22" i="1"/>
  <c r="J21" i="1" a="1"/>
  <c r="J21" i="1"/>
  <c r="I23" i="1" a="1"/>
  <c r="I23" i="1"/>
  <c r="I22" i="1" a="1"/>
  <c r="I22" i="1"/>
  <c r="I21" i="1" a="1"/>
  <c r="I21" i="1"/>
  <c r="H23" i="1" a="1"/>
  <c r="H23" i="1"/>
  <c r="H22" i="1" a="1"/>
  <c r="H22" i="1"/>
  <c r="H21" i="1" a="1"/>
  <c r="H21" i="1"/>
  <c r="G21" i="1"/>
  <c r="G22" i="1"/>
  <c r="G23" i="1"/>
  <c r="F21" i="1"/>
  <c r="F22" i="1"/>
  <c r="F23" i="1"/>
  <c r="E21" i="1"/>
  <c r="E22" i="1"/>
  <c r="E23" i="1"/>
  <c r="D21" i="1"/>
  <c r="D22" i="1"/>
  <c r="D23" i="1"/>
  <c r="O20" i="1" a="1"/>
  <c r="O20" i="1"/>
  <c r="N20" i="1" a="1"/>
  <c r="N20" i="1"/>
  <c r="M20" i="1" a="1"/>
  <c r="M20" i="1"/>
  <c r="K20" i="1" a="1"/>
  <c r="K20" i="1"/>
  <c r="J20" i="1" a="1"/>
  <c r="J20" i="1"/>
  <c r="I20" i="1" a="1"/>
  <c r="I20" i="1"/>
  <c r="H20" i="1" a="1"/>
  <c r="H20" i="1"/>
  <c r="G20" i="1"/>
  <c r="F20" i="1"/>
  <c r="E20" i="1"/>
  <c r="D20" i="1"/>
  <c r="O19" i="1" a="1"/>
  <c r="O19" i="1"/>
  <c r="N19" i="1" a="1"/>
  <c r="N19" i="1"/>
  <c r="M19" i="1" a="1"/>
  <c r="M19" i="1"/>
  <c r="K19" i="1" a="1"/>
  <c r="K19" i="1"/>
  <c r="J19" i="1" a="1"/>
  <c r="J19" i="1"/>
  <c r="I19" i="1" a="1"/>
  <c r="I19" i="1"/>
  <c r="H19" i="1" a="1"/>
  <c r="H19" i="1"/>
  <c r="G19" i="1"/>
  <c r="F19" i="1"/>
  <c r="E19" i="1"/>
  <c r="D19" i="1"/>
  <c r="O18" i="1" a="1"/>
  <c r="O18" i="1"/>
  <c r="N18" i="1" a="1"/>
  <c r="N18" i="1"/>
  <c r="M18" i="1" a="1"/>
  <c r="M18" i="1"/>
  <c r="K18" i="1" a="1"/>
  <c r="K18" i="1"/>
  <c r="J18" i="1" a="1"/>
  <c r="J18" i="1"/>
  <c r="I18" i="1" a="1"/>
  <c r="I18" i="1"/>
  <c r="H18" i="1" a="1"/>
  <c r="H18" i="1"/>
  <c r="G18" i="1"/>
  <c r="F18" i="1"/>
  <c r="E18" i="1"/>
  <c r="D18" i="1"/>
  <c r="O17" i="1" a="1"/>
  <c r="O17" i="1"/>
  <c r="N17" i="1" a="1"/>
  <c r="N17" i="1"/>
  <c r="M17" i="1" a="1"/>
  <c r="M17" i="1"/>
  <c r="K17" i="1" a="1"/>
  <c r="K17" i="1"/>
  <c r="J17" i="1" a="1"/>
  <c r="J17" i="1"/>
  <c r="I17" i="1" a="1"/>
  <c r="I17" i="1"/>
  <c r="H17" i="1" a="1"/>
  <c r="H17" i="1"/>
  <c r="G17" i="1"/>
  <c r="F17" i="1"/>
  <c r="E17" i="1"/>
  <c r="D17" i="1"/>
  <c r="O16" i="1" a="1"/>
  <c r="O16" i="1"/>
  <c r="N16" i="1" a="1"/>
  <c r="N16" i="1"/>
  <c r="M16" i="1" a="1"/>
  <c r="M16" i="1"/>
  <c r="K16" i="1" a="1"/>
  <c r="K16" i="1"/>
  <c r="J16" i="1" a="1"/>
  <c r="J16" i="1"/>
  <c r="I16" i="1" a="1"/>
  <c r="I16" i="1"/>
  <c r="H16" i="1" a="1"/>
  <c r="H16" i="1"/>
  <c r="G16" i="1"/>
  <c r="F16" i="1"/>
  <c r="E16" i="1"/>
  <c r="D16" i="1"/>
  <c r="O15" i="1" a="1"/>
  <c r="O15" i="1"/>
  <c r="N15" i="1" a="1"/>
  <c r="N15" i="1"/>
  <c r="M15" i="1" a="1"/>
  <c r="M15" i="1"/>
  <c r="K15" i="1" a="1"/>
  <c r="K15" i="1"/>
  <c r="J15" i="1" a="1"/>
  <c r="J15" i="1"/>
  <c r="I15" i="1" a="1"/>
  <c r="I15" i="1"/>
  <c r="H15" i="1" a="1"/>
  <c r="H15" i="1"/>
  <c r="G15" i="1"/>
  <c r="F15" i="1"/>
  <c r="E15" i="1"/>
  <c r="D15" i="1"/>
  <c r="O14" i="1" a="1"/>
  <c r="O14" i="1"/>
  <c r="N14" i="1" a="1"/>
  <c r="N14" i="1"/>
  <c r="M14" i="1" a="1"/>
  <c r="M14" i="1"/>
  <c r="K14" i="1" a="1"/>
  <c r="K14" i="1"/>
  <c r="J14" i="1" a="1"/>
  <c r="J14" i="1"/>
  <c r="I14" i="1" a="1"/>
  <c r="I14" i="1"/>
  <c r="H14" i="1" a="1"/>
  <c r="H14" i="1"/>
  <c r="G14" i="1"/>
  <c r="F14" i="1"/>
  <c r="E14" i="1"/>
  <c r="D14" i="1"/>
  <c r="O13" i="1" a="1"/>
  <c r="O13" i="1"/>
  <c r="N13" i="1" a="1"/>
  <c r="N13" i="1"/>
  <c r="M13" i="1" a="1"/>
  <c r="M13" i="1"/>
  <c r="K13" i="1" a="1"/>
  <c r="K13" i="1"/>
  <c r="J13" i="1" a="1"/>
  <c r="J13" i="1"/>
  <c r="I13" i="1" a="1"/>
  <c r="I13" i="1"/>
  <c r="H13" i="1" a="1"/>
  <c r="H13" i="1"/>
  <c r="G13" i="1"/>
  <c r="F13" i="1"/>
  <c r="E13" i="1"/>
  <c r="D13" i="1"/>
  <c r="D12" i="1"/>
  <c r="E12" i="1"/>
  <c r="F12" i="1"/>
  <c r="G12" i="1"/>
  <c r="H12" i="1" a="1"/>
  <c r="H12" i="1"/>
  <c r="I12" i="1" a="1"/>
  <c r="I12" i="1"/>
  <c r="J12" i="1" a="1"/>
  <c r="J12" i="1"/>
  <c r="K12" i="1" a="1"/>
  <c r="K12" i="1"/>
  <c r="M12" i="1" a="1"/>
  <c r="M12" i="1"/>
  <c r="N12" i="1" a="1"/>
  <c r="N12" i="1"/>
  <c r="O12" i="1" a="1"/>
  <c r="O12" i="1"/>
  <c r="D11" i="1"/>
  <c r="E11" i="1"/>
  <c r="F11" i="1"/>
  <c r="G11" i="1"/>
  <c r="H11" i="1" a="1"/>
  <c r="H11" i="1"/>
  <c r="I11" i="1" a="1"/>
  <c r="I11" i="1"/>
  <c r="J11" i="1" a="1"/>
  <c r="J11" i="1"/>
  <c r="K11" i="1" a="1"/>
  <c r="K11" i="1"/>
  <c r="M11" i="1" a="1"/>
  <c r="M11" i="1"/>
  <c r="N11" i="1" a="1"/>
  <c r="N11" i="1"/>
  <c r="O11" i="1" a="1"/>
  <c r="O11" i="1"/>
  <c r="D10" i="1"/>
  <c r="E10" i="1"/>
  <c r="F10" i="1"/>
  <c r="G10" i="1"/>
  <c r="H10" i="1" a="1"/>
  <c r="H10" i="1"/>
  <c r="I10" i="1" a="1"/>
  <c r="I10" i="1"/>
  <c r="J10" i="1" a="1"/>
  <c r="J10" i="1"/>
  <c r="K10" i="1" a="1"/>
  <c r="K10" i="1"/>
  <c r="M10" i="1" a="1"/>
  <c r="M10" i="1"/>
  <c r="N10" i="1" a="1"/>
  <c r="N10" i="1"/>
  <c r="O10" i="1" a="1"/>
  <c r="O10" i="1"/>
  <c r="D9" i="1"/>
  <c r="E9" i="1"/>
  <c r="F9" i="1"/>
  <c r="G9" i="1"/>
  <c r="H9" i="1" a="1"/>
  <c r="H9" i="1"/>
  <c r="I9" i="1" a="1"/>
  <c r="I9" i="1"/>
  <c r="J9" i="1" a="1"/>
  <c r="J9" i="1"/>
  <c r="K9" i="1" a="1"/>
  <c r="K9" i="1"/>
  <c r="M9" i="1" a="1"/>
  <c r="M9" i="1"/>
  <c r="N9" i="1" a="1"/>
  <c r="N9" i="1"/>
  <c r="O9" i="1" a="1"/>
  <c r="O9" i="1"/>
  <c r="F11" i="5" a="1"/>
  <c r="F11" i="5"/>
  <c r="F10" i="5"/>
  <c r="F9" i="5"/>
  <c r="D8" i="1"/>
  <c r="E8" i="1"/>
  <c r="F8" i="1"/>
  <c r="G8" i="1"/>
  <c r="I8" i="1" a="1"/>
  <c r="I8" i="1"/>
  <c r="J8" i="1" a="1"/>
  <c r="J8" i="1"/>
  <c r="K8" i="1" a="1"/>
  <c r="K8" i="1"/>
  <c r="M8" i="1" a="1"/>
  <c r="M8" i="1"/>
  <c r="N8" i="1" a="1"/>
  <c r="N8" i="1"/>
  <c r="O8" i="1" a="1"/>
  <c r="O8" i="1"/>
  <c r="C7" i="1"/>
  <c r="E7" i="1"/>
  <c r="F7" i="1"/>
  <c r="D7" i="1"/>
  <c r="I7" i="1" a="1"/>
  <c r="I7" i="1"/>
  <c r="J7" i="1" a="1"/>
  <c r="J7" i="1"/>
  <c r="K7" i="1" a="1"/>
  <c r="K7" i="1"/>
  <c r="M7" i="1" a="1"/>
  <c r="M7" i="1"/>
  <c r="N7" i="1" a="1"/>
  <c r="N7" i="1"/>
  <c r="O7" i="1" a="1"/>
  <c r="O7" i="1"/>
  <c r="D6" i="1"/>
  <c r="E6" i="1"/>
  <c r="F6" i="1"/>
  <c r="G6" i="1"/>
  <c r="I6" i="1" a="1"/>
  <c r="I6" i="1"/>
  <c r="J6" i="1" a="1"/>
  <c r="J6" i="1"/>
  <c r="K6" i="1" a="1"/>
  <c r="K6" i="1"/>
  <c r="M6" i="1" a="1"/>
  <c r="M6" i="1"/>
  <c r="N6" i="1" a="1"/>
  <c r="N6" i="1"/>
  <c r="O6" i="1" a="1"/>
  <c r="O6" i="1"/>
  <c r="G5" i="1"/>
  <c r="D5" i="1"/>
  <c r="E5" i="1"/>
  <c r="F5" i="1"/>
  <c r="I5" i="1" a="1"/>
  <c r="I5" i="1"/>
  <c r="J5" i="1" a="1"/>
  <c r="J5" i="1"/>
  <c r="K5" i="1" a="1"/>
  <c r="K5" i="1"/>
  <c r="M5" i="1" a="1"/>
  <c r="M5" i="1"/>
  <c r="N5" i="1" a="1"/>
  <c r="N5" i="1"/>
  <c r="O5" i="1" a="1"/>
  <c r="O5" i="1"/>
  <c r="D4" i="1"/>
  <c r="E4" i="1"/>
  <c r="F4" i="1"/>
  <c r="I4" i="1" a="1"/>
  <c r="I4" i="1"/>
  <c r="J4" i="1" a="1"/>
  <c r="J4" i="1"/>
  <c r="K4" i="1" a="1"/>
  <c r="K4" i="1"/>
  <c r="M4" i="1" a="1"/>
  <c r="M4" i="1"/>
  <c r="N4" i="1" a="1"/>
  <c r="N4" i="1"/>
  <c r="O4" i="1" a="1"/>
  <c r="O4" i="1"/>
  <c r="D3" i="1"/>
  <c r="E3" i="1"/>
  <c r="F3" i="1"/>
  <c r="G3" i="1"/>
  <c r="I3" i="1" a="1"/>
  <c r="I3" i="1"/>
  <c r="J3" i="1" a="1"/>
  <c r="J3" i="1"/>
  <c r="K3" i="1" a="1"/>
  <c r="K3" i="1"/>
  <c r="M3" i="1" a="1"/>
  <c r="M3" i="1"/>
  <c r="N3" i="1" a="1"/>
  <c r="N3" i="1"/>
  <c r="O3" i="1" a="1"/>
  <c r="O3" i="1"/>
  <c r="D2" i="2"/>
  <c r="H2" i="2"/>
  <c r="L2" i="2"/>
  <c r="E2" i="2"/>
  <c r="F2" i="2"/>
  <c r="I2" i="2"/>
  <c r="G2" i="2"/>
  <c r="R10" i="5"/>
  <c r="D7" i="2"/>
  <c r="C12" i="2"/>
  <c r="B12" i="2"/>
  <c r="B7" i="2"/>
  <c r="A7" i="2"/>
  <c r="K2" i="2"/>
  <c r="M2" i="2"/>
  <c r="I5" i="5"/>
  <c r="G2" i="1"/>
  <c r="F2" i="1"/>
  <c r="E2" i="1"/>
  <c r="D2" i="1"/>
  <c r="E12" i="2"/>
  <c r="J2" i="2"/>
  <c r="I12" i="2" a="1"/>
  <c r="I12" i="2"/>
  <c r="K2" i="1" a="1"/>
  <c r="K2" i="1"/>
  <c r="G12" i="2"/>
  <c r="D12" i="2"/>
  <c r="J12" i="2" a="1"/>
  <c r="J12" i="2"/>
  <c r="I2" i="1" a="1"/>
  <c r="I2" i="1"/>
  <c r="L12" i="2"/>
  <c r="O2" i="1" a="1"/>
  <c r="O2" i="1"/>
  <c r="J2" i="1" a="1"/>
  <c r="J2" i="1"/>
  <c r="M12" i="2"/>
  <c r="M2" i="1" a="1"/>
  <c r="M2" i="1"/>
  <c r="N2" i="1" a="1"/>
  <c r="N2" i="1"/>
  <c r="A12" i="2" a="1"/>
  <c r="A12" i="2"/>
  <c r="G4" i="1"/>
  <c r="F12" i="2"/>
  <c r="G7" i="1"/>
  <c r="A10" i="5"/>
  <c r="L5" i="5"/>
  <c r="A11" i="5"/>
  <c r="A9" i="5"/>
  <c r="G5"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tc={26EDDA3E-40A2-4CE9-8088-D2A18E810EEA}</author>
    <author>tc={03778301-C929-44E6-B10D-66A98DD6B0B5}</author>
    <author>tc={D289F288-589B-481B-8DCB-846A1A2D138D}</author>
    <author>Fernando Sánchez Olmo</author>
    <author>tc={65EB55E6-135B-4137-ADAB-5977E2457AF2}</author>
    <author>tc={5CAE4438-04D4-4730-91C9-397AC46F1455}</author>
  </authors>
  <commentList>
    <comment ref="D11" authorId="0" shapeId="0" xr:uid="{26EDDA3E-40A2-4CE9-8088-D2A18E810EEA}">
      <text>
        <t>[Threaded comment]
Your version of Excel allows you to read this threaded comment; however, any edits to it will get removed if the file is opened in a newer version of Excel. Learn more: https://go.microsoft.com/fwlink/?linkid=870924
Comment:
    According to Martin Berkhan formula</t>
      </text>
    </comment>
    <comment ref="E11" authorId="1" shapeId="0" xr:uid="{03778301-C929-44E6-B10D-66A98DD6B0B5}">
      <text>
        <t>[Threaded comment]
Your version of Excel allows you to read this threaded comment; however, any edits to it will get removed if the file is opened in a newer version of Excel. Learn more: https://go.microsoft.com/fwlink/?linkid=870924
Comment:
    According to Martin Berkhan formula</t>
      </text>
    </comment>
    <comment ref="F11" authorId="2" shapeId="0" xr:uid="{D289F288-589B-481B-8DCB-846A1A2D138D}">
      <text>
        <t>[Threaded comment]
Your version of Excel allows you to read this threaded comment; however, any edits to it will get removed if the file is opened in a newer version of Excel. Learn more: https://go.microsoft.com/fwlink/?linkid=870924
Comment:
    Free Fat Mass Index (FFMI)</t>
      </text>
    </comment>
    <comment ref="K11" authorId="3" shapeId="0" xr:uid="{3F744381-B1F1-4716-B161-3CCCF9509AC1}">
      <text>
        <r>
          <rPr>
            <b/>
            <sz val="9"/>
            <color indexed="81"/>
            <rFont val="Tahoma"/>
            <family val="2"/>
          </rPr>
          <t>Fernando Sánchez Olmo:</t>
        </r>
        <r>
          <rPr>
            <sz val="9"/>
            <color indexed="81"/>
            <rFont val="Tahoma"/>
            <family val="2"/>
          </rPr>
          <t xml:space="preserve">
FFMI_min and max according to OMS</t>
        </r>
      </text>
    </comment>
    <comment ref="B16" authorId="4" shapeId="0" xr:uid="{65EB55E6-135B-4137-ADAB-5977E2457AF2}">
      <text>
        <t>[Threaded comment]
Your version of Excel allows you to read this threaded comment; however, any edits to it will get removed if the file is opened in a newer version of Excel. Learn more: https://go.microsoft.com/fwlink/?linkid=870924
Comment:
    Ranges according to OMS</t>
      </text>
    </comment>
    <comment ref="F16" authorId="5" shapeId="0" xr:uid="{5CAE4438-04D4-4730-91C9-397AC46F1455}">
      <text>
        <t>[Threaded comment]
Your version of Excel allows you to read this threaded comment; however, any edits to it will get removed if the file is opened in a newer version of Excel. Learn more: https://go.microsoft.com/fwlink/?linkid=870924
Comment:
    General recommendation for everyone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<sst xmlns="http://schemas.openxmlformats.org/spreadsheetml/2006/main" count="265" uniqueCount="107">
  <si>
    <t>date</t>
  </si>
  <si>
    <t>food_name</t>
  </si>
  <si>
    <t>proteins</t>
  </si>
  <si>
    <t>carbs</t>
  </si>
  <si>
    <t>fat</t>
  </si>
  <si>
    <t>cals_100</t>
  </si>
  <si>
    <t>calsTotal</t>
  </si>
  <si>
    <t>gr_eaten</t>
  </si>
  <si>
    <t>prot_eaten</t>
  </si>
  <si>
    <t>carb_eaten</t>
  </si>
  <si>
    <t>fat_eaten</t>
  </si>
  <si>
    <t>measure</t>
  </si>
  <si>
    <t xml:space="preserve"> </t>
  </si>
  <si>
    <t>calsDay</t>
  </si>
  <si>
    <t>%_fat</t>
  </si>
  <si>
    <t>%_carbs</t>
  </si>
  <si>
    <t>%_protein</t>
  </si>
  <si>
    <t>cal_g_fat</t>
  </si>
  <si>
    <t>cal_g_carbs</t>
  </si>
  <si>
    <t>cal_g_protein</t>
  </si>
  <si>
    <t>needs_fat</t>
  </si>
  <si>
    <t>needs_carbs</t>
  </si>
  <si>
    <t>needs_protein</t>
  </si>
  <si>
    <t>peso</t>
  </si>
  <si>
    <t>objetivo</t>
  </si>
  <si>
    <t>prot</t>
  </si>
  <si>
    <t>g_prot_goal</t>
  </si>
  <si>
    <t>goalProt</t>
  </si>
  <si>
    <t>goalFat</t>
  </si>
  <si>
    <t>goalCarbs</t>
  </si>
  <si>
    <t>muscular gain</t>
  </si>
  <si>
    <t>weigth</t>
  </si>
  <si>
    <t>heigth</t>
  </si>
  <si>
    <t>natural_mass_limit</t>
  </si>
  <si>
    <t>weight_goal</t>
  </si>
  <si>
    <t>FFMI_max</t>
  </si>
  <si>
    <t>FFMI_now</t>
  </si>
  <si>
    <t>FFMI_goal</t>
  </si>
  <si>
    <t>max_range_weigth</t>
  </si>
  <si>
    <t>min_range_weight</t>
  </si>
  <si>
    <t>hombres</t>
  </si>
  <si>
    <t>min_musc_mass</t>
  </si>
  <si>
    <t>max_musc_mass</t>
  </si>
  <si>
    <t>age_min</t>
  </si>
  <si>
    <t>age_max</t>
  </si>
  <si>
    <t>mujeres</t>
  </si>
  <si>
    <t>general</t>
  </si>
  <si>
    <t>FFMI_min</t>
  </si>
  <si>
    <t>sex</t>
  </si>
  <si>
    <t>MM_min</t>
  </si>
  <si>
    <t>MM_max</t>
  </si>
  <si>
    <t>cofee</t>
  </si>
  <si>
    <t>chickpeas</t>
  </si>
  <si>
    <t>oats</t>
  </si>
  <si>
    <t>soya milk</t>
  </si>
  <si>
    <t>bananas</t>
  </si>
  <si>
    <t>tomatos</t>
  </si>
  <si>
    <t>onion</t>
  </si>
  <si>
    <t>olive oil</t>
  </si>
  <si>
    <t>ham</t>
  </si>
  <si>
    <t>serrano ham</t>
  </si>
  <si>
    <t>red fruits</t>
  </si>
  <si>
    <t>Row Labels</t>
  </si>
  <si>
    <t>Grand Total</t>
  </si>
  <si>
    <t>NUTRITION DASHBOARD</t>
  </si>
  <si>
    <t>Sum of prot_eaten</t>
  </si>
  <si>
    <t>Sum of carb_eaten</t>
  </si>
  <si>
    <t>Sum of fat_eaten</t>
  </si>
  <si>
    <t>weight</t>
  </si>
  <si>
    <t>minW</t>
  </si>
  <si>
    <t>maxW</t>
  </si>
  <si>
    <t>optimalW</t>
  </si>
  <si>
    <t>musc_mass</t>
  </si>
  <si>
    <t>min_mm</t>
  </si>
  <si>
    <t>max_mm</t>
  </si>
  <si>
    <t>opt_musMass</t>
  </si>
  <si>
    <t>CALORIAS RESTANTES = CALORIAS OBJETIVO - CALORIAS CONSUMIDAS</t>
  </si>
  <si>
    <t>NOMBRE</t>
  </si>
  <si>
    <t>Fernando</t>
  </si>
  <si>
    <t>FAT GOAL</t>
  </si>
  <si>
    <t>ProtWeight</t>
  </si>
  <si>
    <t>PERSONAL DETAILS</t>
  </si>
  <si>
    <t>STRATEGY</t>
  </si>
  <si>
    <t>MUSCULAR MASS GAIN</t>
  </si>
  <si>
    <t>%FAT</t>
  </si>
  <si>
    <t>%CARBS</t>
  </si>
  <si>
    <t>TOTAL</t>
  </si>
  <si>
    <t>%PROT</t>
  </si>
  <si>
    <t>CALS/DAY</t>
  </si>
  <si>
    <t>Sum of calsTotal</t>
  </si>
  <si>
    <t>tuna</t>
  </si>
  <si>
    <t>Hi-Fibre Batch</t>
  </si>
  <si>
    <t>tescoWholPasta</t>
  </si>
  <si>
    <t>Cacao Puro</t>
  </si>
  <si>
    <t>BalsamVinegar</t>
  </si>
  <si>
    <t>tescoWholRice</t>
  </si>
  <si>
    <t>Eggs</t>
  </si>
  <si>
    <t>cerveza</t>
  </si>
  <si>
    <t>AGE</t>
  </si>
  <si>
    <t>WEIGTH</t>
  </si>
  <si>
    <t>HEIGTH</t>
  </si>
  <si>
    <t>hummus</t>
  </si>
  <si>
    <t>breadBrownMalted</t>
  </si>
  <si>
    <t>Espirulina</t>
  </si>
  <si>
    <t>PE WheyProtein</t>
  </si>
  <si>
    <t>Beef</t>
  </si>
  <si>
    <t>OptwheyProtein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</si>
</sst>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quot;g&quot;"/>
    <numFmt numFmtId="165" formatCode="0&quot;g&quot;"/>
  </numFmts>
  <fonts count="9" x14ac:knownFonts="1">
    <font>
      <sz val="11"/>
      <color theme="1"/>
      <name val="Aptos Narrow"/>
      <family val="2"/>
      <scheme val="minor"/>
    </font>
    <font>
      <sz val="9"/>
      <color indexed="81"/>
      <name val="Tahoma"/>
      <family val="2"/>
    </font>
    <font>
      <b/>
      <sz val="9"/>
      <color indexed="81"/>
      <name val="Tahoma"/>
      <family val="2"/>
    </font>
    <font>
      <b/>
      <sz val="36"/>
      <color theme="0"/>
      <name val="ADLaM Display"/>
    </font>
    <font>
      <b/>
      <sz val="11"/>
      <color theme="0"/>
      <name val="Aptos Narrow"/>
      <family val="2"/>
      <scheme val="minor"/>
    </font>
    <font>
      <b/>
      <sz val="12"/>
      <color theme="0"/>
      <name val="Aptos Narrow"/>
      <family val="2"/>
      <scheme val="minor"/>
    </font>
    <font>
      <b/>
      <sz val="11"/>
      <color theme="0" tint="-0.249977111117893"/>
      <name val="Aptos Narrow"/>
      <family val="2"/>
      <scheme val="minor"/>
    </font>
    <font>
      <b/>
      <sz val="12"/>
      <color theme="0" tint="-0.249977111117893"/>
      <name val="Aptos Narrow"/>
      <family val="2"/>
      <scheme val="minor"/>
    </font>
    <font>
      <b/>
      <sz val="9"/>
      <color theme="0" tint="-0.249977111117893"/>
      <name val="Aptos Narrow"/>
      <family val="2"/>
      <scheme val="minor"/>
    </font>
  </fonts>
  <fills count="6">
    <fill>
      <patternFill patternType="none"/>
    </fill>
    <fill>
      <patternFill patternType="gray125"/>
    </fill>
    <fill>
      <patternFill patternType="solid">
        <fgColor theme="1" tint="0.249977111117893"/>
        <bgColor indexed="64"/>
      </patternFill>
    </fill>
    <fill>
      <patternFill patternType="solid">
        <fgColor rgb="FFA27B00"/>
        <bgColor indexed="64"/>
      </patternFill>
    </fill>
    <fill>
      <patternFill patternType="solid">
        <fgColor theme="8" tint="0.39997558519241921"/>
        <bgColor indexed="64"/>
      </patternFill>
    </fill>
    <fill>
      <patternFill patternType="solid">
        <fgColor theme="3" tint="0.749992370372631"/>
        <bgColor indexed="64"/>
      </patternFill>
    </fill>
  </fills>
  <borders count="1">
    <border>
      <left/>
      <right/>
      <top/>
      <bottom/>
      <diagonal/>
    </border>
  </borders>
  <cellStyleXfs count="1">
    <xf numFmtId="0" fontId="0" fillId="0" borderId="0"/>
  </cellStyleXfs>
  <cellXfs count="25">
    <xf numFmtId="0" fontId="0" fillId="0" borderId="0" xfId="0"/>
    <xf numFmtId="14" fontId="0" fillId="0" borderId="0" xfId="0" applyNumberFormat="1"/>
    <xf numFmtId="0" fontId="0" fillId="0" borderId="0" xfId="0" pivotButton="1"/>
    <xf numFmtId="0" fontId="0" fillId="0" borderId="0" xfId="0" applyAlignment="1">
      <alignment horizontal="left"/>
    </xf>
    <xf numFmtId="0" fontId="4" fillId="0" borderId="0" xfId="0" applyFont="1"/>
    <xf numFmtId="2" fontId="0" fillId="0" borderId="0" xfId="0" applyNumberFormat="1"/>
    <xf numFmtId="0" fontId="0" fillId="2" borderId="0" xfId="0" applyFill="1"/>
    <xf numFmtId="0" fontId="4" fillId="2" borderId="0" xfId="0" applyFont="1" applyFill="1"/>
    <xf numFmtId="0" fontId="6" fillId="2" borderId="0" xfId="0" applyFont="1" applyFill="1"/>
    <xf numFmtId="0" fontId="6" fillId="2" borderId="0" xfId="0" applyFont="1" applyFill="1" applyAlignment="1">
      <alignment horizontal="right"/>
    </xf>
    <xf numFmtId="0" fontId="6" fillId="2" borderId="0" xfId="0" applyFont="1" applyFill="1" applyAlignment="1">
      <alignment vertical="center"/>
    </xf>
    <xf numFmtId="14" fontId="0" fillId="0" borderId="0" xfId="0" applyNumberFormat="1" applyAlignment="1">
      <alignment horizontal="left"/>
    </xf>
    <xf numFmtId="0" fontId="0" fillId="0" borderId="0" xfId="0" applyProtection="1">
      <protection locked="0"/>
    </xf>
    <xf numFmtId="165" fontId="4" fillId="3" borderId="0" xfId="0" applyNumberFormat="1" applyFont="1" applyFill="1" applyAlignment="1">
      <alignment horizontal="right"/>
    </xf>
    <xf numFmtId="164" fontId="4" fillId="5" borderId="0" xfId="0" applyNumberFormat="1" applyFont="1" applyFill="1" applyAlignment="1">
      <alignment horizontal="right"/>
    </xf>
    <xf numFmtId="164" fontId="4" fillId="4" borderId="0" xfId="0" applyNumberFormat="1" applyFont="1" applyFill="1" applyAlignment="1">
      <alignment horizontal="right"/>
    </xf>
    <xf numFmtId="0" fontId="3" fillId="2" borderId="0" xfId="0" applyFont="1" applyFill="1" applyAlignment="1">
      <alignment horizontal="center"/>
    </xf>
    <xf numFmtId="0" fontId="4" fillId="0" borderId="0" xfId="0" applyFont="1" applyAlignment="1">
      <alignment horizontal="center"/>
    </xf>
    <xf numFmtId="2" fontId="5" fillId="0" borderId="0" xfId="0" applyNumberFormat="1" applyFont="1"/>
    <xf numFmtId="0" fontId="5" fillId="0" borderId="0" xfId="0" applyFont="1" applyAlignment="1">
      <alignment horizontal="center"/>
    </xf>
    <xf numFmtId="2" fontId="5" fillId="0" borderId="0" xfId="0" applyNumberFormat="1" applyFont="1" applyAlignment="1">
      <alignment horizontal="center"/>
    </xf>
    <xf numFmtId="0" fontId="7" fillId="2" borderId="0" xfId="0" applyFont="1" applyFill="1" applyAlignment="1">
      <alignment horizontal="center"/>
    </xf>
    <xf numFmtId="0" fontId="8" fillId="2" borderId="0" xfId="0" applyFont="1" applyFill="1" applyAlignment="1">
      <alignment horizontal="center"/>
    </xf>
    <xf numFmtId="0" fontId="6" fillId="2" borderId="0" xfId="0" applyFont="1" applyFill="1" applyAlignment="1">
      <alignment horizontal="center" vertical="center"/>
    </xf>
    <xf numFmtId="0" fontId="0" fillId="0" borderId="0" xfId="0" applyNumberFormat="1"/>
  </cellXfs>
  <cellStyles count="1">
    <cellStyle name="Normal" xfId="0" builtinId="0"/>
  </cellStyles>
  <dxfs count="18">
    <dxf>
      <numFmt numFmtId="2" formatCode="0.00"/>
    </dxf>
    <dxf>
      <numFmt numFmtId="2" formatCode="0.00"/>
    </dxf>
    <dxf>
      <numFmt numFmtId="2" formatCode="0.00"/>
    </dxf>
    <dxf>
      <numFmt numFmtId="2" formatCode="0.00"/>
    </dxf>
    <dxf>
      <numFmt numFmtId="2" formatCode="0.00"/>
    </dxf>
    <dxf>
      <numFmt numFmtId="0" formatCode="General"/>
    </dxf>
    <dxf>
      <numFmt numFmtId="0" formatCode="General"/>
    </dxf>
    <dxf>
      <numFmt numFmtId="0" formatCode="General"/>
    </dxf>
    <dxf>
      <numFmt numFmtId="0" formatCode="General"/>
      <protection locked="0" hidden="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fill>
        <patternFill patternType="solid">
          <bgColor theme="1" tint="0.499984740745262"/>
        </patternFill>
      </fill>
    </dxf>
  </dxfs>
  <tableStyles count="2" defaultTableStyle="TableStyleMedium2" defaultPivotStyle="PivotStyleLight16">
    <tableStyle name="Invisible" pivot="0" table="0" count="0" xr9:uid="{ED5F1F07-71D4-4088-A69C-89C8F11AD69F}"/>
    <tableStyle name="Slicer Style 1" pivot="0" table="0" count="1" xr9:uid="{C912BBF1-0A19-437C-A9AE-6B9EC8AAD13F}">
      <tableStyleElement type="headerRow" dxfId="17"/>
    </tableStyle>
  </tableStyles>
  <colors>
    <mruColors>
      <color rgb="FFF47568"/>
      <color rgb="FFFF3300"/>
      <color rgb="FFA27B00"/>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s-ES" b="1"/>
              <a:t>Weight</a:t>
            </a:r>
          </a:p>
        </c:rich>
      </c:tx>
      <c:layout>
        <c:manualLayout>
          <c:xMode val="edge"/>
          <c:yMode val="edge"/>
          <c:x val="9.5764110935860222E-2"/>
          <c:y val="3.0137927389948739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s-ES"/>
        </a:p>
      </c:txPr>
    </c:title>
    <c:autoTitleDeleted val="0"/>
    <c:plotArea>
      <c:layout>
        <c:manualLayout>
          <c:layoutTarget val="inner"/>
          <c:xMode val="edge"/>
          <c:yMode val="edge"/>
          <c:x val="9.4571084864391947E-2"/>
          <c:y val="0.17171296296296296"/>
          <c:w val="0.87199321959755027"/>
          <c:h val="0.62144867308253138"/>
        </c:manualLayout>
      </c:layout>
      <c:lineChart>
        <c:grouping val="standard"/>
        <c:varyColors val="0"/>
        <c:ser>
          <c:idx val="0"/>
          <c:order val="0"/>
          <c:tx>
            <c:strRef>
              <c:f>'Registry'!$H$1</c:f>
              <c:strCache>
                <c:ptCount val="1"/>
                <c:pt idx="0">
                  <c:v>weight</c:v>
                </c:pt>
              </c:strCache>
            </c:strRef>
          </c:tx>
          <c:spPr>
            <a:ln w="28575" cap="rnd">
              <a:gradFill>
                <a:gsLst>
                  <a:gs pos="27000">
                    <a:srgbClr val="FF3300"/>
                  </a:gs>
                  <a:gs pos="72000">
                    <a:schemeClr val="accent3">
                      <a:lumMod val="40000"/>
                      <a:lumOff val="60000"/>
                    </a:schemeClr>
                  </a:gs>
                  <a:gs pos="78000">
                    <a:srgbClr val="00B050"/>
                  </a:gs>
                  <a:gs pos="100000">
                    <a:srgbClr val="FF3300"/>
                  </a:gs>
                </a:gsLst>
                <a:lin ang="5400000" scaled="1"/>
              </a:gradFill>
              <a:round/>
            </a:ln>
            <a:effectLst/>
          </c:spPr>
          <c:marker>
            <c:symbol val="none"/>
          </c:marker>
          <c:trendline>
            <c:spPr>
              <a:ln w="19050" cap="rnd">
                <a:solidFill>
                  <a:schemeClr val="accent3">
                    <a:lumMod val="60000"/>
                    <a:lumOff val="40000"/>
                  </a:schemeClr>
                </a:solidFill>
                <a:prstDash val="sysDot"/>
              </a:ln>
              <a:effectLst/>
            </c:spPr>
            <c:trendlineType val="linear"/>
            <c:dispRSqr val="0"/>
            <c:dispEq val="0"/>
          </c:trendline>
          <c:cat>
            <c:numRef>
              <c:f>'Registry'!$A$2:$A$88</c:f>
              <c:numCache>
                <c:formatCode>m/d/yyyy</c:formatCode>
                <c:ptCount val="87"/>
                <c:pt idx="0">
                  <c:v>45241</c:v>
                </c:pt>
                <c:pt idx="1">
                  <c:v>45241</c:v>
                </c:pt>
                <c:pt idx="2">
                  <c:v>45241</c:v>
                </c:pt>
                <c:pt idx="3">
                  <c:v>45241</c:v>
                </c:pt>
                <c:pt idx="4">
                  <c:v>45241</c:v>
                </c:pt>
                <c:pt idx="5">
                  <c:v>45241</c:v>
                </c:pt>
                <c:pt idx="6">
                  <c:v>45241</c:v>
                </c:pt>
                <c:pt idx="7">
                  <c:v>45241</c:v>
                </c:pt>
                <c:pt idx="8">
                  <c:v>45241</c:v>
                </c:pt>
                <c:pt idx="9">
                  <c:v>45241</c:v>
                </c:pt>
                <c:pt idx="10">
                  <c:v>45241</c:v>
                </c:pt>
                <c:pt idx="11">
                  <c:v>45241</c:v>
                </c:pt>
                <c:pt idx="12">
                  <c:v>45241</c:v>
                </c:pt>
                <c:pt idx="13">
                  <c:v>45242</c:v>
                </c:pt>
                <c:pt idx="14">
                  <c:v>45242</c:v>
                </c:pt>
                <c:pt idx="15">
                  <c:v>45242</c:v>
                </c:pt>
                <c:pt idx="16">
                  <c:v>45242</c:v>
                </c:pt>
                <c:pt idx="17">
                  <c:v>45242</c:v>
                </c:pt>
                <c:pt idx="18">
                  <c:v>45242</c:v>
                </c:pt>
                <c:pt idx="19">
                  <c:v>45242</c:v>
                </c:pt>
                <c:pt idx="20">
                  <c:v>45242</c:v>
                </c:pt>
                <c:pt idx="21">
                  <c:v>45242</c:v>
                </c:pt>
                <c:pt idx="22">
                  <c:v>45242</c:v>
                </c:pt>
                <c:pt idx="23">
                  <c:v>45242</c:v>
                </c:pt>
                <c:pt idx="24">
                  <c:v>45242</c:v>
                </c:pt>
                <c:pt idx="25">
                  <c:v>45242</c:v>
                </c:pt>
                <c:pt idx="26">
                  <c:v>45243</c:v>
                </c:pt>
                <c:pt idx="27">
                  <c:v>45243</c:v>
                </c:pt>
                <c:pt idx="28">
                  <c:v>45243</c:v>
                </c:pt>
                <c:pt idx="29">
                  <c:v>45243</c:v>
                </c:pt>
                <c:pt idx="30">
                  <c:v>45243</c:v>
                </c:pt>
                <c:pt idx="31">
                  <c:v>45243</c:v>
                </c:pt>
                <c:pt idx="32">
                  <c:v>45243</c:v>
                </c:pt>
                <c:pt idx="33">
                  <c:v>45243</c:v>
                </c:pt>
                <c:pt idx="34">
                  <c:v>45243</c:v>
                </c:pt>
                <c:pt idx="35">
                  <c:v>45243</c:v>
                </c:pt>
                <c:pt idx="36">
                  <c:v>45244</c:v>
                </c:pt>
                <c:pt idx="37">
                  <c:v>45244</c:v>
                </c:pt>
                <c:pt idx="38">
                  <c:v>45244</c:v>
                </c:pt>
                <c:pt idx="39">
                  <c:v>45244</c:v>
                </c:pt>
                <c:pt idx="40">
                  <c:v>45244</c:v>
                </c:pt>
                <c:pt idx="41">
                  <c:v>45246</c:v>
                </c:pt>
                <c:pt idx="42">
                  <c:v>45246</c:v>
                </c:pt>
                <c:pt idx="43">
                  <c:v>45246</c:v>
                </c:pt>
                <c:pt idx="44">
                  <c:v>45246</c:v>
                </c:pt>
                <c:pt idx="45">
                  <c:v>45246</c:v>
                </c:pt>
                <c:pt idx="46">
                  <c:v>45246</c:v>
                </c:pt>
                <c:pt idx="47">
                  <c:v>45246</c:v>
                </c:pt>
                <c:pt idx="48">
                  <c:v>45246</c:v>
                </c:pt>
                <c:pt idx="49">
                  <c:v>45246</c:v>
                </c:pt>
                <c:pt idx="50">
                  <c:v>45246</c:v>
                </c:pt>
                <c:pt idx="51">
                  <c:v>45246</c:v>
                </c:pt>
                <c:pt idx="52">
                  <c:v>45246</c:v>
                </c:pt>
                <c:pt idx="53">
                  <c:v>45247</c:v>
                </c:pt>
                <c:pt idx="54">
                  <c:v>45247</c:v>
                </c:pt>
                <c:pt idx="55">
                  <c:v>45247</c:v>
                </c:pt>
                <c:pt idx="56">
                  <c:v>45247</c:v>
                </c:pt>
                <c:pt idx="57">
                  <c:v>45247</c:v>
                </c:pt>
                <c:pt idx="58">
                  <c:v>45247</c:v>
                </c:pt>
                <c:pt idx="59">
                  <c:v>45247</c:v>
                </c:pt>
                <c:pt idx="60">
                  <c:v>45247</c:v>
                </c:pt>
                <c:pt idx="61">
                  <c:v>45247</c:v>
                </c:pt>
                <c:pt idx="62">
                  <c:v>45247</c:v>
                </c:pt>
                <c:pt idx="63">
                  <c:v>45247</c:v>
                </c:pt>
                <c:pt idx="64">
                  <c:v>45247</c:v>
                </c:pt>
                <c:pt idx="65">
                  <c:v>45247</c:v>
                </c:pt>
                <c:pt idx="66">
                  <c:v>45247</c:v>
                </c:pt>
                <c:pt idx="67">
                  <c:v>45247</c:v>
                </c:pt>
                <c:pt idx="68">
                  <c:v>45247</c:v>
                </c:pt>
                <c:pt idx="69">
                  <c:v>45248</c:v>
                </c:pt>
                <c:pt idx="70">
                  <c:v>45248</c:v>
                </c:pt>
                <c:pt idx="71">
                  <c:v>45248</c:v>
                </c:pt>
                <c:pt idx="72">
                  <c:v>45248</c:v>
                </c:pt>
                <c:pt idx="73">
                  <c:v>45248</c:v>
                </c:pt>
                <c:pt idx="74">
                  <c:v>45248</c:v>
                </c:pt>
                <c:pt idx="75">
                  <c:v>45248</c:v>
                </c:pt>
                <c:pt idx="76">
                  <c:v>45248</c:v>
                </c:pt>
                <c:pt idx="77">
                  <c:v>45249</c:v>
                </c:pt>
                <c:pt idx="78">
                  <c:v>45249</c:v>
                </c:pt>
                <c:pt idx="79">
                  <c:v>45249</c:v>
                </c:pt>
                <c:pt idx="80">
                  <c:v>45249</c:v>
                </c:pt>
                <c:pt idx="81">
                  <c:v>45249</c:v>
                </c:pt>
                <c:pt idx="82">
                  <c:v>45249</c:v>
                </c:pt>
                <c:pt idx="83">
                  <c:v>45249</c:v>
                </c:pt>
                <c:pt idx="84">
                  <c:v>45249</c:v>
                </c:pt>
                <c:pt idx="85">
                  <c:v>45249</c:v>
                </c:pt>
                <c:pt idx="86">
                  <c:v>45249</c:v>
                </c:pt>
              </c:numCache>
            </c:numRef>
          </c:cat>
          <c:val>
            <c:numRef>
              <c:f>'Registry'!$H$2:$H$88</c:f>
              <c:numCache>
                <c:formatCode>General</c:formatCode>
                <c:ptCount val="87"/>
                <c:pt idx="0">
                  <c:v>66</c:v>
                </c:pt>
                <c:pt idx="1">
                  <c:v>66</c:v>
                </c:pt>
                <c:pt idx="2">
                  <c:v>66</c:v>
                </c:pt>
                <c:pt idx="3">
                  <c:v>66</c:v>
                </c:pt>
                <c:pt idx="4">
                  <c:v>66</c:v>
                </c:pt>
                <c:pt idx="5">
                  <c:v>66</c:v>
                </c:pt>
                <c:pt idx="6">
                  <c:v>66</c:v>
                </c:pt>
                <c:pt idx="7">
                  <c:v>66</c:v>
                </c:pt>
                <c:pt idx="8">
                  <c:v>66</c:v>
                </c:pt>
                <c:pt idx="9">
                  <c:v>66</c:v>
                </c:pt>
                <c:pt idx="10">
                  <c:v>66</c:v>
                </c:pt>
                <c:pt idx="11">
                  <c:v>66</c:v>
                </c:pt>
                <c:pt idx="12">
                  <c:v>66</c:v>
                </c:pt>
                <c:pt idx="13">
                  <c:v>66</c:v>
                </c:pt>
                <c:pt idx="14">
                  <c:v>66</c:v>
                </c:pt>
                <c:pt idx="15">
                  <c:v>66</c:v>
                </c:pt>
                <c:pt idx="16">
                  <c:v>66</c:v>
                </c:pt>
                <c:pt idx="17">
                  <c:v>66</c:v>
                </c:pt>
                <c:pt idx="18">
                  <c:v>66</c:v>
                </c:pt>
                <c:pt idx="19">
                  <c:v>66</c:v>
                </c:pt>
                <c:pt idx="20">
                  <c:v>66</c:v>
                </c:pt>
                <c:pt idx="21">
                  <c:v>66</c:v>
                </c:pt>
                <c:pt idx="22">
                  <c:v>66</c:v>
                </c:pt>
                <c:pt idx="23">
                  <c:v>66</c:v>
                </c:pt>
                <c:pt idx="24">
                  <c:v>66</c:v>
                </c:pt>
                <c:pt idx="25">
                  <c:v>66</c:v>
                </c:pt>
                <c:pt idx="26">
                  <c:v>66</c:v>
                </c:pt>
                <c:pt idx="27">
                  <c:v>66</c:v>
                </c:pt>
                <c:pt idx="28">
                  <c:v>66</c:v>
                </c:pt>
                <c:pt idx="29">
                  <c:v>66</c:v>
                </c:pt>
                <c:pt idx="30">
                  <c:v>66</c:v>
                </c:pt>
                <c:pt idx="31">
                  <c:v>66</c:v>
                </c:pt>
                <c:pt idx="32">
                  <c:v>66</c:v>
                </c:pt>
                <c:pt idx="33">
                  <c:v>66</c:v>
                </c:pt>
                <c:pt idx="34">
                  <c:v>66</c:v>
                </c:pt>
                <c:pt idx="35">
                  <c:v>66</c:v>
                </c:pt>
                <c:pt idx="36">
                  <c:v>66</c:v>
                </c:pt>
                <c:pt idx="37">
                  <c:v>66</c:v>
                </c:pt>
                <c:pt idx="38">
                  <c:v>66</c:v>
                </c:pt>
                <c:pt idx="39">
                  <c:v>66</c:v>
                </c:pt>
                <c:pt idx="40">
                  <c:v>66</c:v>
                </c:pt>
                <c:pt idx="41">
                  <c:v>66</c:v>
                </c:pt>
                <c:pt idx="42">
                  <c:v>66</c:v>
                </c:pt>
                <c:pt idx="43">
                  <c:v>66</c:v>
                </c:pt>
                <c:pt idx="44">
                  <c:v>66</c:v>
                </c:pt>
                <c:pt idx="45">
                  <c:v>66</c:v>
                </c:pt>
                <c:pt idx="46">
                  <c:v>66</c:v>
                </c:pt>
                <c:pt idx="47">
                  <c:v>66</c:v>
                </c:pt>
                <c:pt idx="48">
                  <c:v>66</c:v>
                </c:pt>
                <c:pt idx="49">
                  <c:v>66</c:v>
                </c:pt>
                <c:pt idx="50">
                  <c:v>66</c:v>
                </c:pt>
                <c:pt idx="51">
                  <c:v>66</c:v>
                </c:pt>
                <c:pt idx="52">
                  <c:v>66</c:v>
                </c:pt>
                <c:pt idx="53">
                  <c:v>66</c:v>
                </c:pt>
                <c:pt idx="54">
                  <c:v>66</c:v>
                </c:pt>
                <c:pt idx="55">
                  <c:v>66</c:v>
                </c:pt>
                <c:pt idx="56">
                  <c:v>66</c:v>
                </c:pt>
                <c:pt idx="57">
                  <c:v>66</c:v>
                </c:pt>
                <c:pt idx="58">
                  <c:v>66</c:v>
                </c:pt>
                <c:pt idx="59">
                  <c:v>66</c:v>
                </c:pt>
                <c:pt idx="60">
                  <c:v>66</c:v>
                </c:pt>
                <c:pt idx="61">
                  <c:v>66</c:v>
                </c:pt>
                <c:pt idx="62">
                  <c:v>66</c:v>
                </c:pt>
                <c:pt idx="63">
                  <c:v>66</c:v>
                </c:pt>
                <c:pt idx="64">
                  <c:v>66</c:v>
                </c:pt>
                <c:pt idx="65">
                  <c:v>66</c:v>
                </c:pt>
                <c:pt idx="66">
                  <c:v>66</c:v>
                </c:pt>
                <c:pt idx="67">
                  <c:v>66</c:v>
                </c:pt>
                <c:pt idx="68">
                  <c:v>66</c:v>
                </c:pt>
                <c:pt idx="69">
                  <c:v>66</c:v>
                </c:pt>
                <c:pt idx="70">
                  <c:v>66</c:v>
                </c:pt>
                <c:pt idx="71">
                  <c:v>66</c:v>
                </c:pt>
                <c:pt idx="72">
                  <c:v>66</c:v>
                </c:pt>
                <c:pt idx="73">
                  <c:v>66</c:v>
                </c:pt>
                <c:pt idx="74">
                  <c:v>66</c:v>
                </c:pt>
                <c:pt idx="75">
                  <c:v>66</c:v>
                </c:pt>
                <c:pt idx="76">
                  <c:v>66</c:v>
                </c:pt>
                <c:pt idx="77">
                  <c:v>66</c:v>
                </c:pt>
                <c:pt idx="78">
                  <c:v>66</c:v>
                </c:pt>
                <c:pt idx="79">
                  <c:v>66</c:v>
                </c:pt>
                <c:pt idx="80">
                  <c:v>66</c:v>
                </c:pt>
                <c:pt idx="81">
                  <c:v>66</c:v>
                </c:pt>
                <c:pt idx="82">
                  <c:v>66</c:v>
                </c:pt>
                <c:pt idx="83">
                  <c:v>66</c:v>
                </c:pt>
                <c:pt idx="84">
                  <c:v>66</c:v>
                </c:pt>
                <c:pt idx="85">
                  <c:v>66</c:v>
                </c:pt>
                <c:pt idx="86">
                  <c:v>66</c:v>
                </c:pt>
              </c:numCache>
            </c:numRef>
          </c:val>
          <c:smooth val="0"/>
          <c:extLst>
            <c:ext xmlns:c16="http://schemas.microsoft.com/office/drawing/2014/chart" uri="{C3380CC4-5D6E-409C-BE32-E72D297353CC}">
              <c16:uniqueId val="{00000000-7E28-4625-A981-34F5D3F0041D}"/>
            </c:ext>
          </c:extLst>
        </c:ser>
        <c:ser>
          <c:idx val="1"/>
          <c:order val="1"/>
          <c:tx>
            <c:strRef>
              <c:f>'Registry'!$I$1</c:f>
              <c:strCache>
                <c:ptCount val="1"/>
                <c:pt idx="0">
                  <c:v>minW</c:v>
                </c:pt>
              </c:strCache>
            </c:strRef>
          </c:tx>
          <c:spPr>
            <a:ln w="12700" cap="rnd">
              <a:solidFill>
                <a:srgbClr val="FF0000"/>
              </a:solidFill>
              <a:round/>
            </a:ln>
            <a:effectLst/>
          </c:spPr>
          <c:marker>
            <c:symbol val="none"/>
          </c:marker>
          <c:cat>
            <c:numRef>
              <c:f>'Registry'!$A$2:$A$88</c:f>
              <c:numCache>
                <c:formatCode>m/d/yyyy</c:formatCode>
                <c:ptCount val="87"/>
                <c:pt idx="0">
                  <c:v>45241</c:v>
                </c:pt>
                <c:pt idx="1">
                  <c:v>45241</c:v>
                </c:pt>
                <c:pt idx="2">
                  <c:v>45241</c:v>
                </c:pt>
                <c:pt idx="3">
                  <c:v>45241</c:v>
                </c:pt>
                <c:pt idx="4">
                  <c:v>45241</c:v>
                </c:pt>
                <c:pt idx="5">
                  <c:v>45241</c:v>
                </c:pt>
                <c:pt idx="6">
                  <c:v>45241</c:v>
                </c:pt>
                <c:pt idx="7">
                  <c:v>45241</c:v>
                </c:pt>
                <c:pt idx="8">
                  <c:v>45241</c:v>
                </c:pt>
                <c:pt idx="9">
                  <c:v>45241</c:v>
                </c:pt>
                <c:pt idx="10">
                  <c:v>45241</c:v>
                </c:pt>
                <c:pt idx="11">
                  <c:v>45241</c:v>
                </c:pt>
                <c:pt idx="12">
                  <c:v>45241</c:v>
                </c:pt>
                <c:pt idx="13">
                  <c:v>45242</c:v>
                </c:pt>
                <c:pt idx="14">
                  <c:v>45242</c:v>
                </c:pt>
                <c:pt idx="15">
                  <c:v>45242</c:v>
                </c:pt>
                <c:pt idx="16">
                  <c:v>45242</c:v>
                </c:pt>
                <c:pt idx="17">
                  <c:v>45242</c:v>
                </c:pt>
                <c:pt idx="18">
                  <c:v>45242</c:v>
                </c:pt>
                <c:pt idx="19">
                  <c:v>45242</c:v>
                </c:pt>
                <c:pt idx="20">
                  <c:v>45242</c:v>
                </c:pt>
                <c:pt idx="21">
                  <c:v>45242</c:v>
                </c:pt>
                <c:pt idx="22">
                  <c:v>45242</c:v>
                </c:pt>
                <c:pt idx="23">
                  <c:v>45242</c:v>
                </c:pt>
                <c:pt idx="24">
                  <c:v>45242</c:v>
                </c:pt>
                <c:pt idx="25">
                  <c:v>45242</c:v>
                </c:pt>
                <c:pt idx="26">
                  <c:v>45243</c:v>
                </c:pt>
                <c:pt idx="27">
                  <c:v>45243</c:v>
                </c:pt>
                <c:pt idx="28">
                  <c:v>45243</c:v>
                </c:pt>
                <c:pt idx="29">
                  <c:v>45243</c:v>
                </c:pt>
                <c:pt idx="30">
                  <c:v>45243</c:v>
                </c:pt>
                <c:pt idx="31">
                  <c:v>45243</c:v>
                </c:pt>
                <c:pt idx="32">
                  <c:v>45243</c:v>
                </c:pt>
                <c:pt idx="33">
                  <c:v>45243</c:v>
                </c:pt>
                <c:pt idx="34">
                  <c:v>45243</c:v>
                </c:pt>
                <c:pt idx="35">
                  <c:v>45243</c:v>
                </c:pt>
                <c:pt idx="36">
                  <c:v>45244</c:v>
                </c:pt>
                <c:pt idx="37">
                  <c:v>45244</c:v>
                </c:pt>
                <c:pt idx="38">
                  <c:v>45244</c:v>
                </c:pt>
                <c:pt idx="39">
                  <c:v>45244</c:v>
                </c:pt>
                <c:pt idx="40">
                  <c:v>45244</c:v>
                </c:pt>
                <c:pt idx="41">
                  <c:v>45246</c:v>
                </c:pt>
                <c:pt idx="42">
                  <c:v>45246</c:v>
                </c:pt>
                <c:pt idx="43">
                  <c:v>45246</c:v>
                </c:pt>
                <c:pt idx="44">
                  <c:v>45246</c:v>
                </c:pt>
                <c:pt idx="45">
                  <c:v>45246</c:v>
                </c:pt>
                <c:pt idx="46">
                  <c:v>45246</c:v>
                </c:pt>
                <c:pt idx="47">
                  <c:v>45246</c:v>
                </c:pt>
                <c:pt idx="48">
                  <c:v>45246</c:v>
                </c:pt>
                <c:pt idx="49">
                  <c:v>45246</c:v>
                </c:pt>
                <c:pt idx="50">
                  <c:v>45246</c:v>
                </c:pt>
                <c:pt idx="51">
                  <c:v>45246</c:v>
                </c:pt>
                <c:pt idx="52">
                  <c:v>45246</c:v>
                </c:pt>
                <c:pt idx="53">
                  <c:v>45247</c:v>
                </c:pt>
                <c:pt idx="54">
                  <c:v>45247</c:v>
                </c:pt>
                <c:pt idx="55">
                  <c:v>45247</c:v>
                </c:pt>
                <c:pt idx="56">
                  <c:v>45247</c:v>
                </c:pt>
                <c:pt idx="57">
                  <c:v>45247</c:v>
                </c:pt>
                <c:pt idx="58">
                  <c:v>45247</c:v>
                </c:pt>
                <c:pt idx="59">
                  <c:v>45247</c:v>
                </c:pt>
                <c:pt idx="60">
                  <c:v>45247</c:v>
                </c:pt>
                <c:pt idx="61">
                  <c:v>45247</c:v>
                </c:pt>
                <c:pt idx="62">
                  <c:v>45247</c:v>
                </c:pt>
                <c:pt idx="63">
                  <c:v>45247</c:v>
                </c:pt>
                <c:pt idx="64">
                  <c:v>45247</c:v>
                </c:pt>
                <c:pt idx="65">
                  <c:v>45247</c:v>
                </c:pt>
                <c:pt idx="66">
                  <c:v>45247</c:v>
                </c:pt>
                <c:pt idx="67">
                  <c:v>45247</c:v>
                </c:pt>
                <c:pt idx="68">
                  <c:v>45247</c:v>
                </c:pt>
                <c:pt idx="69">
                  <c:v>45248</c:v>
                </c:pt>
                <c:pt idx="70">
                  <c:v>45248</c:v>
                </c:pt>
                <c:pt idx="71">
                  <c:v>45248</c:v>
                </c:pt>
                <c:pt idx="72">
                  <c:v>45248</c:v>
                </c:pt>
                <c:pt idx="73">
                  <c:v>45248</c:v>
                </c:pt>
                <c:pt idx="74">
                  <c:v>45248</c:v>
                </c:pt>
                <c:pt idx="75">
                  <c:v>45248</c:v>
                </c:pt>
                <c:pt idx="76">
                  <c:v>45248</c:v>
                </c:pt>
                <c:pt idx="77">
                  <c:v>45249</c:v>
                </c:pt>
                <c:pt idx="78">
                  <c:v>45249</c:v>
                </c:pt>
                <c:pt idx="79">
                  <c:v>45249</c:v>
                </c:pt>
                <c:pt idx="80">
                  <c:v>45249</c:v>
                </c:pt>
                <c:pt idx="81">
                  <c:v>45249</c:v>
                </c:pt>
                <c:pt idx="82">
                  <c:v>45249</c:v>
                </c:pt>
                <c:pt idx="83">
                  <c:v>45249</c:v>
                </c:pt>
                <c:pt idx="84">
                  <c:v>45249</c:v>
                </c:pt>
                <c:pt idx="85">
                  <c:v>45249</c:v>
                </c:pt>
                <c:pt idx="86">
                  <c:v>45249</c:v>
                </c:pt>
              </c:numCache>
            </c:numRef>
          </c:cat>
          <c:val>
            <c:numRef>
              <c:f>'Registry'!$I$2:$I$88</c:f>
              <c:numCache>
                <c:formatCode>General</c:formatCode>
                <c:ptCount val="87"/>
                <c:pt idx="0">
                  <c:v>68.802352941176466</c:v>
                </c:pt>
                <c:pt idx="1">
                  <c:v>68.802352941176466</c:v>
                </c:pt>
                <c:pt idx="2">
                  <c:v>68.802352941176466</c:v>
                </c:pt>
                <c:pt idx="3">
                  <c:v>68.802352941176466</c:v>
                </c:pt>
                <c:pt idx="4">
                  <c:v>68.802352941176466</c:v>
                </c:pt>
                <c:pt idx="5">
                  <c:v>68.802352941176466</c:v>
                </c:pt>
                <c:pt idx="6">
                  <c:v>68.802352941176466</c:v>
                </c:pt>
                <c:pt idx="7">
                  <c:v>68.802352941176466</c:v>
                </c:pt>
                <c:pt idx="8">
                  <c:v>68.802352941176466</c:v>
                </c:pt>
                <c:pt idx="9">
                  <c:v>68.802352941176466</c:v>
                </c:pt>
                <c:pt idx="10">
                  <c:v>68.802352941176466</c:v>
                </c:pt>
                <c:pt idx="11">
                  <c:v>68.802352941176466</c:v>
                </c:pt>
                <c:pt idx="12">
                  <c:v>68.802352941176466</c:v>
                </c:pt>
                <c:pt idx="13">
                  <c:v>68.802352941176466</c:v>
                </c:pt>
                <c:pt idx="14">
                  <c:v>68.802352941176466</c:v>
                </c:pt>
                <c:pt idx="15">
                  <c:v>68.802352941176466</c:v>
                </c:pt>
                <c:pt idx="16">
                  <c:v>68.802352941176466</c:v>
                </c:pt>
                <c:pt idx="17">
                  <c:v>68.802352941176466</c:v>
                </c:pt>
                <c:pt idx="18">
                  <c:v>68.802352941176466</c:v>
                </c:pt>
                <c:pt idx="19">
                  <c:v>68.802352941176466</c:v>
                </c:pt>
                <c:pt idx="20">
                  <c:v>68.802352941176466</c:v>
                </c:pt>
                <c:pt idx="21">
                  <c:v>68.802352941176466</c:v>
                </c:pt>
                <c:pt idx="22">
                  <c:v>68.802352941176466</c:v>
                </c:pt>
                <c:pt idx="23">
                  <c:v>68.802352941176466</c:v>
                </c:pt>
                <c:pt idx="24">
                  <c:v>68.802352941176466</c:v>
                </c:pt>
                <c:pt idx="25">
                  <c:v>68.802352941176466</c:v>
                </c:pt>
                <c:pt idx="26">
                  <c:v>68.802352941176466</c:v>
                </c:pt>
                <c:pt idx="27">
                  <c:v>68.802352941176466</c:v>
                </c:pt>
                <c:pt idx="28">
                  <c:v>68.802352941176466</c:v>
                </c:pt>
                <c:pt idx="29">
                  <c:v>68.802352941176466</c:v>
                </c:pt>
                <c:pt idx="30">
                  <c:v>68.802352941176466</c:v>
                </c:pt>
                <c:pt idx="31">
                  <c:v>68.802352941176466</c:v>
                </c:pt>
                <c:pt idx="32">
                  <c:v>68.802352941176466</c:v>
                </c:pt>
                <c:pt idx="33">
                  <c:v>68.802352941176466</c:v>
                </c:pt>
                <c:pt idx="34">
                  <c:v>68.802352941176466</c:v>
                </c:pt>
                <c:pt idx="35">
                  <c:v>68.802352941176466</c:v>
                </c:pt>
                <c:pt idx="36">
                  <c:v>68.802352941176466</c:v>
                </c:pt>
                <c:pt idx="37">
                  <c:v>68.802352941176466</c:v>
                </c:pt>
                <c:pt idx="38">
                  <c:v>68.802352941176466</c:v>
                </c:pt>
                <c:pt idx="39">
                  <c:v>68.802352941176466</c:v>
                </c:pt>
                <c:pt idx="40">
                  <c:v>68.802352941176466</c:v>
                </c:pt>
                <c:pt idx="41">
                  <c:v>68.802352941176466</c:v>
                </c:pt>
                <c:pt idx="42">
                  <c:v>68.802352941176466</c:v>
                </c:pt>
                <c:pt idx="43">
                  <c:v>68.802352941176466</c:v>
                </c:pt>
                <c:pt idx="44">
                  <c:v>68.802352941176466</c:v>
                </c:pt>
                <c:pt idx="45">
                  <c:v>68.802352941176466</c:v>
                </c:pt>
                <c:pt idx="46">
                  <c:v>68.802352941176466</c:v>
                </c:pt>
                <c:pt idx="47">
                  <c:v>68.802352941176466</c:v>
                </c:pt>
                <c:pt idx="48">
                  <c:v>68.802352941176466</c:v>
                </c:pt>
                <c:pt idx="49">
                  <c:v>68.802352941176466</c:v>
                </c:pt>
                <c:pt idx="50">
                  <c:v>68.802352941176466</c:v>
                </c:pt>
                <c:pt idx="51">
                  <c:v>68.802352941176466</c:v>
                </c:pt>
                <c:pt idx="52">
                  <c:v>68.802352941176466</c:v>
                </c:pt>
                <c:pt idx="53">
                  <c:v>68.802352941176466</c:v>
                </c:pt>
                <c:pt idx="54">
                  <c:v>68.802352941176466</c:v>
                </c:pt>
                <c:pt idx="55">
                  <c:v>68.802352941176466</c:v>
                </c:pt>
                <c:pt idx="56">
                  <c:v>68.802352941176466</c:v>
                </c:pt>
                <c:pt idx="57">
                  <c:v>68.802352941176466</c:v>
                </c:pt>
                <c:pt idx="58">
                  <c:v>68.802352941176466</c:v>
                </c:pt>
                <c:pt idx="59">
                  <c:v>68.802352941176466</c:v>
                </c:pt>
                <c:pt idx="60">
                  <c:v>68.802352941176466</c:v>
                </c:pt>
                <c:pt idx="61">
                  <c:v>68.802352941176466</c:v>
                </c:pt>
                <c:pt idx="62">
                  <c:v>68.802352941176466</c:v>
                </c:pt>
                <c:pt idx="63">
                  <c:v>68.802352941176466</c:v>
                </c:pt>
                <c:pt idx="64">
                  <c:v>68.802352941176466</c:v>
                </c:pt>
                <c:pt idx="65">
                  <c:v>68.802352941176466</c:v>
                </c:pt>
                <c:pt idx="66">
                  <c:v>68.802352941176466</c:v>
                </c:pt>
                <c:pt idx="67">
                  <c:v>68.802352941176466</c:v>
                </c:pt>
                <c:pt idx="68">
                  <c:v>68.802352941176466</c:v>
                </c:pt>
                <c:pt idx="69">
                  <c:v>68.802352941176466</c:v>
                </c:pt>
                <c:pt idx="70">
                  <c:v>68.802352941176466</c:v>
                </c:pt>
                <c:pt idx="71">
                  <c:v>68.802352941176466</c:v>
                </c:pt>
                <c:pt idx="72">
                  <c:v>68.802352941176466</c:v>
                </c:pt>
                <c:pt idx="73">
                  <c:v>68.802352941176466</c:v>
                </c:pt>
                <c:pt idx="74">
                  <c:v>68.802352941176466</c:v>
                </c:pt>
                <c:pt idx="75">
                  <c:v>68.802352941176466</c:v>
                </c:pt>
                <c:pt idx="76">
                  <c:v>68.802352941176466</c:v>
                </c:pt>
                <c:pt idx="77">
                  <c:v>68.802352941176466</c:v>
                </c:pt>
                <c:pt idx="78">
                  <c:v>68.802352941176466</c:v>
                </c:pt>
                <c:pt idx="79">
                  <c:v>68.802352941176466</c:v>
                </c:pt>
                <c:pt idx="80">
                  <c:v>68.802352941176466</c:v>
                </c:pt>
                <c:pt idx="81">
                  <c:v>68.802352941176466</c:v>
                </c:pt>
                <c:pt idx="82">
                  <c:v>68.802352941176466</c:v>
                </c:pt>
                <c:pt idx="83">
                  <c:v>68.802352941176466</c:v>
                </c:pt>
                <c:pt idx="84">
                  <c:v>68.802352941176466</c:v>
                </c:pt>
                <c:pt idx="85">
                  <c:v>68.802352941176466</c:v>
                </c:pt>
                <c:pt idx="86">
                  <c:v>68.802352941176466</c:v>
                </c:pt>
              </c:numCache>
            </c:numRef>
          </c:val>
          <c:smooth val="0"/>
          <c:extLst>
            <c:ext xmlns:c16="http://schemas.microsoft.com/office/drawing/2014/chart" uri="{C3380CC4-5D6E-409C-BE32-E72D297353CC}">
              <c16:uniqueId val="{00000001-7E28-4625-A981-34F5D3F0041D}"/>
            </c:ext>
          </c:extLst>
        </c:ser>
        <c:ser>
          <c:idx val="2"/>
          <c:order val="2"/>
          <c:tx>
            <c:strRef>
              <c:f>'Registry'!$J$1</c:f>
              <c:strCache>
                <c:ptCount val="1"/>
                <c:pt idx="0">
                  <c:v>maxW</c:v>
                </c:pt>
              </c:strCache>
            </c:strRef>
          </c:tx>
          <c:spPr>
            <a:ln w="12700" cap="rnd">
              <a:solidFill>
                <a:srgbClr val="FF3300"/>
              </a:solidFill>
              <a:round/>
            </a:ln>
            <a:effectLst/>
          </c:spPr>
          <c:marker>
            <c:symbol val="none"/>
          </c:marker>
          <c:cat>
            <c:numRef>
              <c:f>'Registry'!$A$2:$A$88</c:f>
              <c:numCache>
                <c:formatCode>m/d/yyyy</c:formatCode>
                <c:ptCount val="87"/>
                <c:pt idx="0">
                  <c:v>45241</c:v>
                </c:pt>
                <c:pt idx="1">
                  <c:v>45241</c:v>
                </c:pt>
                <c:pt idx="2">
                  <c:v>45241</c:v>
                </c:pt>
                <c:pt idx="3">
                  <c:v>45241</c:v>
                </c:pt>
                <c:pt idx="4">
                  <c:v>45241</c:v>
                </c:pt>
                <c:pt idx="5">
                  <c:v>45241</c:v>
                </c:pt>
                <c:pt idx="6">
                  <c:v>45241</c:v>
                </c:pt>
                <c:pt idx="7">
                  <c:v>45241</c:v>
                </c:pt>
                <c:pt idx="8">
                  <c:v>45241</c:v>
                </c:pt>
                <c:pt idx="9">
                  <c:v>45241</c:v>
                </c:pt>
                <c:pt idx="10">
                  <c:v>45241</c:v>
                </c:pt>
                <c:pt idx="11">
                  <c:v>45241</c:v>
                </c:pt>
                <c:pt idx="12">
                  <c:v>45241</c:v>
                </c:pt>
                <c:pt idx="13">
                  <c:v>45242</c:v>
                </c:pt>
                <c:pt idx="14">
                  <c:v>45242</c:v>
                </c:pt>
                <c:pt idx="15">
                  <c:v>45242</c:v>
                </c:pt>
                <c:pt idx="16">
                  <c:v>45242</c:v>
                </c:pt>
                <c:pt idx="17">
                  <c:v>45242</c:v>
                </c:pt>
                <c:pt idx="18">
                  <c:v>45242</c:v>
                </c:pt>
                <c:pt idx="19">
                  <c:v>45242</c:v>
                </c:pt>
                <c:pt idx="20">
                  <c:v>45242</c:v>
                </c:pt>
                <c:pt idx="21">
                  <c:v>45242</c:v>
                </c:pt>
                <c:pt idx="22">
                  <c:v>45242</c:v>
                </c:pt>
                <c:pt idx="23">
                  <c:v>45242</c:v>
                </c:pt>
                <c:pt idx="24">
                  <c:v>45242</c:v>
                </c:pt>
                <c:pt idx="25">
                  <c:v>45242</c:v>
                </c:pt>
                <c:pt idx="26">
                  <c:v>45243</c:v>
                </c:pt>
                <c:pt idx="27">
                  <c:v>45243</c:v>
                </c:pt>
                <c:pt idx="28">
                  <c:v>45243</c:v>
                </c:pt>
                <c:pt idx="29">
                  <c:v>45243</c:v>
                </c:pt>
                <c:pt idx="30">
                  <c:v>45243</c:v>
                </c:pt>
                <c:pt idx="31">
                  <c:v>45243</c:v>
                </c:pt>
                <c:pt idx="32">
                  <c:v>45243</c:v>
                </c:pt>
                <c:pt idx="33">
                  <c:v>45243</c:v>
                </c:pt>
                <c:pt idx="34">
                  <c:v>45243</c:v>
                </c:pt>
                <c:pt idx="35">
                  <c:v>45243</c:v>
                </c:pt>
                <c:pt idx="36">
                  <c:v>45244</c:v>
                </c:pt>
                <c:pt idx="37">
                  <c:v>45244</c:v>
                </c:pt>
                <c:pt idx="38">
                  <c:v>45244</c:v>
                </c:pt>
                <c:pt idx="39">
                  <c:v>45244</c:v>
                </c:pt>
                <c:pt idx="40">
                  <c:v>45244</c:v>
                </c:pt>
                <c:pt idx="41">
                  <c:v>45246</c:v>
                </c:pt>
                <c:pt idx="42">
                  <c:v>45246</c:v>
                </c:pt>
                <c:pt idx="43">
                  <c:v>45246</c:v>
                </c:pt>
                <c:pt idx="44">
                  <c:v>45246</c:v>
                </c:pt>
                <c:pt idx="45">
                  <c:v>45246</c:v>
                </c:pt>
                <c:pt idx="46">
                  <c:v>45246</c:v>
                </c:pt>
                <c:pt idx="47">
                  <c:v>45246</c:v>
                </c:pt>
                <c:pt idx="48">
                  <c:v>45246</c:v>
                </c:pt>
                <c:pt idx="49">
                  <c:v>45246</c:v>
                </c:pt>
                <c:pt idx="50">
                  <c:v>45246</c:v>
                </c:pt>
                <c:pt idx="51">
                  <c:v>45246</c:v>
                </c:pt>
                <c:pt idx="52">
                  <c:v>45246</c:v>
                </c:pt>
                <c:pt idx="53">
                  <c:v>45247</c:v>
                </c:pt>
                <c:pt idx="54">
                  <c:v>45247</c:v>
                </c:pt>
                <c:pt idx="55">
                  <c:v>45247</c:v>
                </c:pt>
                <c:pt idx="56">
                  <c:v>45247</c:v>
                </c:pt>
                <c:pt idx="57">
                  <c:v>45247</c:v>
                </c:pt>
                <c:pt idx="58">
                  <c:v>45247</c:v>
                </c:pt>
                <c:pt idx="59">
                  <c:v>45247</c:v>
                </c:pt>
                <c:pt idx="60">
                  <c:v>45247</c:v>
                </c:pt>
                <c:pt idx="61">
                  <c:v>45247</c:v>
                </c:pt>
                <c:pt idx="62">
                  <c:v>45247</c:v>
                </c:pt>
                <c:pt idx="63">
                  <c:v>45247</c:v>
                </c:pt>
                <c:pt idx="64">
                  <c:v>45247</c:v>
                </c:pt>
                <c:pt idx="65">
                  <c:v>45247</c:v>
                </c:pt>
                <c:pt idx="66">
                  <c:v>45247</c:v>
                </c:pt>
                <c:pt idx="67">
                  <c:v>45247</c:v>
                </c:pt>
                <c:pt idx="68">
                  <c:v>45247</c:v>
                </c:pt>
                <c:pt idx="69">
                  <c:v>45248</c:v>
                </c:pt>
                <c:pt idx="70">
                  <c:v>45248</c:v>
                </c:pt>
                <c:pt idx="71">
                  <c:v>45248</c:v>
                </c:pt>
                <c:pt idx="72">
                  <c:v>45248</c:v>
                </c:pt>
                <c:pt idx="73">
                  <c:v>45248</c:v>
                </c:pt>
                <c:pt idx="74">
                  <c:v>45248</c:v>
                </c:pt>
                <c:pt idx="75">
                  <c:v>45248</c:v>
                </c:pt>
                <c:pt idx="76">
                  <c:v>45248</c:v>
                </c:pt>
                <c:pt idx="77">
                  <c:v>45249</c:v>
                </c:pt>
                <c:pt idx="78">
                  <c:v>45249</c:v>
                </c:pt>
                <c:pt idx="79">
                  <c:v>45249</c:v>
                </c:pt>
                <c:pt idx="80">
                  <c:v>45249</c:v>
                </c:pt>
                <c:pt idx="81">
                  <c:v>45249</c:v>
                </c:pt>
                <c:pt idx="82">
                  <c:v>45249</c:v>
                </c:pt>
                <c:pt idx="83">
                  <c:v>45249</c:v>
                </c:pt>
                <c:pt idx="84">
                  <c:v>45249</c:v>
                </c:pt>
                <c:pt idx="85">
                  <c:v>45249</c:v>
                </c:pt>
                <c:pt idx="86">
                  <c:v>45249</c:v>
                </c:pt>
              </c:numCache>
            </c:numRef>
          </c:cat>
          <c:val>
            <c:numRef>
              <c:f>'Registry'!$J$2:$J$88</c:f>
              <c:numCache>
                <c:formatCode>General</c:formatCode>
                <c:ptCount val="87"/>
                <c:pt idx="0">
                  <c:v>86.002941176470586</c:v>
                </c:pt>
                <c:pt idx="1">
                  <c:v>86.002941176470586</c:v>
                </c:pt>
                <c:pt idx="2">
                  <c:v>86.002941176470586</c:v>
                </c:pt>
                <c:pt idx="3">
                  <c:v>86.002941176470586</c:v>
                </c:pt>
                <c:pt idx="4">
                  <c:v>86.002941176470586</c:v>
                </c:pt>
                <c:pt idx="5">
                  <c:v>86.002941176470586</c:v>
                </c:pt>
                <c:pt idx="6">
                  <c:v>86.002941176470586</c:v>
                </c:pt>
                <c:pt idx="7">
                  <c:v>86.002941176470586</c:v>
                </c:pt>
                <c:pt idx="8">
                  <c:v>86.002941176470586</c:v>
                </c:pt>
                <c:pt idx="9">
                  <c:v>86.002941176470586</c:v>
                </c:pt>
                <c:pt idx="10">
                  <c:v>86.002941176470586</c:v>
                </c:pt>
                <c:pt idx="11">
                  <c:v>86.002941176470586</c:v>
                </c:pt>
                <c:pt idx="12">
                  <c:v>86.002941176470586</c:v>
                </c:pt>
                <c:pt idx="13">
                  <c:v>86.002941176470586</c:v>
                </c:pt>
                <c:pt idx="14">
                  <c:v>86.002941176470586</c:v>
                </c:pt>
                <c:pt idx="15">
                  <c:v>86.002941176470586</c:v>
                </c:pt>
                <c:pt idx="16">
                  <c:v>86.002941176470586</c:v>
                </c:pt>
                <c:pt idx="17">
                  <c:v>86.002941176470586</c:v>
                </c:pt>
                <c:pt idx="18">
                  <c:v>86.002941176470586</c:v>
                </c:pt>
                <c:pt idx="19">
                  <c:v>86.002941176470586</c:v>
                </c:pt>
                <c:pt idx="20">
                  <c:v>86.002941176470586</c:v>
                </c:pt>
                <c:pt idx="21">
                  <c:v>86.002941176470586</c:v>
                </c:pt>
                <c:pt idx="22">
                  <c:v>86.002941176470586</c:v>
                </c:pt>
                <c:pt idx="23">
                  <c:v>86.002941176470586</c:v>
                </c:pt>
                <c:pt idx="24">
                  <c:v>86.002941176470586</c:v>
                </c:pt>
                <c:pt idx="25">
                  <c:v>86.002941176470586</c:v>
                </c:pt>
                <c:pt idx="26">
                  <c:v>86.002941176470586</c:v>
                </c:pt>
                <c:pt idx="27">
                  <c:v>86.002941176470586</c:v>
                </c:pt>
                <c:pt idx="28">
                  <c:v>86.002941176470586</c:v>
                </c:pt>
                <c:pt idx="29">
                  <c:v>86.002941176470586</c:v>
                </c:pt>
                <c:pt idx="30">
                  <c:v>86.002941176470586</c:v>
                </c:pt>
                <c:pt idx="31">
                  <c:v>86.002941176470586</c:v>
                </c:pt>
                <c:pt idx="32">
                  <c:v>86.002941176470586</c:v>
                </c:pt>
                <c:pt idx="33">
                  <c:v>86.002941176470586</c:v>
                </c:pt>
                <c:pt idx="34">
                  <c:v>86.002941176470586</c:v>
                </c:pt>
                <c:pt idx="35">
                  <c:v>86.002941176470586</c:v>
                </c:pt>
                <c:pt idx="36">
                  <c:v>86.002941176470586</c:v>
                </c:pt>
                <c:pt idx="37">
                  <c:v>86.002941176470586</c:v>
                </c:pt>
                <c:pt idx="38">
                  <c:v>86.002941176470586</c:v>
                </c:pt>
                <c:pt idx="39">
                  <c:v>86.002941176470586</c:v>
                </c:pt>
                <c:pt idx="40">
                  <c:v>86.002941176470586</c:v>
                </c:pt>
                <c:pt idx="41">
                  <c:v>86.002941176470586</c:v>
                </c:pt>
                <c:pt idx="42">
                  <c:v>86.002941176470586</c:v>
                </c:pt>
                <c:pt idx="43">
                  <c:v>86.002941176470586</c:v>
                </c:pt>
                <c:pt idx="44">
                  <c:v>86.002941176470586</c:v>
                </c:pt>
                <c:pt idx="45">
                  <c:v>86.002941176470586</c:v>
                </c:pt>
                <c:pt idx="46">
                  <c:v>86.002941176470586</c:v>
                </c:pt>
                <c:pt idx="47">
                  <c:v>86.002941176470586</c:v>
                </c:pt>
                <c:pt idx="48">
                  <c:v>86.002941176470586</c:v>
                </c:pt>
                <c:pt idx="49">
                  <c:v>86.002941176470586</c:v>
                </c:pt>
                <c:pt idx="50">
                  <c:v>86.002941176470586</c:v>
                </c:pt>
                <c:pt idx="51">
                  <c:v>86.002941176470586</c:v>
                </c:pt>
                <c:pt idx="52">
                  <c:v>86.002941176470586</c:v>
                </c:pt>
                <c:pt idx="53">
                  <c:v>86.002941176470586</c:v>
                </c:pt>
                <c:pt idx="54">
                  <c:v>86.002941176470586</c:v>
                </c:pt>
                <c:pt idx="55">
                  <c:v>86.002941176470586</c:v>
                </c:pt>
                <c:pt idx="56">
                  <c:v>86.002941176470586</c:v>
                </c:pt>
                <c:pt idx="57">
                  <c:v>86.002941176470586</c:v>
                </c:pt>
                <c:pt idx="58">
                  <c:v>86.002941176470586</c:v>
                </c:pt>
                <c:pt idx="59">
                  <c:v>86.002941176470586</c:v>
                </c:pt>
                <c:pt idx="60">
                  <c:v>86.002941176470586</c:v>
                </c:pt>
                <c:pt idx="61">
                  <c:v>86.002941176470586</c:v>
                </c:pt>
                <c:pt idx="62">
                  <c:v>86.002941176470586</c:v>
                </c:pt>
                <c:pt idx="63">
                  <c:v>86.002941176470586</c:v>
                </c:pt>
                <c:pt idx="64">
                  <c:v>86.002941176470586</c:v>
                </c:pt>
                <c:pt idx="65">
                  <c:v>86.002941176470586</c:v>
                </c:pt>
                <c:pt idx="66">
                  <c:v>86.002941176470586</c:v>
                </c:pt>
                <c:pt idx="67">
                  <c:v>86.002941176470586</c:v>
                </c:pt>
                <c:pt idx="68">
                  <c:v>86.002941176470586</c:v>
                </c:pt>
                <c:pt idx="69">
                  <c:v>86.002941176470586</c:v>
                </c:pt>
                <c:pt idx="70">
                  <c:v>86.002941176470586</c:v>
                </c:pt>
                <c:pt idx="71">
                  <c:v>86.002941176470586</c:v>
                </c:pt>
                <c:pt idx="72">
                  <c:v>86.002941176470586</c:v>
                </c:pt>
                <c:pt idx="73">
                  <c:v>86.002941176470586</c:v>
                </c:pt>
                <c:pt idx="74">
                  <c:v>86.002941176470586</c:v>
                </c:pt>
                <c:pt idx="75">
                  <c:v>86.002941176470586</c:v>
                </c:pt>
                <c:pt idx="76">
                  <c:v>86.002941176470586</c:v>
                </c:pt>
                <c:pt idx="77">
                  <c:v>86.002941176470586</c:v>
                </c:pt>
                <c:pt idx="78">
                  <c:v>86.002941176470586</c:v>
                </c:pt>
                <c:pt idx="79">
                  <c:v>86.002941176470586</c:v>
                </c:pt>
                <c:pt idx="80">
                  <c:v>86.002941176470586</c:v>
                </c:pt>
                <c:pt idx="81">
                  <c:v>86.002941176470586</c:v>
                </c:pt>
                <c:pt idx="82">
                  <c:v>86.002941176470586</c:v>
                </c:pt>
                <c:pt idx="83">
                  <c:v>86.002941176470586</c:v>
                </c:pt>
                <c:pt idx="84">
                  <c:v>86.002941176470586</c:v>
                </c:pt>
                <c:pt idx="85">
                  <c:v>86.002941176470586</c:v>
                </c:pt>
                <c:pt idx="86">
                  <c:v>86.002941176470586</c:v>
                </c:pt>
              </c:numCache>
            </c:numRef>
          </c:val>
          <c:smooth val="0"/>
          <c:extLst>
            <c:ext xmlns:c16="http://schemas.microsoft.com/office/drawing/2014/chart" uri="{C3380CC4-5D6E-409C-BE32-E72D297353CC}">
              <c16:uniqueId val="{00000002-7E28-4625-A981-34F5D3F0041D}"/>
            </c:ext>
          </c:extLst>
        </c:ser>
        <c:ser>
          <c:idx val="3"/>
          <c:order val="3"/>
          <c:tx>
            <c:strRef>
              <c:f>'Registry'!$K$1</c:f>
              <c:strCache>
                <c:ptCount val="1"/>
                <c:pt idx="0">
                  <c:v>optimalW</c:v>
                </c:pt>
              </c:strCache>
            </c:strRef>
          </c:tx>
          <c:spPr>
            <a:ln w="25400" cap="rnd">
              <a:solidFill>
                <a:srgbClr val="FFC000"/>
              </a:solidFill>
              <a:prstDash val="dash"/>
              <a:round/>
            </a:ln>
            <a:effectLst/>
          </c:spPr>
          <c:marker>
            <c:symbol val="none"/>
          </c:marker>
          <c:cat>
            <c:numRef>
              <c:f>'Registry'!$A$2:$A$88</c:f>
              <c:numCache>
                <c:formatCode>m/d/yyyy</c:formatCode>
                <c:ptCount val="87"/>
                <c:pt idx="0">
                  <c:v>45241</c:v>
                </c:pt>
                <c:pt idx="1">
                  <c:v>45241</c:v>
                </c:pt>
                <c:pt idx="2">
                  <c:v>45241</c:v>
                </c:pt>
                <c:pt idx="3">
                  <c:v>45241</c:v>
                </c:pt>
                <c:pt idx="4">
                  <c:v>45241</c:v>
                </c:pt>
                <c:pt idx="5">
                  <c:v>45241</c:v>
                </c:pt>
                <c:pt idx="6">
                  <c:v>45241</c:v>
                </c:pt>
                <c:pt idx="7">
                  <c:v>45241</c:v>
                </c:pt>
                <c:pt idx="8">
                  <c:v>45241</c:v>
                </c:pt>
                <c:pt idx="9">
                  <c:v>45241</c:v>
                </c:pt>
                <c:pt idx="10">
                  <c:v>45241</c:v>
                </c:pt>
                <c:pt idx="11">
                  <c:v>45241</c:v>
                </c:pt>
                <c:pt idx="12">
                  <c:v>45241</c:v>
                </c:pt>
                <c:pt idx="13">
                  <c:v>45242</c:v>
                </c:pt>
                <c:pt idx="14">
                  <c:v>45242</c:v>
                </c:pt>
                <c:pt idx="15">
                  <c:v>45242</c:v>
                </c:pt>
                <c:pt idx="16">
                  <c:v>45242</c:v>
                </c:pt>
                <c:pt idx="17">
                  <c:v>45242</c:v>
                </c:pt>
                <c:pt idx="18">
                  <c:v>45242</c:v>
                </c:pt>
                <c:pt idx="19">
                  <c:v>45242</c:v>
                </c:pt>
                <c:pt idx="20">
                  <c:v>45242</c:v>
                </c:pt>
                <c:pt idx="21">
                  <c:v>45242</c:v>
                </c:pt>
                <c:pt idx="22">
                  <c:v>45242</c:v>
                </c:pt>
                <c:pt idx="23">
                  <c:v>45242</c:v>
                </c:pt>
                <c:pt idx="24">
                  <c:v>45242</c:v>
                </c:pt>
                <c:pt idx="25">
                  <c:v>45242</c:v>
                </c:pt>
                <c:pt idx="26">
                  <c:v>45243</c:v>
                </c:pt>
                <c:pt idx="27">
                  <c:v>45243</c:v>
                </c:pt>
                <c:pt idx="28">
                  <c:v>45243</c:v>
                </c:pt>
                <c:pt idx="29">
                  <c:v>45243</c:v>
                </c:pt>
                <c:pt idx="30">
                  <c:v>45243</c:v>
                </c:pt>
                <c:pt idx="31">
                  <c:v>45243</c:v>
                </c:pt>
                <c:pt idx="32">
                  <c:v>45243</c:v>
                </c:pt>
                <c:pt idx="33">
                  <c:v>45243</c:v>
                </c:pt>
                <c:pt idx="34">
                  <c:v>45243</c:v>
                </c:pt>
                <c:pt idx="35">
                  <c:v>45243</c:v>
                </c:pt>
                <c:pt idx="36">
                  <c:v>45244</c:v>
                </c:pt>
                <c:pt idx="37">
                  <c:v>45244</c:v>
                </c:pt>
                <c:pt idx="38">
                  <c:v>45244</c:v>
                </c:pt>
                <c:pt idx="39">
                  <c:v>45244</c:v>
                </c:pt>
                <c:pt idx="40">
                  <c:v>45244</c:v>
                </c:pt>
                <c:pt idx="41">
                  <c:v>45246</c:v>
                </c:pt>
                <c:pt idx="42">
                  <c:v>45246</c:v>
                </c:pt>
                <c:pt idx="43">
                  <c:v>45246</c:v>
                </c:pt>
                <c:pt idx="44">
                  <c:v>45246</c:v>
                </c:pt>
                <c:pt idx="45">
                  <c:v>45246</c:v>
                </c:pt>
                <c:pt idx="46">
                  <c:v>45246</c:v>
                </c:pt>
                <c:pt idx="47">
                  <c:v>45246</c:v>
                </c:pt>
                <c:pt idx="48">
                  <c:v>45246</c:v>
                </c:pt>
                <c:pt idx="49">
                  <c:v>45246</c:v>
                </c:pt>
                <c:pt idx="50">
                  <c:v>45246</c:v>
                </c:pt>
                <c:pt idx="51">
                  <c:v>45246</c:v>
                </c:pt>
                <c:pt idx="52">
                  <c:v>45246</c:v>
                </c:pt>
                <c:pt idx="53">
                  <c:v>45247</c:v>
                </c:pt>
                <c:pt idx="54">
                  <c:v>45247</c:v>
                </c:pt>
                <c:pt idx="55">
                  <c:v>45247</c:v>
                </c:pt>
                <c:pt idx="56">
                  <c:v>45247</c:v>
                </c:pt>
                <c:pt idx="57">
                  <c:v>45247</c:v>
                </c:pt>
                <c:pt idx="58">
                  <c:v>45247</c:v>
                </c:pt>
                <c:pt idx="59">
                  <c:v>45247</c:v>
                </c:pt>
                <c:pt idx="60">
                  <c:v>45247</c:v>
                </c:pt>
                <c:pt idx="61">
                  <c:v>45247</c:v>
                </c:pt>
                <c:pt idx="62">
                  <c:v>45247</c:v>
                </c:pt>
                <c:pt idx="63">
                  <c:v>45247</c:v>
                </c:pt>
                <c:pt idx="64">
                  <c:v>45247</c:v>
                </c:pt>
                <c:pt idx="65">
                  <c:v>45247</c:v>
                </c:pt>
                <c:pt idx="66">
                  <c:v>45247</c:v>
                </c:pt>
                <c:pt idx="67">
                  <c:v>45247</c:v>
                </c:pt>
                <c:pt idx="68">
                  <c:v>45247</c:v>
                </c:pt>
                <c:pt idx="69">
                  <c:v>45248</c:v>
                </c:pt>
                <c:pt idx="70">
                  <c:v>45248</c:v>
                </c:pt>
                <c:pt idx="71">
                  <c:v>45248</c:v>
                </c:pt>
                <c:pt idx="72">
                  <c:v>45248</c:v>
                </c:pt>
                <c:pt idx="73">
                  <c:v>45248</c:v>
                </c:pt>
                <c:pt idx="74">
                  <c:v>45248</c:v>
                </c:pt>
                <c:pt idx="75">
                  <c:v>45248</c:v>
                </c:pt>
                <c:pt idx="76">
                  <c:v>45248</c:v>
                </c:pt>
                <c:pt idx="77">
                  <c:v>45249</c:v>
                </c:pt>
                <c:pt idx="78">
                  <c:v>45249</c:v>
                </c:pt>
                <c:pt idx="79">
                  <c:v>45249</c:v>
                </c:pt>
                <c:pt idx="80">
                  <c:v>45249</c:v>
                </c:pt>
                <c:pt idx="81">
                  <c:v>45249</c:v>
                </c:pt>
                <c:pt idx="82">
                  <c:v>45249</c:v>
                </c:pt>
                <c:pt idx="83">
                  <c:v>45249</c:v>
                </c:pt>
                <c:pt idx="84">
                  <c:v>45249</c:v>
                </c:pt>
                <c:pt idx="85">
                  <c:v>45249</c:v>
                </c:pt>
                <c:pt idx="86">
                  <c:v>45249</c:v>
                </c:pt>
              </c:numCache>
            </c:numRef>
          </c:cat>
          <c:val>
            <c:numRef>
              <c:f>'Registry'!$K$2:$K$88</c:f>
              <c:numCache>
                <c:formatCode>General</c:formatCode>
                <c:ptCount val="87"/>
                <c:pt idx="0">
                  <c:v>71</c:v>
                </c:pt>
                <c:pt idx="1">
                  <c:v>71</c:v>
                </c:pt>
                <c:pt idx="2">
                  <c:v>71</c:v>
                </c:pt>
                <c:pt idx="3">
                  <c:v>71</c:v>
                </c:pt>
                <c:pt idx="4">
                  <c:v>71</c:v>
                </c:pt>
                <c:pt idx="5">
                  <c:v>71</c:v>
                </c:pt>
                <c:pt idx="6">
                  <c:v>71</c:v>
                </c:pt>
                <c:pt idx="7">
                  <c:v>71</c:v>
                </c:pt>
                <c:pt idx="8">
                  <c:v>71</c:v>
                </c:pt>
                <c:pt idx="9">
                  <c:v>71</c:v>
                </c:pt>
                <c:pt idx="10">
                  <c:v>71</c:v>
                </c:pt>
                <c:pt idx="11">
                  <c:v>71</c:v>
                </c:pt>
                <c:pt idx="12">
                  <c:v>71</c:v>
                </c:pt>
                <c:pt idx="13">
                  <c:v>71</c:v>
                </c:pt>
                <c:pt idx="14">
                  <c:v>71</c:v>
                </c:pt>
                <c:pt idx="15">
                  <c:v>71</c:v>
                </c:pt>
                <c:pt idx="16">
                  <c:v>71</c:v>
                </c:pt>
                <c:pt idx="17">
                  <c:v>71</c:v>
                </c:pt>
                <c:pt idx="18">
                  <c:v>71</c:v>
                </c:pt>
                <c:pt idx="19">
                  <c:v>71</c:v>
                </c:pt>
                <c:pt idx="20">
                  <c:v>71</c:v>
                </c:pt>
                <c:pt idx="21">
                  <c:v>71</c:v>
                </c:pt>
                <c:pt idx="22">
                  <c:v>71</c:v>
                </c:pt>
                <c:pt idx="23">
                  <c:v>71</c:v>
                </c:pt>
                <c:pt idx="24">
                  <c:v>71</c:v>
                </c:pt>
                <c:pt idx="25">
                  <c:v>71</c:v>
                </c:pt>
                <c:pt idx="26">
                  <c:v>71</c:v>
                </c:pt>
                <c:pt idx="27">
                  <c:v>71</c:v>
                </c:pt>
                <c:pt idx="28">
                  <c:v>71</c:v>
                </c:pt>
                <c:pt idx="29">
                  <c:v>71</c:v>
                </c:pt>
                <c:pt idx="30">
                  <c:v>71</c:v>
                </c:pt>
                <c:pt idx="31">
                  <c:v>71</c:v>
                </c:pt>
                <c:pt idx="32">
                  <c:v>71</c:v>
                </c:pt>
                <c:pt idx="33">
                  <c:v>71</c:v>
                </c:pt>
                <c:pt idx="34">
                  <c:v>71</c:v>
                </c:pt>
                <c:pt idx="35">
                  <c:v>71</c:v>
                </c:pt>
                <c:pt idx="36">
                  <c:v>71</c:v>
                </c:pt>
                <c:pt idx="37">
                  <c:v>71</c:v>
                </c:pt>
                <c:pt idx="38">
                  <c:v>71</c:v>
                </c:pt>
                <c:pt idx="39">
                  <c:v>71</c:v>
                </c:pt>
                <c:pt idx="40">
                  <c:v>71</c:v>
                </c:pt>
                <c:pt idx="41">
                  <c:v>71</c:v>
                </c:pt>
                <c:pt idx="42">
                  <c:v>71</c:v>
                </c:pt>
                <c:pt idx="43">
                  <c:v>71</c:v>
                </c:pt>
                <c:pt idx="44">
                  <c:v>71</c:v>
                </c:pt>
                <c:pt idx="45">
                  <c:v>71</c:v>
                </c:pt>
                <c:pt idx="46">
                  <c:v>71</c:v>
                </c:pt>
                <c:pt idx="47">
                  <c:v>71</c:v>
                </c:pt>
                <c:pt idx="48">
                  <c:v>71</c:v>
                </c:pt>
                <c:pt idx="49">
                  <c:v>71</c:v>
                </c:pt>
                <c:pt idx="50">
                  <c:v>71</c:v>
                </c:pt>
                <c:pt idx="51">
                  <c:v>71</c:v>
                </c:pt>
                <c:pt idx="52">
                  <c:v>71</c:v>
                </c:pt>
                <c:pt idx="53">
                  <c:v>71</c:v>
                </c:pt>
                <c:pt idx="54">
                  <c:v>71</c:v>
                </c:pt>
                <c:pt idx="55">
                  <c:v>71</c:v>
                </c:pt>
                <c:pt idx="56">
                  <c:v>71</c:v>
                </c:pt>
                <c:pt idx="57">
                  <c:v>71</c:v>
                </c:pt>
                <c:pt idx="58">
                  <c:v>71</c:v>
                </c:pt>
                <c:pt idx="59">
                  <c:v>71</c:v>
                </c:pt>
                <c:pt idx="60">
                  <c:v>71</c:v>
                </c:pt>
                <c:pt idx="61">
                  <c:v>71</c:v>
                </c:pt>
                <c:pt idx="62">
                  <c:v>71</c:v>
                </c:pt>
                <c:pt idx="63">
                  <c:v>71</c:v>
                </c:pt>
                <c:pt idx="64">
                  <c:v>71</c:v>
                </c:pt>
                <c:pt idx="65">
                  <c:v>71</c:v>
                </c:pt>
                <c:pt idx="66">
                  <c:v>71</c:v>
                </c:pt>
                <c:pt idx="67">
                  <c:v>71</c:v>
                </c:pt>
                <c:pt idx="68">
                  <c:v>71</c:v>
                </c:pt>
                <c:pt idx="69">
                  <c:v>71</c:v>
                </c:pt>
                <c:pt idx="70">
                  <c:v>71</c:v>
                </c:pt>
                <c:pt idx="71">
                  <c:v>71</c:v>
                </c:pt>
                <c:pt idx="72">
                  <c:v>71</c:v>
                </c:pt>
                <c:pt idx="73">
                  <c:v>71</c:v>
                </c:pt>
                <c:pt idx="74">
                  <c:v>71</c:v>
                </c:pt>
                <c:pt idx="75">
                  <c:v>71</c:v>
                </c:pt>
                <c:pt idx="76">
                  <c:v>71</c:v>
                </c:pt>
                <c:pt idx="77">
                  <c:v>71</c:v>
                </c:pt>
                <c:pt idx="78">
                  <c:v>71</c:v>
                </c:pt>
                <c:pt idx="79">
                  <c:v>71</c:v>
                </c:pt>
                <c:pt idx="80">
                  <c:v>71</c:v>
                </c:pt>
                <c:pt idx="81">
                  <c:v>71</c:v>
                </c:pt>
                <c:pt idx="82">
                  <c:v>71</c:v>
                </c:pt>
                <c:pt idx="83">
                  <c:v>71</c:v>
                </c:pt>
                <c:pt idx="84">
                  <c:v>71</c:v>
                </c:pt>
                <c:pt idx="85">
                  <c:v>71</c:v>
                </c:pt>
                <c:pt idx="86">
                  <c:v>71</c:v>
                </c:pt>
              </c:numCache>
            </c:numRef>
          </c:val>
          <c:smooth val="0"/>
          <c:extLst>
            <c:ext xmlns:c16="http://schemas.microsoft.com/office/drawing/2014/chart" uri="{C3380CC4-5D6E-409C-BE32-E72D297353CC}">
              <c16:uniqueId val="{00000004-7E28-4625-A981-34F5D3F0041D}"/>
            </c:ext>
          </c:extLst>
        </c:ser>
        <c:dLbls>
          <c:showLegendKey val="0"/>
          <c:showVal val="0"/>
          <c:showCatName val="0"/>
          <c:showSerName val="0"/>
          <c:showPercent val="0"/>
          <c:showBubbleSize val="0"/>
        </c:dLbls>
        <c:smooth val="0"/>
        <c:axId val="1422925072"/>
        <c:axId val="1722178544"/>
      </c:lineChart>
      <c:dateAx>
        <c:axId val="142292507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ES"/>
          </a:p>
        </c:txPr>
        <c:crossAx val="1722178544"/>
        <c:crosses val="autoZero"/>
        <c:auto val="1"/>
        <c:lblOffset val="100"/>
        <c:baseTimeUnit val="days"/>
      </c:dateAx>
      <c:valAx>
        <c:axId val="1722178544"/>
        <c:scaling>
          <c:orientation val="minMax"/>
          <c:max val="90"/>
          <c:min val="60"/>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ES"/>
          </a:p>
        </c:txPr>
        <c:crossAx val="1422925072"/>
        <c:crosses val="autoZero"/>
        <c:crossBetween val="between"/>
        <c:majorUnit val="2"/>
        <c:minorUnit val="0.5"/>
      </c:valAx>
      <c:spPr>
        <a:noFill/>
        <a:ln>
          <a:noFill/>
        </a:ln>
        <a:effectLst/>
      </c:spPr>
    </c:plotArea>
    <c:legend>
      <c:legendPos val="b"/>
      <c:layout>
        <c:manualLayout>
          <c:xMode val="edge"/>
          <c:yMode val="edge"/>
          <c:x val="0.30380730533683292"/>
          <c:y val="4.2244823563721161E-2"/>
          <c:w val="0.69619269466316713"/>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ES"/>
        </a:p>
      </c:txPr>
    </c:legend>
    <c:plotVisOnly val="1"/>
    <c:dispBlanksAs val="gap"/>
    <c:showDLblsOverMax val="0"/>
  </c:chart>
  <c:spPr>
    <a:noFill/>
    <a:ln w="9525" cap="flat" cmpd="sng" algn="ctr">
      <a:noFill/>
      <a:round/>
    </a:ln>
    <a:effectLst/>
  </c:spPr>
  <c:txPr>
    <a:bodyPr/>
    <a:lstStyle/>
    <a:p>
      <a:pPr>
        <a:defRPr>
          <a:solidFill>
            <a:schemeClr val="bg1"/>
          </a:solidFill>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s-ES" b="1"/>
              <a:t>Muscular</a:t>
            </a:r>
            <a:r>
              <a:rPr lang="es-ES" b="1" baseline="0"/>
              <a:t> Mass</a:t>
            </a:r>
          </a:p>
        </c:rich>
      </c:tx>
      <c:layout>
        <c:manualLayout>
          <c:xMode val="edge"/>
          <c:yMode val="edge"/>
          <c:x val="9.5764110935860222E-2"/>
          <c:y val="3.0137927389948739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s-ES"/>
        </a:p>
      </c:txPr>
    </c:title>
    <c:autoTitleDeleted val="0"/>
    <c:plotArea>
      <c:layout>
        <c:manualLayout>
          <c:layoutTarget val="inner"/>
          <c:xMode val="edge"/>
          <c:yMode val="edge"/>
          <c:x val="9.4571084864391947E-2"/>
          <c:y val="0.17171296296296296"/>
          <c:w val="0.87199321959755027"/>
          <c:h val="0.62144867308253138"/>
        </c:manualLayout>
      </c:layout>
      <c:lineChart>
        <c:grouping val="standard"/>
        <c:varyColors val="0"/>
        <c:ser>
          <c:idx val="0"/>
          <c:order val="0"/>
          <c:tx>
            <c:strRef>
              <c:f>'Registry'!$L$1</c:f>
              <c:strCache>
                <c:ptCount val="1"/>
                <c:pt idx="0">
                  <c:v>musc_mass</c:v>
                </c:pt>
              </c:strCache>
            </c:strRef>
          </c:tx>
          <c:spPr>
            <a:ln w="28575" cap="rnd">
              <a:gradFill>
                <a:gsLst>
                  <a:gs pos="20000">
                    <a:srgbClr val="FF3300"/>
                  </a:gs>
                  <a:gs pos="47000">
                    <a:schemeClr val="accent1">
                      <a:lumMod val="45000"/>
                      <a:lumOff val="55000"/>
                    </a:schemeClr>
                  </a:gs>
                  <a:gs pos="82000">
                    <a:srgbClr val="00B050"/>
                  </a:gs>
                  <a:gs pos="100000">
                    <a:srgbClr val="FF3300"/>
                  </a:gs>
                </a:gsLst>
                <a:lin ang="5400000" scaled="1"/>
              </a:gradFill>
              <a:round/>
            </a:ln>
            <a:effectLst/>
          </c:spPr>
          <c:marker>
            <c:symbol val="none"/>
          </c:marker>
          <c:trendline>
            <c:spPr>
              <a:ln w="19050" cap="rnd">
                <a:solidFill>
                  <a:schemeClr val="accent3">
                    <a:lumMod val="60000"/>
                    <a:lumOff val="40000"/>
                  </a:schemeClr>
                </a:solidFill>
                <a:prstDash val="sysDot"/>
              </a:ln>
              <a:effectLst/>
            </c:spPr>
            <c:trendlineType val="linear"/>
            <c:dispRSqr val="0"/>
            <c:dispEq val="0"/>
          </c:trendline>
          <c:cat>
            <c:numRef>
              <c:f>'Registry'!$A$2:$A$88</c:f>
              <c:numCache>
                <c:formatCode>m/d/yyyy</c:formatCode>
                <c:ptCount val="87"/>
                <c:pt idx="0">
                  <c:v>45241</c:v>
                </c:pt>
                <c:pt idx="1">
                  <c:v>45241</c:v>
                </c:pt>
                <c:pt idx="2">
                  <c:v>45241</c:v>
                </c:pt>
                <c:pt idx="3">
                  <c:v>45241</c:v>
                </c:pt>
                <c:pt idx="4">
                  <c:v>45241</c:v>
                </c:pt>
                <c:pt idx="5">
                  <c:v>45241</c:v>
                </c:pt>
                <c:pt idx="6">
                  <c:v>45241</c:v>
                </c:pt>
                <c:pt idx="7">
                  <c:v>45241</c:v>
                </c:pt>
                <c:pt idx="8">
                  <c:v>45241</c:v>
                </c:pt>
                <c:pt idx="9">
                  <c:v>45241</c:v>
                </c:pt>
                <c:pt idx="10">
                  <c:v>45241</c:v>
                </c:pt>
                <c:pt idx="11">
                  <c:v>45241</c:v>
                </c:pt>
                <c:pt idx="12">
                  <c:v>45241</c:v>
                </c:pt>
                <c:pt idx="13">
                  <c:v>45242</c:v>
                </c:pt>
                <c:pt idx="14">
                  <c:v>45242</c:v>
                </c:pt>
                <c:pt idx="15">
                  <c:v>45242</c:v>
                </c:pt>
                <c:pt idx="16">
                  <c:v>45242</c:v>
                </c:pt>
                <c:pt idx="17">
                  <c:v>45242</c:v>
                </c:pt>
                <c:pt idx="18">
                  <c:v>45242</c:v>
                </c:pt>
                <c:pt idx="19">
                  <c:v>45242</c:v>
                </c:pt>
                <c:pt idx="20">
                  <c:v>45242</c:v>
                </c:pt>
                <c:pt idx="21">
                  <c:v>45242</c:v>
                </c:pt>
                <c:pt idx="22">
                  <c:v>45242</c:v>
                </c:pt>
                <c:pt idx="23">
                  <c:v>45242</c:v>
                </c:pt>
                <c:pt idx="24">
                  <c:v>45242</c:v>
                </c:pt>
                <c:pt idx="25">
                  <c:v>45242</c:v>
                </c:pt>
                <c:pt idx="26">
                  <c:v>45243</c:v>
                </c:pt>
                <c:pt idx="27">
                  <c:v>45243</c:v>
                </c:pt>
                <c:pt idx="28">
                  <c:v>45243</c:v>
                </c:pt>
                <c:pt idx="29">
                  <c:v>45243</c:v>
                </c:pt>
                <c:pt idx="30">
                  <c:v>45243</c:v>
                </c:pt>
                <c:pt idx="31">
                  <c:v>45243</c:v>
                </c:pt>
                <c:pt idx="32">
                  <c:v>45243</c:v>
                </c:pt>
                <c:pt idx="33">
                  <c:v>45243</c:v>
                </c:pt>
                <c:pt idx="34">
                  <c:v>45243</c:v>
                </c:pt>
                <c:pt idx="35">
                  <c:v>45243</c:v>
                </c:pt>
                <c:pt idx="36">
                  <c:v>45244</c:v>
                </c:pt>
                <c:pt idx="37">
                  <c:v>45244</c:v>
                </c:pt>
                <c:pt idx="38">
                  <c:v>45244</c:v>
                </c:pt>
                <c:pt idx="39">
                  <c:v>45244</c:v>
                </c:pt>
                <c:pt idx="40">
                  <c:v>45244</c:v>
                </c:pt>
                <c:pt idx="41">
                  <c:v>45246</c:v>
                </c:pt>
                <c:pt idx="42">
                  <c:v>45246</c:v>
                </c:pt>
                <c:pt idx="43">
                  <c:v>45246</c:v>
                </c:pt>
                <c:pt idx="44">
                  <c:v>45246</c:v>
                </c:pt>
                <c:pt idx="45">
                  <c:v>45246</c:v>
                </c:pt>
                <c:pt idx="46">
                  <c:v>45246</c:v>
                </c:pt>
                <c:pt idx="47">
                  <c:v>45246</c:v>
                </c:pt>
                <c:pt idx="48">
                  <c:v>45246</c:v>
                </c:pt>
                <c:pt idx="49">
                  <c:v>45246</c:v>
                </c:pt>
                <c:pt idx="50">
                  <c:v>45246</c:v>
                </c:pt>
                <c:pt idx="51">
                  <c:v>45246</c:v>
                </c:pt>
                <c:pt idx="52">
                  <c:v>45246</c:v>
                </c:pt>
                <c:pt idx="53">
                  <c:v>45247</c:v>
                </c:pt>
                <c:pt idx="54">
                  <c:v>45247</c:v>
                </c:pt>
                <c:pt idx="55">
                  <c:v>45247</c:v>
                </c:pt>
                <c:pt idx="56">
                  <c:v>45247</c:v>
                </c:pt>
                <c:pt idx="57">
                  <c:v>45247</c:v>
                </c:pt>
                <c:pt idx="58">
                  <c:v>45247</c:v>
                </c:pt>
                <c:pt idx="59">
                  <c:v>45247</c:v>
                </c:pt>
                <c:pt idx="60">
                  <c:v>45247</c:v>
                </c:pt>
                <c:pt idx="61">
                  <c:v>45247</c:v>
                </c:pt>
                <c:pt idx="62">
                  <c:v>45247</c:v>
                </c:pt>
                <c:pt idx="63">
                  <c:v>45247</c:v>
                </c:pt>
                <c:pt idx="64">
                  <c:v>45247</c:v>
                </c:pt>
                <c:pt idx="65">
                  <c:v>45247</c:v>
                </c:pt>
                <c:pt idx="66">
                  <c:v>45247</c:v>
                </c:pt>
                <c:pt idx="67">
                  <c:v>45247</c:v>
                </c:pt>
                <c:pt idx="68">
                  <c:v>45247</c:v>
                </c:pt>
                <c:pt idx="69">
                  <c:v>45248</c:v>
                </c:pt>
                <c:pt idx="70">
                  <c:v>45248</c:v>
                </c:pt>
                <c:pt idx="71">
                  <c:v>45248</c:v>
                </c:pt>
                <c:pt idx="72">
                  <c:v>45248</c:v>
                </c:pt>
                <c:pt idx="73">
                  <c:v>45248</c:v>
                </c:pt>
                <c:pt idx="74">
                  <c:v>45248</c:v>
                </c:pt>
                <c:pt idx="75">
                  <c:v>45248</c:v>
                </c:pt>
                <c:pt idx="76">
                  <c:v>45248</c:v>
                </c:pt>
                <c:pt idx="77">
                  <c:v>45249</c:v>
                </c:pt>
                <c:pt idx="78">
                  <c:v>45249</c:v>
                </c:pt>
                <c:pt idx="79">
                  <c:v>45249</c:v>
                </c:pt>
                <c:pt idx="80">
                  <c:v>45249</c:v>
                </c:pt>
                <c:pt idx="81">
                  <c:v>45249</c:v>
                </c:pt>
                <c:pt idx="82">
                  <c:v>45249</c:v>
                </c:pt>
                <c:pt idx="83">
                  <c:v>45249</c:v>
                </c:pt>
                <c:pt idx="84">
                  <c:v>45249</c:v>
                </c:pt>
                <c:pt idx="85">
                  <c:v>45249</c:v>
                </c:pt>
                <c:pt idx="86">
                  <c:v>45249</c:v>
                </c:pt>
              </c:numCache>
            </c:numRef>
          </c:cat>
          <c:val>
            <c:numRef>
              <c:f>'Registry'!$L$2:$L$88</c:f>
              <c:numCache>
                <c:formatCode>General</c:formatCode>
                <c:ptCount val="87"/>
                <c:pt idx="0">
                  <c:v>51</c:v>
                </c:pt>
                <c:pt idx="1">
                  <c:v>51</c:v>
                </c:pt>
                <c:pt idx="2">
                  <c:v>51</c:v>
                </c:pt>
                <c:pt idx="3">
                  <c:v>51</c:v>
                </c:pt>
                <c:pt idx="4">
                  <c:v>51</c:v>
                </c:pt>
                <c:pt idx="5">
                  <c:v>51</c:v>
                </c:pt>
                <c:pt idx="6">
                  <c:v>51</c:v>
                </c:pt>
                <c:pt idx="7">
                  <c:v>51</c:v>
                </c:pt>
                <c:pt idx="8">
                  <c:v>51</c:v>
                </c:pt>
                <c:pt idx="9">
                  <c:v>51</c:v>
                </c:pt>
                <c:pt idx="10">
                  <c:v>51</c:v>
                </c:pt>
                <c:pt idx="11">
                  <c:v>51</c:v>
                </c:pt>
                <c:pt idx="12">
                  <c:v>51</c:v>
                </c:pt>
                <c:pt idx="13">
                  <c:v>51</c:v>
                </c:pt>
                <c:pt idx="14">
                  <c:v>51</c:v>
                </c:pt>
                <c:pt idx="15">
                  <c:v>51</c:v>
                </c:pt>
                <c:pt idx="16">
                  <c:v>51</c:v>
                </c:pt>
                <c:pt idx="17">
                  <c:v>51</c:v>
                </c:pt>
                <c:pt idx="18">
                  <c:v>51</c:v>
                </c:pt>
                <c:pt idx="19">
                  <c:v>51</c:v>
                </c:pt>
                <c:pt idx="20">
                  <c:v>51</c:v>
                </c:pt>
                <c:pt idx="21">
                  <c:v>51</c:v>
                </c:pt>
                <c:pt idx="22">
                  <c:v>51</c:v>
                </c:pt>
                <c:pt idx="23">
                  <c:v>51</c:v>
                </c:pt>
                <c:pt idx="24">
                  <c:v>51</c:v>
                </c:pt>
                <c:pt idx="25">
                  <c:v>51</c:v>
                </c:pt>
                <c:pt idx="26">
                  <c:v>51</c:v>
                </c:pt>
                <c:pt idx="27">
                  <c:v>51</c:v>
                </c:pt>
                <c:pt idx="28">
                  <c:v>51</c:v>
                </c:pt>
                <c:pt idx="29">
                  <c:v>51</c:v>
                </c:pt>
                <c:pt idx="30">
                  <c:v>51</c:v>
                </c:pt>
                <c:pt idx="31">
                  <c:v>51</c:v>
                </c:pt>
                <c:pt idx="32">
                  <c:v>51</c:v>
                </c:pt>
                <c:pt idx="33">
                  <c:v>51</c:v>
                </c:pt>
                <c:pt idx="34">
                  <c:v>51</c:v>
                </c:pt>
                <c:pt idx="35">
                  <c:v>51</c:v>
                </c:pt>
                <c:pt idx="36">
                  <c:v>51</c:v>
                </c:pt>
                <c:pt idx="37">
                  <c:v>51</c:v>
                </c:pt>
                <c:pt idx="38">
                  <c:v>51</c:v>
                </c:pt>
                <c:pt idx="39">
                  <c:v>51</c:v>
                </c:pt>
                <c:pt idx="40">
                  <c:v>51</c:v>
                </c:pt>
                <c:pt idx="41">
                  <c:v>51</c:v>
                </c:pt>
                <c:pt idx="42">
                  <c:v>51</c:v>
                </c:pt>
                <c:pt idx="43">
                  <c:v>51</c:v>
                </c:pt>
                <c:pt idx="44">
                  <c:v>51</c:v>
                </c:pt>
                <c:pt idx="45">
                  <c:v>51</c:v>
                </c:pt>
                <c:pt idx="46">
                  <c:v>51</c:v>
                </c:pt>
                <c:pt idx="47">
                  <c:v>51</c:v>
                </c:pt>
                <c:pt idx="48">
                  <c:v>51</c:v>
                </c:pt>
                <c:pt idx="49">
                  <c:v>51</c:v>
                </c:pt>
                <c:pt idx="50">
                  <c:v>51</c:v>
                </c:pt>
                <c:pt idx="51">
                  <c:v>51</c:v>
                </c:pt>
                <c:pt idx="52">
                  <c:v>51</c:v>
                </c:pt>
                <c:pt idx="53">
                  <c:v>51</c:v>
                </c:pt>
                <c:pt idx="54">
                  <c:v>51</c:v>
                </c:pt>
                <c:pt idx="55">
                  <c:v>51</c:v>
                </c:pt>
                <c:pt idx="56">
                  <c:v>51</c:v>
                </c:pt>
                <c:pt idx="57">
                  <c:v>51</c:v>
                </c:pt>
                <c:pt idx="58">
                  <c:v>51</c:v>
                </c:pt>
                <c:pt idx="59">
                  <c:v>51</c:v>
                </c:pt>
                <c:pt idx="60">
                  <c:v>51</c:v>
                </c:pt>
                <c:pt idx="61">
                  <c:v>51</c:v>
                </c:pt>
                <c:pt idx="62">
                  <c:v>51</c:v>
                </c:pt>
                <c:pt idx="63">
                  <c:v>51</c:v>
                </c:pt>
                <c:pt idx="64">
                  <c:v>51</c:v>
                </c:pt>
                <c:pt idx="65">
                  <c:v>51</c:v>
                </c:pt>
                <c:pt idx="66">
                  <c:v>51</c:v>
                </c:pt>
                <c:pt idx="67">
                  <c:v>51</c:v>
                </c:pt>
                <c:pt idx="68">
                  <c:v>51</c:v>
                </c:pt>
                <c:pt idx="69">
                  <c:v>51</c:v>
                </c:pt>
                <c:pt idx="70">
                  <c:v>51</c:v>
                </c:pt>
                <c:pt idx="71">
                  <c:v>51</c:v>
                </c:pt>
                <c:pt idx="72">
                  <c:v>51</c:v>
                </c:pt>
                <c:pt idx="73">
                  <c:v>51</c:v>
                </c:pt>
                <c:pt idx="74">
                  <c:v>51</c:v>
                </c:pt>
                <c:pt idx="75">
                  <c:v>51</c:v>
                </c:pt>
                <c:pt idx="76">
                  <c:v>51</c:v>
                </c:pt>
                <c:pt idx="77">
                  <c:v>51</c:v>
                </c:pt>
                <c:pt idx="78">
                  <c:v>51</c:v>
                </c:pt>
                <c:pt idx="79">
                  <c:v>51</c:v>
                </c:pt>
                <c:pt idx="80">
                  <c:v>51</c:v>
                </c:pt>
                <c:pt idx="81">
                  <c:v>51</c:v>
                </c:pt>
                <c:pt idx="82">
                  <c:v>51</c:v>
                </c:pt>
                <c:pt idx="83">
                  <c:v>51</c:v>
                </c:pt>
                <c:pt idx="84">
                  <c:v>51</c:v>
                </c:pt>
                <c:pt idx="85">
                  <c:v>51</c:v>
                </c:pt>
                <c:pt idx="86">
                  <c:v>51</c:v>
                </c:pt>
              </c:numCache>
            </c:numRef>
          </c:val>
          <c:smooth val="0"/>
          <c:extLst>
            <c:ext xmlns:c16="http://schemas.microsoft.com/office/drawing/2014/chart" uri="{C3380CC4-5D6E-409C-BE32-E72D297353CC}">
              <c16:uniqueId val="{00000000-99AF-4E53-B483-1D29278EE27B}"/>
            </c:ext>
          </c:extLst>
        </c:ser>
        <c:ser>
          <c:idx val="1"/>
          <c:order val="1"/>
          <c:tx>
            <c:strRef>
              <c:f>'Registry'!$M$1</c:f>
              <c:strCache>
                <c:ptCount val="1"/>
                <c:pt idx="0">
                  <c:v>min_mm</c:v>
                </c:pt>
              </c:strCache>
            </c:strRef>
          </c:tx>
          <c:spPr>
            <a:ln w="12700" cap="rnd">
              <a:solidFill>
                <a:srgbClr val="FF3300"/>
              </a:solidFill>
              <a:round/>
            </a:ln>
            <a:effectLst/>
          </c:spPr>
          <c:marker>
            <c:symbol val="none"/>
          </c:marker>
          <c:cat>
            <c:numRef>
              <c:f>'Registry'!$A$2:$A$88</c:f>
              <c:numCache>
                <c:formatCode>m/d/yyyy</c:formatCode>
                <c:ptCount val="87"/>
                <c:pt idx="0">
                  <c:v>45241</c:v>
                </c:pt>
                <c:pt idx="1">
                  <c:v>45241</c:v>
                </c:pt>
                <c:pt idx="2">
                  <c:v>45241</c:v>
                </c:pt>
                <c:pt idx="3">
                  <c:v>45241</c:v>
                </c:pt>
                <c:pt idx="4">
                  <c:v>45241</c:v>
                </c:pt>
                <c:pt idx="5">
                  <c:v>45241</c:v>
                </c:pt>
                <c:pt idx="6">
                  <c:v>45241</c:v>
                </c:pt>
                <c:pt idx="7">
                  <c:v>45241</c:v>
                </c:pt>
                <c:pt idx="8">
                  <c:v>45241</c:v>
                </c:pt>
                <c:pt idx="9">
                  <c:v>45241</c:v>
                </c:pt>
                <c:pt idx="10">
                  <c:v>45241</c:v>
                </c:pt>
                <c:pt idx="11">
                  <c:v>45241</c:v>
                </c:pt>
                <c:pt idx="12">
                  <c:v>45241</c:v>
                </c:pt>
                <c:pt idx="13">
                  <c:v>45242</c:v>
                </c:pt>
                <c:pt idx="14">
                  <c:v>45242</c:v>
                </c:pt>
                <c:pt idx="15">
                  <c:v>45242</c:v>
                </c:pt>
                <c:pt idx="16">
                  <c:v>45242</c:v>
                </c:pt>
                <c:pt idx="17">
                  <c:v>45242</c:v>
                </c:pt>
                <c:pt idx="18">
                  <c:v>45242</c:v>
                </c:pt>
                <c:pt idx="19">
                  <c:v>45242</c:v>
                </c:pt>
                <c:pt idx="20">
                  <c:v>45242</c:v>
                </c:pt>
                <c:pt idx="21">
                  <c:v>45242</c:v>
                </c:pt>
                <c:pt idx="22">
                  <c:v>45242</c:v>
                </c:pt>
                <c:pt idx="23">
                  <c:v>45242</c:v>
                </c:pt>
                <c:pt idx="24">
                  <c:v>45242</c:v>
                </c:pt>
                <c:pt idx="25">
                  <c:v>45242</c:v>
                </c:pt>
                <c:pt idx="26">
                  <c:v>45243</c:v>
                </c:pt>
                <c:pt idx="27">
                  <c:v>45243</c:v>
                </c:pt>
                <c:pt idx="28">
                  <c:v>45243</c:v>
                </c:pt>
                <c:pt idx="29">
                  <c:v>45243</c:v>
                </c:pt>
                <c:pt idx="30">
                  <c:v>45243</c:v>
                </c:pt>
                <c:pt idx="31">
                  <c:v>45243</c:v>
                </c:pt>
                <c:pt idx="32">
                  <c:v>45243</c:v>
                </c:pt>
                <c:pt idx="33">
                  <c:v>45243</c:v>
                </c:pt>
                <c:pt idx="34">
                  <c:v>45243</c:v>
                </c:pt>
                <c:pt idx="35">
                  <c:v>45243</c:v>
                </c:pt>
                <c:pt idx="36">
                  <c:v>45244</c:v>
                </c:pt>
                <c:pt idx="37">
                  <c:v>45244</c:v>
                </c:pt>
                <c:pt idx="38">
                  <c:v>45244</c:v>
                </c:pt>
                <c:pt idx="39">
                  <c:v>45244</c:v>
                </c:pt>
                <c:pt idx="40">
                  <c:v>45244</c:v>
                </c:pt>
                <c:pt idx="41">
                  <c:v>45246</c:v>
                </c:pt>
                <c:pt idx="42">
                  <c:v>45246</c:v>
                </c:pt>
                <c:pt idx="43">
                  <c:v>45246</c:v>
                </c:pt>
                <c:pt idx="44">
                  <c:v>45246</c:v>
                </c:pt>
                <c:pt idx="45">
                  <c:v>45246</c:v>
                </c:pt>
                <c:pt idx="46">
                  <c:v>45246</c:v>
                </c:pt>
                <c:pt idx="47">
                  <c:v>45246</c:v>
                </c:pt>
                <c:pt idx="48">
                  <c:v>45246</c:v>
                </c:pt>
                <c:pt idx="49">
                  <c:v>45246</c:v>
                </c:pt>
                <c:pt idx="50">
                  <c:v>45246</c:v>
                </c:pt>
                <c:pt idx="51">
                  <c:v>45246</c:v>
                </c:pt>
                <c:pt idx="52">
                  <c:v>45246</c:v>
                </c:pt>
                <c:pt idx="53">
                  <c:v>45247</c:v>
                </c:pt>
                <c:pt idx="54">
                  <c:v>45247</c:v>
                </c:pt>
                <c:pt idx="55">
                  <c:v>45247</c:v>
                </c:pt>
                <c:pt idx="56">
                  <c:v>45247</c:v>
                </c:pt>
                <c:pt idx="57">
                  <c:v>45247</c:v>
                </c:pt>
                <c:pt idx="58">
                  <c:v>45247</c:v>
                </c:pt>
                <c:pt idx="59">
                  <c:v>45247</c:v>
                </c:pt>
                <c:pt idx="60">
                  <c:v>45247</c:v>
                </c:pt>
                <c:pt idx="61">
                  <c:v>45247</c:v>
                </c:pt>
                <c:pt idx="62">
                  <c:v>45247</c:v>
                </c:pt>
                <c:pt idx="63">
                  <c:v>45247</c:v>
                </c:pt>
                <c:pt idx="64">
                  <c:v>45247</c:v>
                </c:pt>
                <c:pt idx="65">
                  <c:v>45247</c:v>
                </c:pt>
                <c:pt idx="66">
                  <c:v>45247</c:v>
                </c:pt>
                <c:pt idx="67">
                  <c:v>45247</c:v>
                </c:pt>
                <c:pt idx="68">
                  <c:v>45247</c:v>
                </c:pt>
                <c:pt idx="69">
                  <c:v>45248</c:v>
                </c:pt>
                <c:pt idx="70">
                  <c:v>45248</c:v>
                </c:pt>
                <c:pt idx="71">
                  <c:v>45248</c:v>
                </c:pt>
                <c:pt idx="72">
                  <c:v>45248</c:v>
                </c:pt>
                <c:pt idx="73">
                  <c:v>45248</c:v>
                </c:pt>
                <c:pt idx="74">
                  <c:v>45248</c:v>
                </c:pt>
                <c:pt idx="75">
                  <c:v>45248</c:v>
                </c:pt>
                <c:pt idx="76">
                  <c:v>45248</c:v>
                </c:pt>
                <c:pt idx="77">
                  <c:v>45249</c:v>
                </c:pt>
                <c:pt idx="78">
                  <c:v>45249</c:v>
                </c:pt>
                <c:pt idx="79">
                  <c:v>45249</c:v>
                </c:pt>
                <c:pt idx="80">
                  <c:v>45249</c:v>
                </c:pt>
                <c:pt idx="81">
                  <c:v>45249</c:v>
                </c:pt>
                <c:pt idx="82">
                  <c:v>45249</c:v>
                </c:pt>
                <c:pt idx="83">
                  <c:v>45249</c:v>
                </c:pt>
                <c:pt idx="84">
                  <c:v>45249</c:v>
                </c:pt>
                <c:pt idx="85">
                  <c:v>45249</c:v>
                </c:pt>
                <c:pt idx="86">
                  <c:v>45249</c:v>
                </c:pt>
              </c:numCache>
            </c:numRef>
          </c:cat>
          <c:val>
            <c:numRef>
              <c:f>'Registry'!$M$2:$M$88</c:f>
              <c:numCache>
                <c:formatCode>General</c:formatCode>
                <c:ptCount val="87"/>
                <c:pt idx="0">
                  <c:v>58.481999999999992</c:v>
                </c:pt>
                <c:pt idx="1">
                  <c:v>58.481999999999992</c:v>
                </c:pt>
                <c:pt idx="2">
                  <c:v>58.481999999999992</c:v>
                </c:pt>
                <c:pt idx="3">
                  <c:v>58.481999999999992</c:v>
                </c:pt>
                <c:pt idx="4">
                  <c:v>58.481999999999992</c:v>
                </c:pt>
                <c:pt idx="5">
                  <c:v>58.481999999999992</c:v>
                </c:pt>
                <c:pt idx="6">
                  <c:v>58.481999999999992</c:v>
                </c:pt>
                <c:pt idx="7">
                  <c:v>58.481999999999992</c:v>
                </c:pt>
                <c:pt idx="8">
                  <c:v>58.481999999999992</c:v>
                </c:pt>
                <c:pt idx="9">
                  <c:v>58.481999999999992</c:v>
                </c:pt>
                <c:pt idx="10">
                  <c:v>58.481999999999992</c:v>
                </c:pt>
                <c:pt idx="11">
                  <c:v>58.481999999999992</c:v>
                </c:pt>
                <c:pt idx="12">
                  <c:v>58.481999999999992</c:v>
                </c:pt>
                <c:pt idx="13">
                  <c:v>58.481999999999992</c:v>
                </c:pt>
                <c:pt idx="14">
                  <c:v>58.481999999999992</c:v>
                </c:pt>
                <c:pt idx="15">
                  <c:v>58.481999999999992</c:v>
                </c:pt>
                <c:pt idx="16">
                  <c:v>58.481999999999992</c:v>
                </c:pt>
                <c:pt idx="17">
                  <c:v>58.481999999999992</c:v>
                </c:pt>
                <c:pt idx="18">
                  <c:v>58.481999999999992</c:v>
                </c:pt>
                <c:pt idx="19">
                  <c:v>58.481999999999992</c:v>
                </c:pt>
                <c:pt idx="20">
                  <c:v>58.481999999999992</c:v>
                </c:pt>
                <c:pt idx="21">
                  <c:v>58.481999999999992</c:v>
                </c:pt>
                <c:pt idx="22">
                  <c:v>58.481999999999992</c:v>
                </c:pt>
                <c:pt idx="23">
                  <c:v>58.481999999999992</c:v>
                </c:pt>
                <c:pt idx="24">
                  <c:v>58.481999999999992</c:v>
                </c:pt>
                <c:pt idx="25">
                  <c:v>58.481999999999992</c:v>
                </c:pt>
                <c:pt idx="26">
                  <c:v>58.481999999999992</c:v>
                </c:pt>
                <c:pt idx="27">
                  <c:v>58.481999999999992</c:v>
                </c:pt>
                <c:pt idx="28">
                  <c:v>58.481999999999992</c:v>
                </c:pt>
                <c:pt idx="29">
                  <c:v>58.481999999999992</c:v>
                </c:pt>
                <c:pt idx="30">
                  <c:v>58.481999999999992</c:v>
                </c:pt>
                <c:pt idx="31">
                  <c:v>58.481999999999992</c:v>
                </c:pt>
                <c:pt idx="32">
                  <c:v>58.481999999999992</c:v>
                </c:pt>
                <c:pt idx="33">
                  <c:v>58.481999999999992</c:v>
                </c:pt>
                <c:pt idx="34">
                  <c:v>58.481999999999992</c:v>
                </c:pt>
                <c:pt idx="35">
                  <c:v>58.481999999999992</c:v>
                </c:pt>
                <c:pt idx="36">
                  <c:v>58.481999999999992</c:v>
                </c:pt>
                <c:pt idx="37">
                  <c:v>58.481999999999992</c:v>
                </c:pt>
                <c:pt idx="38">
                  <c:v>58.481999999999992</c:v>
                </c:pt>
                <c:pt idx="39">
                  <c:v>58.481999999999992</c:v>
                </c:pt>
                <c:pt idx="40">
                  <c:v>58.481999999999992</c:v>
                </c:pt>
                <c:pt idx="41">
                  <c:v>58.481999999999992</c:v>
                </c:pt>
                <c:pt idx="42">
                  <c:v>58.481999999999992</c:v>
                </c:pt>
                <c:pt idx="43">
                  <c:v>58.481999999999992</c:v>
                </c:pt>
                <c:pt idx="44">
                  <c:v>58.481999999999992</c:v>
                </c:pt>
                <c:pt idx="45">
                  <c:v>58.481999999999992</c:v>
                </c:pt>
                <c:pt idx="46">
                  <c:v>58.481999999999992</c:v>
                </c:pt>
                <c:pt idx="47">
                  <c:v>58.481999999999992</c:v>
                </c:pt>
                <c:pt idx="48">
                  <c:v>58.481999999999992</c:v>
                </c:pt>
                <c:pt idx="49">
                  <c:v>58.481999999999992</c:v>
                </c:pt>
                <c:pt idx="50">
                  <c:v>58.481999999999992</c:v>
                </c:pt>
                <c:pt idx="51">
                  <c:v>58.481999999999992</c:v>
                </c:pt>
                <c:pt idx="52">
                  <c:v>58.481999999999992</c:v>
                </c:pt>
                <c:pt idx="53">
                  <c:v>58.481999999999992</c:v>
                </c:pt>
                <c:pt idx="54">
                  <c:v>58.481999999999992</c:v>
                </c:pt>
                <c:pt idx="55">
                  <c:v>58.481999999999992</c:v>
                </c:pt>
                <c:pt idx="56">
                  <c:v>58.481999999999992</c:v>
                </c:pt>
                <c:pt idx="57">
                  <c:v>58.481999999999992</c:v>
                </c:pt>
                <c:pt idx="58">
                  <c:v>58.481999999999992</c:v>
                </c:pt>
                <c:pt idx="59">
                  <c:v>58.481999999999992</c:v>
                </c:pt>
                <c:pt idx="60">
                  <c:v>58.481999999999992</c:v>
                </c:pt>
                <c:pt idx="61">
                  <c:v>58.481999999999992</c:v>
                </c:pt>
                <c:pt idx="62">
                  <c:v>58.481999999999992</c:v>
                </c:pt>
                <c:pt idx="63">
                  <c:v>58.481999999999992</c:v>
                </c:pt>
                <c:pt idx="64">
                  <c:v>58.481999999999992</c:v>
                </c:pt>
                <c:pt idx="65">
                  <c:v>58.481999999999992</c:v>
                </c:pt>
                <c:pt idx="66">
                  <c:v>58.481999999999992</c:v>
                </c:pt>
                <c:pt idx="67">
                  <c:v>58.481999999999992</c:v>
                </c:pt>
                <c:pt idx="68">
                  <c:v>58.481999999999992</c:v>
                </c:pt>
                <c:pt idx="69">
                  <c:v>58.481999999999992</c:v>
                </c:pt>
                <c:pt idx="70">
                  <c:v>58.481999999999992</c:v>
                </c:pt>
                <c:pt idx="71">
                  <c:v>58.481999999999992</c:v>
                </c:pt>
                <c:pt idx="72">
                  <c:v>58.481999999999992</c:v>
                </c:pt>
                <c:pt idx="73">
                  <c:v>58.481999999999992</c:v>
                </c:pt>
                <c:pt idx="74">
                  <c:v>58.481999999999992</c:v>
                </c:pt>
                <c:pt idx="75">
                  <c:v>58.481999999999992</c:v>
                </c:pt>
                <c:pt idx="76">
                  <c:v>58.481999999999992</c:v>
                </c:pt>
                <c:pt idx="77">
                  <c:v>58.481999999999992</c:v>
                </c:pt>
                <c:pt idx="78">
                  <c:v>58.481999999999992</c:v>
                </c:pt>
                <c:pt idx="79">
                  <c:v>58.481999999999992</c:v>
                </c:pt>
                <c:pt idx="80">
                  <c:v>58.481999999999992</c:v>
                </c:pt>
                <c:pt idx="81">
                  <c:v>58.481999999999992</c:v>
                </c:pt>
                <c:pt idx="82">
                  <c:v>58.481999999999992</c:v>
                </c:pt>
                <c:pt idx="83">
                  <c:v>58.481999999999992</c:v>
                </c:pt>
                <c:pt idx="84">
                  <c:v>58.481999999999992</c:v>
                </c:pt>
                <c:pt idx="85">
                  <c:v>58.481999999999992</c:v>
                </c:pt>
                <c:pt idx="86">
                  <c:v>58.481999999999992</c:v>
                </c:pt>
              </c:numCache>
            </c:numRef>
          </c:val>
          <c:smooth val="0"/>
          <c:extLst>
            <c:ext xmlns:c16="http://schemas.microsoft.com/office/drawing/2014/chart" uri="{C3380CC4-5D6E-409C-BE32-E72D297353CC}">
              <c16:uniqueId val="{00000001-99AF-4E53-B483-1D29278EE27B}"/>
            </c:ext>
          </c:extLst>
        </c:ser>
        <c:ser>
          <c:idx val="2"/>
          <c:order val="2"/>
          <c:tx>
            <c:strRef>
              <c:f>'Registry'!$N$1</c:f>
              <c:strCache>
                <c:ptCount val="1"/>
                <c:pt idx="0">
                  <c:v>max_mm</c:v>
                </c:pt>
              </c:strCache>
            </c:strRef>
          </c:tx>
          <c:spPr>
            <a:ln w="12700" cap="rnd">
              <a:solidFill>
                <a:srgbClr val="FF0000"/>
              </a:solidFill>
              <a:round/>
            </a:ln>
            <a:effectLst/>
          </c:spPr>
          <c:marker>
            <c:symbol val="none"/>
          </c:marker>
          <c:cat>
            <c:numRef>
              <c:f>'Registry'!$A$2:$A$88</c:f>
              <c:numCache>
                <c:formatCode>m/d/yyyy</c:formatCode>
                <c:ptCount val="87"/>
                <c:pt idx="0">
                  <c:v>45241</c:v>
                </c:pt>
                <c:pt idx="1">
                  <c:v>45241</c:v>
                </c:pt>
                <c:pt idx="2">
                  <c:v>45241</c:v>
                </c:pt>
                <c:pt idx="3">
                  <c:v>45241</c:v>
                </c:pt>
                <c:pt idx="4">
                  <c:v>45241</c:v>
                </c:pt>
                <c:pt idx="5">
                  <c:v>45241</c:v>
                </c:pt>
                <c:pt idx="6">
                  <c:v>45241</c:v>
                </c:pt>
                <c:pt idx="7">
                  <c:v>45241</c:v>
                </c:pt>
                <c:pt idx="8">
                  <c:v>45241</c:v>
                </c:pt>
                <c:pt idx="9">
                  <c:v>45241</c:v>
                </c:pt>
                <c:pt idx="10">
                  <c:v>45241</c:v>
                </c:pt>
                <c:pt idx="11">
                  <c:v>45241</c:v>
                </c:pt>
                <c:pt idx="12">
                  <c:v>45241</c:v>
                </c:pt>
                <c:pt idx="13">
                  <c:v>45242</c:v>
                </c:pt>
                <c:pt idx="14">
                  <c:v>45242</c:v>
                </c:pt>
                <c:pt idx="15">
                  <c:v>45242</c:v>
                </c:pt>
                <c:pt idx="16">
                  <c:v>45242</c:v>
                </c:pt>
                <c:pt idx="17">
                  <c:v>45242</c:v>
                </c:pt>
                <c:pt idx="18">
                  <c:v>45242</c:v>
                </c:pt>
                <c:pt idx="19">
                  <c:v>45242</c:v>
                </c:pt>
                <c:pt idx="20">
                  <c:v>45242</c:v>
                </c:pt>
                <c:pt idx="21">
                  <c:v>45242</c:v>
                </c:pt>
                <c:pt idx="22">
                  <c:v>45242</c:v>
                </c:pt>
                <c:pt idx="23">
                  <c:v>45242</c:v>
                </c:pt>
                <c:pt idx="24">
                  <c:v>45242</c:v>
                </c:pt>
                <c:pt idx="25">
                  <c:v>45242</c:v>
                </c:pt>
                <c:pt idx="26">
                  <c:v>45243</c:v>
                </c:pt>
                <c:pt idx="27">
                  <c:v>45243</c:v>
                </c:pt>
                <c:pt idx="28">
                  <c:v>45243</c:v>
                </c:pt>
                <c:pt idx="29">
                  <c:v>45243</c:v>
                </c:pt>
                <c:pt idx="30">
                  <c:v>45243</c:v>
                </c:pt>
                <c:pt idx="31">
                  <c:v>45243</c:v>
                </c:pt>
                <c:pt idx="32">
                  <c:v>45243</c:v>
                </c:pt>
                <c:pt idx="33">
                  <c:v>45243</c:v>
                </c:pt>
                <c:pt idx="34">
                  <c:v>45243</c:v>
                </c:pt>
                <c:pt idx="35">
                  <c:v>45243</c:v>
                </c:pt>
                <c:pt idx="36">
                  <c:v>45244</c:v>
                </c:pt>
                <c:pt idx="37">
                  <c:v>45244</c:v>
                </c:pt>
                <c:pt idx="38">
                  <c:v>45244</c:v>
                </c:pt>
                <c:pt idx="39">
                  <c:v>45244</c:v>
                </c:pt>
                <c:pt idx="40">
                  <c:v>45244</c:v>
                </c:pt>
                <c:pt idx="41">
                  <c:v>45246</c:v>
                </c:pt>
                <c:pt idx="42">
                  <c:v>45246</c:v>
                </c:pt>
                <c:pt idx="43">
                  <c:v>45246</c:v>
                </c:pt>
                <c:pt idx="44">
                  <c:v>45246</c:v>
                </c:pt>
                <c:pt idx="45">
                  <c:v>45246</c:v>
                </c:pt>
                <c:pt idx="46">
                  <c:v>45246</c:v>
                </c:pt>
                <c:pt idx="47">
                  <c:v>45246</c:v>
                </c:pt>
                <c:pt idx="48">
                  <c:v>45246</c:v>
                </c:pt>
                <c:pt idx="49">
                  <c:v>45246</c:v>
                </c:pt>
                <c:pt idx="50">
                  <c:v>45246</c:v>
                </c:pt>
                <c:pt idx="51">
                  <c:v>45246</c:v>
                </c:pt>
                <c:pt idx="52">
                  <c:v>45246</c:v>
                </c:pt>
                <c:pt idx="53">
                  <c:v>45247</c:v>
                </c:pt>
                <c:pt idx="54">
                  <c:v>45247</c:v>
                </c:pt>
                <c:pt idx="55">
                  <c:v>45247</c:v>
                </c:pt>
                <c:pt idx="56">
                  <c:v>45247</c:v>
                </c:pt>
                <c:pt idx="57">
                  <c:v>45247</c:v>
                </c:pt>
                <c:pt idx="58">
                  <c:v>45247</c:v>
                </c:pt>
                <c:pt idx="59">
                  <c:v>45247</c:v>
                </c:pt>
                <c:pt idx="60">
                  <c:v>45247</c:v>
                </c:pt>
                <c:pt idx="61">
                  <c:v>45247</c:v>
                </c:pt>
                <c:pt idx="62">
                  <c:v>45247</c:v>
                </c:pt>
                <c:pt idx="63">
                  <c:v>45247</c:v>
                </c:pt>
                <c:pt idx="64">
                  <c:v>45247</c:v>
                </c:pt>
                <c:pt idx="65">
                  <c:v>45247</c:v>
                </c:pt>
                <c:pt idx="66">
                  <c:v>45247</c:v>
                </c:pt>
                <c:pt idx="67">
                  <c:v>45247</c:v>
                </c:pt>
                <c:pt idx="68">
                  <c:v>45247</c:v>
                </c:pt>
                <c:pt idx="69">
                  <c:v>45248</c:v>
                </c:pt>
                <c:pt idx="70">
                  <c:v>45248</c:v>
                </c:pt>
                <c:pt idx="71">
                  <c:v>45248</c:v>
                </c:pt>
                <c:pt idx="72">
                  <c:v>45248</c:v>
                </c:pt>
                <c:pt idx="73">
                  <c:v>45248</c:v>
                </c:pt>
                <c:pt idx="74">
                  <c:v>45248</c:v>
                </c:pt>
                <c:pt idx="75">
                  <c:v>45248</c:v>
                </c:pt>
                <c:pt idx="76">
                  <c:v>45248</c:v>
                </c:pt>
                <c:pt idx="77">
                  <c:v>45249</c:v>
                </c:pt>
                <c:pt idx="78">
                  <c:v>45249</c:v>
                </c:pt>
                <c:pt idx="79">
                  <c:v>45249</c:v>
                </c:pt>
                <c:pt idx="80">
                  <c:v>45249</c:v>
                </c:pt>
                <c:pt idx="81">
                  <c:v>45249</c:v>
                </c:pt>
                <c:pt idx="82">
                  <c:v>45249</c:v>
                </c:pt>
                <c:pt idx="83">
                  <c:v>45249</c:v>
                </c:pt>
                <c:pt idx="84">
                  <c:v>45249</c:v>
                </c:pt>
                <c:pt idx="85">
                  <c:v>45249</c:v>
                </c:pt>
                <c:pt idx="86">
                  <c:v>45249</c:v>
                </c:pt>
              </c:numCache>
            </c:numRef>
          </c:cat>
          <c:val>
            <c:numRef>
              <c:f>'Registry'!$N$2:$N$88</c:f>
              <c:numCache>
                <c:formatCode>General</c:formatCode>
                <c:ptCount val="87"/>
                <c:pt idx="0">
                  <c:v>73.102499999999992</c:v>
                </c:pt>
                <c:pt idx="1">
                  <c:v>73.102499999999992</c:v>
                </c:pt>
                <c:pt idx="2">
                  <c:v>73.102499999999992</c:v>
                </c:pt>
                <c:pt idx="3">
                  <c:v>73.102499999999992</c:v>
                </c:pt>
                <c:pt idx="4">
                  <c:v>73.102499999999992</c:v>
                </c:pt>
                <c:pt idx="5">
                  <c:v>73.102499999999992</c:v>
                </c:pt>
                <c:pt idx="6">
                  <c:v>73.102499999999992</c:v>
                </c:pt>
                <c:pt idx="7">
                  <c:v>73.102499999999992</c:v>
                </c:pt>
                <c:pt idx="8">
                  <c:v>73.102499999999992</c:v>
                </c:pt>
                <c:pt idx="9">
                  <c:v>73.102499999999992</c:v>
                </c:pt>
                <c:pt idx="10">
                  <c:v>73.102499999999992</c:v>
                </c:pt>
                <c:pt idx="11">
                  <c:v>73.102499999999992</c:v>
                </c:pt>
                <c:pt idx="12">
                  <c:v>73.102499999999992</c:v>
                </c:pt>
                <c:pt idx="13">
                  <c:v>73.102499999999992</c:v>
                </c:pt>
                <c:pt idx="14">
                  <c:v>73.102499999999992</c:v>
                </c:pt>
                <c:pt idx="15">
                  <c:v>73.102499999999992</c:v>
                </c:pt>
                <c:pt idx="16">
                  <c:v>73.102499999999992</c:v>
                </c:pt>
                <c:pt idx="17">
                  <c:v>73.102499999999992</c:v>
                </c:pt>
                <c:pt idx="18">
                  <c:v>73.102499999999992</c:v>
                </c:pt>
                <c:pt idx="19">
                  <c:v>73.102499999999992</c:v>
                </c:pt>
                <c:pt idx="20">
                  <c:v>73.102499999999992</c:v>
                </c:pt>
                <c:pt idx="21">
                  <c:v>73.102499999999992</c:v>
                </c:pt>
                <c:pt idx="22">
                  <c:v>73.102499999999992</c:v>
                </c:pt>
                <c:pt idx="23">
                  <c:v>73.102499999999992</c:v>
                </c:pt>
                <c:pt idx="24">
                  <c:v>73.102499999999992</c:v>
                </c:pt>
                <c:pt idx="25">
                  <c:v>73.102499999999992</c:v>
                </c:pt>
                <c:pt idx="26">
                  <c:v>73.102499999999992</c:v>
                </c:pt>
                <c:pt idx="27">
                  <c:v>73.102499999999992</c:v>
                </c:pt>
                <c:pt idx="28">
                  <c:v>73.102499999999992</c:v>
                </c:pt>
                <c:pt idx="29">
                  <c:v>73.102499999999992</c:v>
                </c:pt>
                <c:pt idx="30">
                  <c:v>73.102499999999992</c:v>
                </c:pt>
                <c:pt idx="31">
                  <c:v>73.102499999999992</c:v>
                </c:pt>
                <c:pt idx="32">
                  <c:v>73.102499999999992</c:v>
                </c:pt>
                <c:pt idx="33">
                  <c:v>73.102499999999992</c:v>
                </c:pt>
                <c:pt idx="34">
                  <c:v>73.102499999999992</c:v>
                </c:pt>
                <c:pt idx="35">
                  <c:v>73.102499999999992</c:v>
                </c:pt>
                <c:pt idx="36">
                  <c:v>73.102499999999992</c:v>
                </c:pt>
                <c:pt idx="37">
                  <c:v>73.102499999999992</c:v>
                </c:pt>
                <c:pt idx="38">
                  <c:v>73.102499999999992</c:v>
                </c:pt>
                <c:pt idx="39">
                  <c:v>73.102499999999992</c:v>
                </c:pt>
                <c:pt idx="40">
                  <c:v>73.102499999999992</c:v>
                </c:pt>
                <c:pt idx="41">
                  <c:v>73.102499999999992</c:v>
                </c:pt>
                <c:pt idx="42">
                  <c:v>73.102499999999992</c:v>
                </c:pt>
                <c:pt idx="43">
                  <c:v>73.102499999999992</c:v>
                </c:pt>
                <c:pt idx="44">
                  <c:v>73.102499999999992</c:v>
                </c:pt>
                <c:pt idx="45">
                  <c:v>73.102499999999992</c:v>
                </c:pt>
                <c:pt idx="46">
                  <c:v>73.102499999999992</c:v>
                </c:pt>
                <c:pt idx="47">
                  <c:v>73.102499999999992</c:v>
                </c:pt>
                <c:pt idx="48">
                  <c:v>73.102499999999992</c:v>
                </c:pt>
                <c:pt idx="49">
                  <c:v>73.102499999999992</c:v>
                </c:pt>
                <c:pt idx="50">
                  <c:v>73.102499999999992</c:v>
                </c:pt>
                <c:pt idx="51">
                  <c:v>73.102499999999992</c:v>
                </c:pt>
                <c:pt idx="52">
                  <c:v>73.102499999999992</c:v>
                </c:pt>
                <c:pt idx="53">
                  <c:v>73.102499999999992</c:v>
                </c:pt>
                <c:pt idx="54">
                  <c:v>73.102499999999992</c:v>
                </c:pt>
                <c:pt idx="55">
                  <c:v>73.102499999999992</c:v>
                </c:pt>
                <c:pt idx="56">
                  <c:v>73.102499999999992</c:v>
                </c:pt>
                <c:pt idx="57">
                  <c:v>73.102499999999992</c:v>
                </c:pt>
                <c:pt idx="58">
                  <c:v>73.102499999999992</c:v>
                </c:pt>
                <c:pt idx="59">
                  <c:v>73.102499999999992</c:v>
                </c:pt>
                <c:pt idx="60">
                  <c:v>73.102499999999992</c:v>
                </c:pt>
                <c:pt idx="61">
                  <c:v>73.102499999999992</c:v>
                </c:pt>
                <c:pt idx="62">
                  <c:v>73.102499999999992</c:v>
                </c:pt>
                <c:pt idx="63">
                  <c:v>73.102499999999992</c:v>
                </c:pt>
                <c:pt idx="64">
                  <c:v>73.102499999999992</c:v>
                </c:pt>
                <c:pt idx="65">
                  <c:v>73.102499999999992</c:v>
                </c:pt>
                <c:pt idx="66">
                  <c:v>73.102499999999992</c:v>
                </c:pt>
                <c:pt idx="67">
                  <c:v>73.102499999999992</c:v>
                </c:pt>
                <c:pt idx="68">
                  <c:v>73.102499999999992</c:v>
                </c:pt>
                <c:pt idx="69">
                  <c:v>73.102499999999992</c:v>
                </c:pt>
                <c:pt idx="70">
                  <c:v>73.102499999999992</c:v>
                </c:pt>
                <c:pt idx="71">
                  <c:v>73.102499999999992</c:v>
                </c:pt>
                <c:pt idx="72">
                  <c:v>73.102499999999992</c:v>
                </c:pt>
                <c:pt idx="73">
                  <c:v>73.102499999999992</c:v>
                </c:pt>
                <c:pt idx="74">
                  <c:v>73.102499999999992</c:v>
                </c:pt>
                <c:pt idx="75">
                  <c:v>73.102499999999992</c:v>
                </c:pt>
                <c:pt idx="76">
                  <c:v>73.102499999999992</c:v>
                </c:pt>
                <c:pt idx="77">
                  <c:v>73.102499999999992</c:v>
                </c:pt>
                <c:pt idx="78">
                  <c:v>73.102499999999992</c:v>
                </c:pt>
                <c:pt idx="79">
                  <c:v>73.102499999999992</c:v>
                </c:pt>
                <c:pt idx="80">
                  <c:v>73.102499999999992</c:v>
                </c:pt>
                <c:pt idx="81">
                  <c:v>73.102499999999992</c:v>
                </c:pt>
                <c:pt idx="82">
                  <c:v>73.102499999999992</c:v>
                </c:pt>
                <c:pt idx="83">
                  <c:v>73.102499999999992</c:v>
                </c:pt>
                <c:pt idx="84">
                  <c:v>73.102499999999992</c:v>
                </c:pt>
                <c:pt idx="85">
                  <c:v>73.102499999999992</c:v>
                </c:pt>
                <c:pt idx="86">
                  <c:v>73.102499999999992</c:v>
                </c:pt>
              </c:numCache>
            </c:numRef>
          </c:val>
          <c:smooth val="0"/>
          <c:extLst>
            <c:ext xmlns:c16="http://schemas.microsoft.com/office/drawing/2014/chart" uri="{C3380CC4-5D6E-409C-BE32-E72D297353CC}">
              <c16:uniqueId val="{00000002-99AF-4E53-B483-1D29278EE27B}"/>
            </c:ext>
          </c:extLst>
        </c:ser>
        <c:ser>
          <c:idx val="3"/>
          <c:order val="3"/>
          <c:tx>
            <c:strRef>
              <c:f>'Registry'!$O$1</c:f>
              <c:strCache>
                <c:ptCount val="1"/>
                <c:pt idx="0">
                  <c:v>opt_musMass</c:v>
                </c:pt>
              </c:strCache>
            </c:strRef>
          </c:tx>
          <c:spPr>
            <a:ln w="25400" cap="rnd">
              <a:solidFill>
                <a:srgbClr val="FFC000"/>
              </a:solidFill>
              <a:prstDash val="dash"/>
              <a:round/>
            </a:ln>
            <a:effectLst/>
          </c:spPr>
          <c:marker>
            <c:symbol val="none"/>
          </c:marker>
          <c:cat>
            <c:numRef>
              <c:f>'Registry'!$A$2:$A$88</c:f>
              <c:numCache>
                <c:formatCode>m/d/yyyy</c:formatCode>
                <c:ptCount val="87"/>
                <c:pt idx="0">
                  <c:v>45241</c:v>
                </c:pt>
                <c:pt idx="1">
                  <c:v>45241</c:v>
                </c:pt>
                <c:pt idx="2">
                  <c:v>45241</c:v>
                </c:pt>
                <c:pt idx="3">
                  <c:v>45241</c:v>
                </c:pt>
                <c:pt idx="4">
                  <c:v>45241</c:v>
                </c:pt>
                <c:pt idx="5">
                  <c:v>45241</c:v>
                </c:pt>
                <c:pt idx="6">
                  <c:v>45241</c:v>
                </c:pt>
                <c:pt idx="7">
                  <c:v>45241</c:v>
                </c:pt>
                <c:pt idx="8">
                  <c:v>45241</c:v>
                </c:pt>
                <c:pt idx="9">
                  <c:v>45241</c:v>
                </c:pt>
                <c:pt idx="10">
                  <c:v>45241</c:v>
                </c:pt>
                <c:pt idx="11">
                  <c:v>45241</c:v>
                </c:pt>
                <c:pt idx="12">
                  <c:v>45241</c:v>
                </c:pt>
                <c:pt idx="13">
                  <c:v>45242</c:v>
                </c:pt>
                <c:pt idx="14">
                  <c:v>45242</c:v>
                </c:pt>
                <c:pt idx="15">
                  <c:v>45242</c:v>
                </c:pt>
                <c:pt idx="16">
                  <c:v>45242</c:v>
                </c:pt>
                <c:pt idx="17">
                  <c:v>45242</c:v>
                </c:pt>
                <c:pt idx="18">
                  <c:v>45242</c:v>
                </c:pt>
                <c:pt idx="19">
                  <c:v>45242</c:v>
                </c:pt>
                <c:pt idx="20">
                  <c:v>45242</c:v>
                </c:pt>
                <c:pt idx="21">
                  <c:v>45242</c:v>
                </c:pt>
                <c:pt idx="22">
                  <c:v>45242</c:v>
                </c:pt>
                <c:pt idx="23">
                  <c:v>45242</c:v>
                </c:pt>
                <c:pt idx="24">
                  <c:v>45242</c:v>
                </c:pt>
                <c:pt idx="25">
                  <c:v>45242</c:v>
                </c:pt>
                <c:pt idx="26">
                  <c:v>45243</c:v>
                </c:pt>
                <c:pt idx="27">
                  <c:v>45243</c:v>
                </c:pt>
                <c:pt idx="28">
                  <c:v>45243</c:v>
                </c:pt>
                <c:pt idx="29">
                  <c:v>45243</c:v>
                </c:pt>
                <c:pt idx="30">
                  <c:v>45243</c:v>
                </c:pt>
                <c:pt idx="31">
                  <c:v>45243</c:v>
                </c:pt>
                <c:pt idx="32">
                  <c:v>45243</c:v>
                </c:pt>
                <c:pt idx="33">
                  <c:v>45243</c:v>
                </c:pt>
                <c:pt idx="34">
                  <c:v>45243</c:v>
                </c:pt>
                <c:pt idx="35">
                  <c:v>45243</c:v>
                </c:pt>
                <c:pt idx="36">
                  <c:v>45244</c:v>
                </c:pt>
                <c:pt idx="37">
                  <c:v>45244</c:v>
                </c:pt>
                <c:pt idx="38">
                  <c:v>45244</c:v>
                </c:pt>
                <c:pt idx="39">
                  <c:v>45244</c:v>
                </c:pt>
                <c:pt idx="40">
                  <c:v>45244</c:v>
                </c:pt>
                <c:pt idx="41">
                  <c:v>45246</c:v>
                </c:pt>
                <c:pt idx="42">
                  <c:v>45246</c:v>
                </c:pt>
                <c:pt idx="43">
                  <c:v>45246</c:v>
                </c:pt>
                <c:pt idx="44">
                  <c:v>45246</c:v>
                </c:pt>
                <c:pt idx="45">
                  <c:v>45246</c:v>
                </c:pt>
                <c:pt idx="46">
                  <c:v>45246</c:v>
                </c:pt>
                <c:pt idx="47">
                  <c:v>45246</c:v>
                </c:pt>
                <c:pt idx="48">
                  <c:v>45246</c:v>
                </c:pt>
                <c:pt idx="49">
                  <c:v>45246</c:v>
                </c:pt>
                <c:pt idx="50">
                  <c:v>45246</c:v>
                </c:pt>
                <c:pt idx="51">
                  <c:v>45246</c:v>
                </c:pt>
                <c:pt idx="52">
                  <c:v>45246</c:v>
                </c:pt>
                <c:pt idx="53">
                  <c:v>45247</c:v>
                </c:pt>
                <c:pt idx="54">
                  <c:v>45247</c:v>
                </c:pt>
                <c:pt idx="55">
                  <c:v>45247</c:v>
                </c:pt>
                <c:pt idx="56">
                  <c:v>45247</c:v>
                </c:pt>
                <c:pt idx="57">
                  <c:v>45247</c:v>
                </c:pt>
                <c:pt idx="58">
                  <c:v>45247</c:v>
                </c:pt>
                <c:pt idx="59">
                  <c:v>45247</c:v>
                </c:pt>
                <c:pt idx="60">
                  <c:v>45247</c:v>
                </c:pt>
                <c:pt idx="61">
                  <c:v>45247</c:v>
                </c:pt>
                <c:pt idx="62">
                  <c:v>45247</c:v>
                </c:pt>
                <c:pt idx="63">
                  <c:v>45247</c:v>
                </c:pt>
                <c:pt idx="64">
                  <c:v>45247</c:v>
                </c:pt>
                <c:pt idx="65">
                  <c:v>45247</c:v>
                </c:pt>
                <c:pt idx="66">
                  <c:v>45247</c:v>
                </c:pt>
                <c:pt idx="67">
                  <c:v>45247</c:v>
                </c:pt>
                <c:pt idx="68">
                  <c:v>45247</c:v>
                </c:pt>
                <c:pt idx="69">
                  <c:v>45248</c:v>
                </c:pt>
                <c:pt idx="70">
                  <c:v>45248</c:v>
                </c:pt>
                <c:pt idx="71">
                  <c:v>45248</c:v>
                </c:pt>
                <c:pt idx="72">
                  <c:v>45248</c:v>
                </c:pt>
                <c:pt idx="73">
                  <c:v>45248</c:v>
                </c:pt>
                <c:pt idx="74">
                  <c:v>45248</c:v>
                </c:pt>
                <c:pt idx="75">
                  <c:v>45248</c:v>
                </c:pt>
                <c:pt idx="76">
                  <c:v>45248</c:v>
                </c:pt>
                <c:pt idx="77">
                  <c:v>45249</c:v>
                </c:pt>
                <c:pt idx="78">
                  <c:v>45249</c:v>
                </c:pt>
                <c:pt idx="79">
                  <c:v>45249</c:v>
                </c:pt>
                <c:pt idx="80">
                  <c:v>45249</c:v>
                </c:pt>
                <c:pt idx="81">
                  <c:v>45249</c:v>
                </c:pt>
                <c:pt idx="82">
                  <c:v>45249</c:v>
                </c:pt>
                <c:pt idx="83">
                  <c:v>45249</c:v>
                </c:pt>
                <c:pt idx="84">
                  <c:v>45249</c:v>
                </c:pt>
                <c:pt idx="85">
                  <c:v>45249</c:v>
                </c:pt>
                <c:pt idx="86">
                  <c:v>45249</c:v>
                </c:pt>
              </c:numCache>
            </c:numRef>
          </c:cat>
          <c:val>
            <c:numRef>
              <c:f>'Registry'!$O$2:$O$88</c:f>
              <c:numCache>
                <c:formatCode>General</c:formatCode>
                <c:ptCount val="87"/>
                <c:pt idx="0">
                  <c:v>60.35</c:v>
                </c:pt>
                <c:pt idx="1">
                  <c:v>60.35</c:v>
                </c:pt>
                <c:pt idx="2">
                  <c:v>60.35</c:v>
                </c:pt>
                <c:pt idx="3">
                  <c:v>60.35</c:v>
                </c:pt>
                <c:pt idx="4">
                  <c:v>60.35</c:v>
                </c:pt>
                <c:pt idx="5">
                  <c:v>60.35</c:v>
                </c:pt>
                <c:pt idx="6">
                  <c:v>60.35</c:v>
                </c:pt>
                <c:pt idx="7">
                  <c:v>60.35</c:v>
                </c:pt>
                <c:pt idx="8">
                  <c:v>60.35</c:v>
                </c:pt>
                <c:pt idx="9">
                  <c:v>60.35</c:v>
                </c:pt>
                <c:pt idx="10">
                  <c:v>60.35</c:v>
                </c:pt>
                <c:pt idx="11">
                  <c:v>60.35</c:v>
                </c:pt>
                <c:pt idx="12">
                  <c:v>60.35</c:v>
                </c:pt>
                <c:pt idx="13">
                  <c:v>60.35</c:v>
                </c:pt>
                <c:pt idx="14">
                  <c:v>60.35</c:v>
                </c:pt>
                <c:pt idx="15">
                  <c:v>60.35</c:v>
                </c:pt>
                <c:pt idx="16">
                  <c:v>60.35</c:v>
                </c:pt>
                <c:pt idx="17">
                  <c:v>60.35</c:v>
                </c:pt>
                <c:pt idx="18">
                  <c:v>60.35</c:v>
                </c:pt>
                <c:pt idx="19">
                  <c:v>60.35</c:v>
                </c:pt>
                <c:pt idx="20">
                  <c:v>60.35</c:v>
                </c:pt>
                <c:pt idx="21">
                  <c:v>60.35</c:v>
                </c:pt>
                <c:pt idx="22">
                  <c:v>60.35</c:v>
                </c:pt>
                <c:pt idx="23">
                  <c:v>60.35</c:v>
                </c:pt>
                <c:pt idx="24">
                  <c:v>60.35</c:v>
                </c:pt>
                <c:pt idx="25">
                  <c:v>60.35</c:v>
                </c:pt>
                <c:pt idx="26">
                  <c:v>60.35</c:v>
                </c:pt>
                <c:pt idx="27">
                  <c:v>60.35</c:v>
                </c:pt>
                <c:pt idx="28">
                  <c:v>60.35</c:v>
                </c:pt>
                <c:pt idx="29">
                  <c:v>60.35</c:v>
                </c:pt>
                <c:pt idx="30">
                  <c:v>60.35</c:v>
                </c:pt>
                <c:pt idx="31">
                  <c:v>60.35</c:v>
                </c:pt>
                <c:pt idx="32">
                  <c:v>60.35</c:v>
                </c:pt>
                <c:pt idx="33">
                  <c:v>60.35</c:v>
                </c:pt>
                <c:pt idx="34">
                  <c:v>60.35</c:v>
                </c:pt>
                <c:pt idx="35">
                  <c:v>60.35</c:v>
                </c:pt>
                <c:pt idx="36">
                  <c:v>60.35</c:v>
                </c:pt>
                <c:pt idx="37">
                  <c:v>60.35</c:v>
                </c:pt>
                <c:pt idx="38">
                  <c:v>60.35</c:v>
                </c:pt>
                <c:pt idx="39">
                  <c:v>60.35</c:v>
                </c:pt>
                <c:pt idx="40">
                  <c:v>60.35</c:v>
                </c:pt>
                <c:pt idx="41">
                  <c:v>60.35</c:v>
                </c:pt>
                <c:pt idx="42">
                  <c:v>60.35</c:v>
                </c:pt>
                <c:pt idx="43">
                  <c:v>60.35</c:v>
                </c:pt>
                <c:pt idx="44">
                  <c:v>60.35</c:v>
                </c:pt>
                <c:pt idx="45">
                  <c:v>60.35</c:v>
                </c:pt>
                <c:pt idx="46">
                  <c:v>60.35</c:v>
                </c:pt>
                <c:pt idx="47">
                  <c:v>60.35</c:v>
                </c:pt>
                <c:pt idx="48">
                  <c:v>60.35</c:v>
                </c:pt>
                <c:pt idx="49">
                  <c:v>60.35</c:v>
                </c:pt>
                <c:pt idx="50">
                  <c:v>60.35</c:v>
                </c:pt>
                <c:pt idx="51">
                  <c:v>60.35</c:v>
                </c:pt>
                <c:pt idx="52">
                  <c:v>60.35</c:v>
                </c:pt>
                <c:pt idx="53">
                  <c:v>60.35</c:v>
                </c:pt>
                <c:pt idx="54">
                  <c:v>60.35</c:v>
                </c:pt>
                <c:pt idx="55">
                  <c:v>60.35</c:v>
                </c:pt>
                <c:pt idx="56">
                  <c:v>60.35</c:v>
                </c:pt>
                <c:pt idx="57">
                  <c:v>60.35</c:v>
                </c:pt>
                <c:pt idx="58">
                  <c:v>60.35</c:v>
                </c:pt>
                <c:pt idx="59">
                  <c:v>60.35</c:v>
                </c:pt>
                <c:pt idx="60">
                  <c:v>60.35</c:v>
                </c:pt>
                <c:pt idx="61">
                  <c:v>60.35</c:v>
                </c:pt>
                <c:pt idx="62">
                  <c:v>60.35</c:v>
                </c:pt>
                <c:pt idx="63">
                  <c:v>60.35</c:v>
                </c:pt>
                <c:pt idx="64">
                  <c:v>60.35</c:v>
                </c:pt>
                <c:pt idx="65">
                  <c:v>60.35</c:v>
                </c:pt>
                <c:pt idx="66">
                  <c:v>60.35</c:v>
                </c:pt>
                <c:pt idx="67">
                  <c:v>60.35</c:v>
                </c:pt>
                <c:pt idx="68">
                  <c:v>60.35</c:v>
                </c:pt>
                <c:pt idx="69">
                  <c:v>60.35</c:v>
                </c:pt>
                <c:pt idx="70">
                  <c:v>60.35</c:v>
                </c:pt>
                <c:pt idx="71">
                  <c:v>60.35</c:v>
                </c:pt>
                <c:pt idx="72">
                  <c:v>60.35</c:v>
                </c:pt>
                <c:pt idx="73">
                  <c:v>60.35</c:v>
                </c:pt>
                <c:pt idx="74">
                  <c:v>60.35</c:v>
                </c:pt>
                <c:pt idx="75">
                  <c:v>60.35</c:v>
                </c:pt>
                <c:pt idx="76">
                  <c:v>60.35</c:v>
                </c:pt>
                <c:pt idx="77">
                  <c:v>60.35</c:v>
                </c:pt>
                <c:pt idx="78">
                  <c:v>60.35</c:v>
                </c:pt>
                <c:pt idx="79">
                  <c:v>60.35</c:v>
                </c:pt>
                <c:pt idx="80">
                  <c:v>60.35</c:v>
                </c:pt>
                <c:pt idx="81">
                  <c:v>60.35</c:v>
                </c:pt>
                <c:pt idx="82">
                  <c:v>60.35</c:v>
                </c:pt>
                <c:pt idx="83">
                  <c:v>60.35</c:v>
                </c:pt>
                <c:pt idx="84">
                  <c:v>60.35</c:v>
                </c:pt>
                <c:pt idx="85">
                  <c:v>60.35</c:v>
                </c:pt>
                <c:pt idx="86">
                  <c:v>60.35</c:v>
                </c:pt>
              </c:numCache>
            </c:numRef>
          </c:val>
          <c:smooth val="0"/>
          <c:extLst>
            <c:ext xmlns:c16="http://schemas.microsoft.com/office/drawing/2014/chart" uri="{C3380CC4-5D6E-409C-BE32-E72D297353CC}">
              <c16:uniqueId val="{00000009-99AF-4E53-B483-1D29278EE27B}"/>
            </c:ext>
          </c:extLst>
        </c:ser>
        <c:dLbls>
          <c:showLegendKey val="0"/>
          <c:showVal val="0"/>
          <c:showCatName val="0"/>
          <c:showSerName val="0"/>
          <c:showPercent val="0"/>
          <c:showBubbleSize val="0"/>
        </c:dLbls>
        <c:smooth val="0"/>
        <c:axId val="1422925072"/>
        <c:axId val="1722178544"/>
      </c:lineChart>
      <c:dateAx>
        <c:axId val="142292507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ES"/>
          </a:p>
        </c:txPr>
        <c:crossAx val="1722178544"/>
        <c:crosses val="autoZero"/>
        <c:auto val="1"/>
        <c:lblOffset val="100"/>
        <c:baseTimeUnit val="days"/>
      </c:dateAx>
      <c:valAx>
        <c:axId val="1722178544"/>
        <c:scaling>
          <c:orientation val="minMax"/>
          <c:max val="75"/>
          <c:min val="50"/>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ES"/>
          </a:p>
        </c:txPr>
        <c:crossAx val="1422925072"/>
        <c:crosses val="autoZero"/>
        <c:crossBetween val="between"/>
        <c:majorUnit val="2"/>
        <c:minorUnit val="0.5"/>
      </c:valAx>
      <c:spPr>
        <a:noFill/>
        <a:ln>
          <a:noFill/>
        </a:ln>
        <a:effectLst/>
      </c:spPr>
    </c:plotArea>
    <c:legend>
      <c:legendPos val="b"/>
      <c:layout>
        <c:manualLayout>
          <c:xMode val="edge"/>
          <c:yMode val="edge"/>
          <c:x val="0.30380730533683292"/>
          <c:y val="4.2244823563721161E-2"/>
          <c:w val="0.69619284114715019"/>
          <c:h val="0.11325582624319612"/>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bg1"/>
              </a:solidFill>
              <a:latin typeface="+mn-lt"/>
              <a:ea typeface="+mn-ea"/>
              <a:cs typeface="+mn-cs"/>
            </a:defRPr>
          </a:pPr>
          <a:endParaRPr lang="es-ES"/>
        </a:p>
      </c:txPr>
    </c:legend>
    <c:plotVisOnly val="1"/>
    <c:dispBlanksAs val="gap"/>
    <c:showDLblsOverMax val="0"/>
  </c:chart>
  <c:spPr>
    <a:noFill/>
    <a:ln w="9525" cap="flat" cmpd="sng" algn="ctr">
      <a:noFill/>
      <a:round/>
    </a:ln>
    <a:effectLst/>
  </c:spPr>
  <c:txPr>
    <a:bodyPr/>
    <a:lstStyle/>
    <a:p>
      <a:pPr>
        <a:defRPr>
          <a:solidFill>
            <a:schemeClr val="bg1"/>
          </a:solidFill>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[ExcelNutriSmart.xlsx]pivot_tables!conteo_proteins</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Top Protein Foods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100000">
                <a:srgbClr val="FFC000"/>
              </a:gs>
              <a:gs pos="73000">
                <a:schemeClr val="accent2">
                  <a:lumMod val="45000"/>
                  <a:lumOff val="55000"/>
                </a:schemeClr>
              </a:gs>
              <a:gs pos="33000">
                <a:schemeClr val="accent2">
                  <a:lumMod val="24000"/>
                </a:schemeClr>
              </a:gs>
              <a:gs pos="100000">
                <a:schemeClr val="accent2">
                  <a:lumMod val="30000"/>
                  <a:lumOff val="70000"/>
                </a:schemeClr>
              </a:gs>
            </a:gsLst>
            <a:path path="rect">
              <a:fillToRect l="100000" b="100000"/>
            </a:path>
            <a:tileRect t="-100000" r="-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pivot_tables!$K$1</c:f>
              <c:strCache>
                <c:ptCount val="1"/>
                <c:pt idx="0">
                  <c:v>Total</c:v>
                </c:pt>
              </c:strCache>
            </c:strRef>
          </c:tx>
          <c:spPr>
            <a:gradFill flip="none" rotWithShape="1">
              <a:gsLst>
                <a:gs pos="100000">
                  <a:srgbClr val="FFC000"/>
                </a:gs>
                <a:gs pos="73000">
                  <a:schemeClr val="accent2">
                    <a:lumMod val="45000"/>
                    <a:lumOff val="55000"/>
                  </a:schemeClr>
                </a:gs>
                <a:gs pos="33000">
                  <a:schemeClr val="accent2">
                    <a:lumMod val="24000"/>
                  </a:schemeClr>
                </a:gs>
                <a:gs pos="100000">
                  <a:schemeClr val="accent2">
                    <a:lumMod val="30000"/>
                    <a:lumOff val="70000"/>
                  </a:schemeClr>
                </a:gs>
              </a:gsLst>
              <a:path path="rect">
                <a:fillToRect l="100000" b="100000"/>
              </a:path>
              <a:tileRect t="-100000" r="-100000"/>
            </a:gradFill>
            <a:ln>
              <a:noFill/>
            </a:ln>
            <a:effectLst/>
          </c:spPr>
          <c:invertIfNegative val="0"/>
          <c:cat>
            <c:strRef>
              <c:f>pivot_tables!$J$2:$J$20</c:f>
              <c:strCache>
                <c:ptCount val="18"/>
                <c:pt idx="0">
                  <c:v>cofee</c:v>
                </c:pt>
                <c:pt idx="1">
                  <c:v>onion</c:v>
                </c:pt>
                <c:pt idx="2">
                  <c:v>red fruits</c:v>
                </c:pt>
                <c:pt idx="3">
                  <c:v>tomatos</c:v>
                </c:pt>
                <c:pt idx="4">
                  <c:v>Cacao Puro</c:v>
                </c:pt>
                <c:pt idx="5">
                  <c:v>bananas</c:v>
                </c:pt>
                <c:pt idx="6">
                  <c:v>hummus</c:v>
                </c:pt>
                <c:pt idx="7">
                  <c:v>tescoWholPasta</c:v>
                </c:pt>
                <c:pt idx="8">
                  <c:v>Espirulina</c:v>
                </c:pt>
                <c:pt idx="9">
                  <c:v>ham</c:v>
                </c:pt>
                <c:pt idx="10">
                  <c:v>soya milk</c:v>
                </c:pt>
                <c:pt idx="11">
                  <c:v>tuna</c:v>
                </c:pt>
                <c:pt idx="12">
                  <c:v>breadBrownMalted</c:v>
                </c:pt>
                <c:pt idx="13">
                  <c:v>Beef</c:v>
                </c:pt>
                <c:pt idx="14">
                  <c:v>oats</c:v>
                </c:pt>
                <c:pt idx="15">
                  <c:v>Hi-Fibre Batch</c:v>
                </c:pt>
                <c:pt idx="16">
                  <c:v>PE WheyProtein</c:v>
                </c:pt>
                <c:pt idx="17">
                  <c:v>chickpeas</c:v>
                </c:pt>
              </c:strCache>
            </c:strRef>
          </c:cat>
          <c:val>
            <c:numRef>
              <c:f>pivot_tables!$K$2:$K$20</c:f>
              <c:numCache>
                <c:formatCode>General</c:formatCode>
                <c:ptCount val="18"/>
                <c:pt idx="0">
                  <c:v>8.2800000000000026E-2</c:v>
                </c:pt>
                <c:pt idx="1">
                  <c:v>2.16</c:v>
                </c:pt>
                <c:pt idx="2">
                  <c:v>2.6500000000000004</c:v>
                </c:pt>
                <c:pt idx="3">
                  <c:v>3.2152500000000006</c:v>
                </c:pt>
                <c:pt idx="4">
                  <c:v>4.0500000000000007</c:v>
                </c:pt>
                <c:pt idx="5">
                  <c:v>6.1120000000000001</c:v>
                </c:pt>
                <c:pt idx="6">
                  <c:v>10.228999999999999</c:v>
                </c:pt>
                <c:pt idx="7">
                  <c:v>10.8</c:v>
                </c:pt>
                <c:pt idx="8">
                  <c:v>22.780000000000005</c:v>
                </c:pt>
                <c:pt idx="9">
                  <c:v>48.918000000000006</c:v>
                </c:pt>
                <c:pt idx="10">
                  <c:v>50.286000000000001</c:v>
                </c:pt>
                <c:pt idx="11">
                  <c:v>52.17</c:v>
                </c:pt>
                <c:pt idx="12">
                  <c:v>64.637</c:v>
                </c:pt>
                <c:pt idx="13">
                  <c:v>66.900000000000006</c:v>
                </c:pt>
                <c:pt idx="14">
                  <c:v>85.91</c:v>
                </c:pt>
                <c:pt idx="15">
                  <c:v>86.310599999999994</c:v>
                </c:pt>
                <c:pt idx="16">
                  <c:v>106.25999999999999</c:v>
                </c:pt>
                <c:pt idx="17">
                  <c:v>112.56000000000002</c:v>
                </c:pt>
              </c:numCache>
            </c:numRef>
          </c:val>
          <c:extLst>
            <c:ext xmlns:c16="http://schemas.microsoft.com/office/drawing/2014/chart" uri="{C3380CC4-5D6E-409C-BE32-E72D297353CC}">
              <c16:uniqueId val="{00000000-01DE-4D9E-B0E6-3819A134600D}"/>
            </c:ext>
          </c:extLst>
        </c:ser>
        <c:dLbls>
          <c:showLegendKey val="0"/>
          <c:showVal val="0"/>
          <c:showCatName val="0"/>
          <c:showSerName val="0"/>
          <c:showPercent val="0"/>
          <c:showBubbleSize val="0"/>
        </c:dLbls>
        <c:gapWidth val="182"/>
        <c:axId val="1422917392"/>
        <c:axId val="1722186480"/>
      </c:barChart>
      <c:catAx>
        <c:axId val="1422917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ES"/>
          </a:p>
        </c:txPr>
        <c:crossAx val="1722186480"/>
        <c:crosses val="autoZero"/>
        <c:auto val="1"/>
        <c:lblAlgn val="ctr"/>
        <c:lblOffset val="100"/>
        <c:noMultiLvlLbl val="0"/>
      </c:catAx>
      <c:valAx>
        <c:axId val="1722186480"/>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ES"/>
          </a:p>
        </c:txPr>
        <c:crossAx val="1422917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[ExcelNutriSmart.xlsx]pivot_tables!conteo_Carbs</c:name>
    <c:fmtId val="3"/>
  </c:pivotSource>
  <c:chart>
    <c:title>
      <c:tx>
        <c:rich>
          <a:bodyPr rot="0" spcFirstLastPara="1" vertOverflow="ellipsis" vert="horz" wrap="square" anchor="ctr" anchorCtr="1"/>
          <a:lstStyle/>
          <a:p>
            <a:pPr>
              <a:defRPr lang="en-US" sz="1200" b="0" i="0" u="none" strike="noStrike" kern="1200" spc="0" baseline="0">
                <a:solidFill>
                  <a:schemeClr val="bg1"/>
                </a:solidFill>
                <a:latin typeface="+mn-lt"/>
                <a:ea typeface="+mn-ea"/>
                <a:cs typeface="+mn-cs"/>
              </a:defRPr>
            </a:pPr>
            <a:r>
              <a:rPr lang="en-US" sz="1400"/>
              <a:t>Top</a:t>
            </a:r>
            <a:r>
              <a:rPr lang="en-US" sz="1400" baseline="0"/>
              <a:t> Carb Foods</a:t>
            </a:r>
            <a:endParaRPr lang="en-US" sz="1400"/>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bg1"/>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17000">
                <a:schemeClr val="tx2">
                  <a:lumMod val="2000"/>
                  <a:lumOff val="98000"/>
                </a:schemeClr>
              </a:gs>
              <a:gs pos="63000">
                <a:schemeClr val="accent4">
                  <a:lumMod val="89000"/>
                </a:schemeClr>
              </a:gs>
              <a:gs pos="69000">
                <a:schemeClr val="accent4">
                  <a:lumMod val="75000"/>
                </a:schemeClr>
              </a:gs>
              <a:gs pos="97000">
                <a:schemeClr val="accent4">
                  <a:lumMod val="70000"/>
                </a:schemeClr>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pivot_tables!$N$1</c:f>
              <c:strCache>
                <c:ptCount val="1"/>
                <c:pt idx="0">
                  <c:v>Total</c:v>
                </c:pt>
              </c:strCache>
            </c:strRef>
          </c:tx>
          <c:spPr>
            <a:gradFill flip="none" rotWithShape="1">
              <a:gsLst>
                <a:gs pos="17000">
                  <a:schemeClr val="tx2">
                    <a:lumMod val="2000"/>
                    <a:lumOff val="98000"/>
                  </a:schemeClr>
                </a:gs>
                <a:gs pos="63000">
                  <a:schemeClr val="accent4">
                    <a:lumMod val="89000"/>
                  </a:schemeClr>
                </a:gs>
                <a:gs pos="69000">
                  <a:schemeClr val="accent4">
                    <a:lumMod val="75000"/>
                  </a:schemeClr>
                </a:gs>
                <a:gs pos="97000">
                  <a:schemeClr val="accent4">
                    <a:lumMod val="70000"/>
                  </a:schemeClr>
                </a:gs>
              </a:gsLst>
              <a:lin ang="2700000" scaled="1"/>
              <a:tileRect/>
            </a:gradFill>
            <a:ln>
              <a:noFill/>
            </a:ln>
            <a:effectLst/>
          </c:spPr>
          <c:invertIfNegative val="0"/>
          <c:cat>
            <c:strRef>
              <c:f>pivot_tables!$M$2:$M$20</c:f>
              <c:strCache>
                <c:ptCount val="18"/>
                <c:pt idx="0">
                  <c:v>tuna</c:v>
                </c:pt>
                <c:pt idx="1">
                  <c:v>Beef</c:v>
                </c:pt>
                <c:pt idx="2">
                  <c:v>cofee</c:v>
                </c:pt>
                <c:pt idx="3">
                  <c:v>ham</c:v>
                </c:pt>
                <c:pt idx="4">
                  <c:v>Cacao Puro</c:v>
                </c:pt>
                <c:pt idx="5">
                  <c:v>Espirulina</c:v>
                </c:pt>
                <c:pt idx="6">
                  <c:v>PE WheyProtein</c:v>
                </c:pt>
                <c:pt idx="7">
                  <c:v>tomatos</c:v>
                </c:pt>
                <c:pt idx="8">
                  <c:v>red fruits</c:v>
                </c:pt>
                <c:pt idx="9">
                  <c:v>onion</c:v>
                </c:pt>
                <c:pt idx="10">
                  <c:v>hummus</c:v>
                </c:pt>
                <c:pt idx="11">
                  <c:v>soya milk</c:v>
                </c:pt>
                <c:pt idx="12">
                  <c:v>tescoWholPasta</c:v>
                </c:pt>
                <c:pt idx="13">
                  <c:v>bananas</c:v>
                </c:pt>
                <c:pt idx="14">
                  <c:v>chickpeas</c:v>
                </c:pt>
                <c:pt idx="15">
                  <c:v>breadBrownMalted</c:v>
                </c:pt>
                <c:pt idx="16">
                  <c:v>Hi-Fibre Batch</c:v>
                </c:pt>
                <c:pt idx="17">
                  <c:v>oats</c:v>
                </c:pt>
              </c:strCache>
            </c:strRef>
          </c:cat>
          <c:val>
            <c:numRef>
              <c:f>pivot_tables!$N$2:$N$20</c:f>
              <c:numCache>
                <c:formatCode>General</c:formatCode>
                <c:ptCount val="18"/>
                <c:pt idx="0">
                  <c:v>0</c:v>
                </c:pt>
                <c:pt idx="1">
                  <c:v>0</c:v>
                </c:pt>
                <c:pt idx="2">
                  <c:v>2.7599999999999996E-2</c:v>
                </c:pt>
                <c:pt idx="3">
                  <c:v>1.3150000000000002</c:v>
                </c:pt>
                <c:pt idx="4">
                  <c:v>2.7</c:v>
                </c:pt>
                <c:pt idx="5">
                  <c:v>5.0999999999999996</c:v>
                </c:pt>
                <c:pt idx="6">
                  <c:v>6.93</c:v>
                </c:pt>
                <c:pt idx="7">
                  <c:v>12.50375</c:v>
                </c:pt>
                <c:pt idx="8">
                  <c:v>14.31</c:v>
                </c:pt>
                <c:pt idx="9">
                  <c:v>22.032</c:v>
                </c:pt>
                <c:pt idx="10">
                  <c:v>23.16</c:v>
                </c:pt>
                <c:pt idx="11">
                  <c:v>38.454000000000008</c:v>
                </c:pt>
                <c:pt idx="12">
                  <c:v>65.8</c:v>
                </c:pt>
                <c:pt idx="13">
                  <c:v>163.49599999999998</c:v>
                </c:pt>
                <c:pt idx="14">
                  <c:v>228.48000000000002</c:v>
                </c:pt>
                <c:pt idx="15">
                  <c:v>248.46700000000001</c:v>
                </c:pt>
                <c:pt idx="16">
                  <c:v>355.92</c:v>
                </c:pt>
                <c:pt idx="17">
                  <c:v>471.72400000000005</c:v>
                </c:pt>
              </c:numCache>
            </c:numRef>
          </c:val>
          <c:extLst>
            <c:ext xmlns:c16="http://schemas.microsoft.com/office/drawing/2014/chart" uri="{C3380CC4-5D6E-409C-BE32-E72D297353CC}">
              <c16:uniqueId val="{00000000-FF5C-43A8-AA13-3CF6CFA6C84E}"/>
            </c:ext>
          </c:extLst>
        </c:ser>
        <c:dLbls>
          <c:showLegendKey val="0"/>
          <c:showVal val="0"/>
          <c:showCatName val="0"/>
          <c:showSerName val="0"/>
          <c:showPercent val="0"/>
          <c:showBubbleSize val="0"/>
        </c:dLbls>
        <c:gapWidth val="182"/>
        <c:axId val="1811597743"/>
        <c:axId val="1427667423"/>
      </c:barChart>
      <c:catAx>
        <c:axId val="1811597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es-ES"/>
          </a:p>
        </c:txPr>
        <c:crossAx val="1427667423"/>
        <c:crosses val="autoZero"/>
        <c:auto val="1"/>
        <c:lblAlgn val="ctr"/>
        <c:lblOffset val="100"/>
        <c:noMultiLvlLbl val="0"/>
      </c:catAx>
      <c:valAx>
        <c:axId val="1427667423"/>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s-ES"/>
          </a:p>
        </c:txPr>
        <c:crossAx val="1811597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lgn="ctr">
        <a:defRPr lang="en-US" sz="1000" b="0" i="0" u="none" strike="noStrike" kern="1200" baseline="0">
          <a:solidFill>
            <a:schemeClr val="bg1"/>
          </a:solidFill>
          <a:latin typeface="+mn-lt"/>
          <a:ea typeface="+mn-ea"/>
          <a:cs typeface="+mn-cs"/>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[ExcelNutriSmart.xlsx]pivot_tables!conteo_Fat</c:name>
    <c:fmtId val="5"/>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Top Fat Foods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37000">
                <a:schemeClr val="accent5">
                  <a:lumMod val="50000"/>
                </a:schemeClr>
              </a:gs>
              <a:gs pos="65000">
                <a:schemeClr val="accent5">
                  <a:lumMod val="95000"/>
                  <a:lumOff val="5000"/>
                </a:schemeClr>
              </a:gs>
              <a:gs pos="100000">
                <a:schemeClr val="accent5">
                  <a:lumMod val="60000"/>
                  <a:lumOff val="40000"/>
                </a:schemeClr>
              </a:gs>
            </a:gsLst>
            <a:path path="rect">
              <a:fillToRect l="100000" b="100000"/>
            </a:path>
            <a:tileRect t="-100000" r="-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37000">
                <a:schemeClr val="accent5">
                  <a:lumMod val="50000"/>
                </a:schemeClr>
              </a:gs>
              <a:gs pos="65000">
                <a:schemeClr val="accent5">
                  <a:lumMod val="95000"/>
                  <a:lumOff val="5000"/>
                </a:schemeClr>
              </a:gs>
              <a:gs pos="100000">
                <a:schemeClr val="accent5">
                  <a:lumMod val="60000"/>
                  <a:lumOff val="40000"/>
                </a:schemeClr>
              </a:gs>
            </a:gsLst>
            <a:path path="rect">
              <a:fillToRect l="100000" b="100000"/>
            </a:path>
            <a:tileRect t="-100000" r="-100000"/>
          </a:gradFill>
          <a:ln>
            <a:noFill/>
          </a:ln>
          <a:effectLst/>
        </c:spPr>
      </c:pivotFmt>
    </c:pivotFmts>
    <c:plotArea>
      <c:layout>
        <c:manualLayout>
          <c:layoutTarget val="inner"/>
          <c:xMode val="edge"/>
          <c:yMode val="edge"/>
          <c:x val="0.39201574803149608"/>
          <c:y val="0.14395137870123648"/>
          <c:w val="0.54586660490968042"/>
          <c:h val="0.76814646268075804"/>
        </c:manualLayout>
      </c:layout>
      <c:barChart>
        <c:barDir val="bar"/>
        <c:grouping val="clustered"/>
        <c:varyColors val="0"/>
        <c:ser>
          <c:idx val="0"/>
          <c:order val="0"/>
          <c:tx>
            <c:strRef>
              <c:f>pivot_tables!$Q$1</c:f>
              <c:strCache>
                <c:ptCount val="1"/>
                <c:pt idx="0">
                  <c:v>Total</c:v>
                </c:pt>
              </c:strCache>
            </c:strRef>
          </c:tx>
          <c:spPr>
            <a:gradFill flip="none" rotWithShape="1">
              <a:gsLst>
                <a:gs pos="37000">
                  <a:schemeClr val="accent5">
                    <a:lumMod val="50000"/>
                  </a:schemeClr>
                </a:gs>
                <a:gs pos="65000">
                  <a:schemeClr val="accent5">
                    <a:lumMod val="95000"/>
                    <a:lumOff val="5000"/>
                  </a:schemeClr>
                </a:gs>
                <a:gs pos="100000">
                  <a:schemeClr val="accent5">
                    <a:lumMod val="60000"/>
                    <a:lumOff val="40000"/>
                  </a:schemeClr>
                </a:gs>
              </a:gsLst>
              <a:path path="rect">
                <a:fillToRect l="100000" b="100000"/>
              </a:path>
              <a:tileRect t="-100000" r="-100000"/>
            </a:gradFill>
            <a:ln>
              <a:noFill/>
            </a:ln>
            <a:effectLst/>
          </c:spPr>
          <c:invertIfNegative val="0"/>
          <c:cat>
            <c:strRef>
              <c:f>pivot_tables!$P$2:$P$20</c:f>
              <c:strCache>
                <c:ptCount val="18"/>
                <c:pt idx="0">
                  <c:v>red fruits</c:v>
                </c:pt>
                <c:pt idx="1">
                  <c:v>bananas</c:v>
                </c:pt>
                <c:pt idx="2">
                  <c:v>cofee</c:v>
                </c:pt>
                <c:pt idx="3">
                  <c:v>Espirulina</c:v>
                </c:pt>
                <c:pt idx="4">
                  <c:v>tescoWholPasta</c:v>
                </c:pt>
                <c:pt idx="5">
                  <c:v>onion</c:v>
                </c:pt>
                <c:pt idx="6">
                  <c:v>tomatos</c:v>
                </c:pt>
                <c:pt idx="7">
                  <c:v>tuna</c:v>
                </c:pt>
                <c:pt idx="8">
                  <c:v>Cacao Puro</c:v>
                </c:pt>
                <c:pt idx="9">
                  <c:v>PE WheyProtein</c:v>
                </c:pt>
                <c:pt idx="10">
                  <c:v>ham</c:v>
                </c:pt>
                <c:pt idx="11">
                  <c:v>breadBrownMalted</c:v>
                </c:pt>
                <c:pt idx="12">
                  <c:v>Beef</c:v>
                </c:pt>
                <c:pt idx="13">
                  <c:v>Hi-Fibre Batch</c:v>
                </c:pt>
                <c:pt idx="14">
                  <c:v>soya milk</c:v>
                </c:pt>
                <c:pt idx="15">
                  <c:v>hummus</c:v>
                </c:pt>
                <c:pt idx="16">
                  <c:v>chickpeas</c:v>
                </c:pt>
                <c:pt idx="17">
                  <c:v>oats</c:v>
                </c:pt>
              </c:strCache>
            </c:strRef>
          </c:cat>
          <c:val>
            <c:numRef>
              <c:f>pivot_tables!$Q$2:$Q$20</c:f>
              <c:numCache>
                <c:formatCode>General</c:formatCode>
                <c:ptCount val="18"/>
                <c:pt idx="0">
                  <c:v>0</c:v>
                </c:pt>
                <c:pt idx="1">
                  <c:v>0</c:v>
                </c:pt>
                <c:pt idx="2">
                  <c:v>1.3799999999999998E-2</c:v>
                </c:pt>
                <c:pt idx="3">
                  <c:v>0.30600000000000005</c:v>
                </c:pt>
                <c:pt idx="4">
                  <c:v>0.4</c:v>
                </c:pt>
                <c:pt idx="5">
                  <c:v>0.43200000000000005</c:v>
                </c:pt>
                <c:pt idx="6">
                  <c:v>0.71450000000000002</c:v>
                </c:pt>
                <c:pt idx="7">
                  <c:v>1.3319999999999999</c:v>
                </c:pt>
                <c:pt idx="8">
                  <c:v>1.65</c:v>
                </c:pt>
                <c:pt idx="9">
                  <c:v>5.5440000000000005</c:v>
                </c:pt>
                <c:pt idx="10">
                  <c:v>6.3120000000000003</c:v>
                </c:pt>
                <c:pt idx="11">
                  <c:v>7.7090000000000014</c:v>
                </c:pt>
                <c:pt idx="12">
                  <c:v>9</c:v>
                </c:pt>
                <c:pt idx="13">
                  <c:v>12.457199999999998</c:v>
                </c:pt>
                <c:pt idx="14">
                  <c:v>28.101000000000003</c:v>
                </c:pt>
                <c:pt idx="15">
                  <c:v>32.424000000000007</c:v>
                </c:pt>
                <c:pt idx="16">
                  <c:v>36.96</c:v>
                </c:pt>
                <c:pt idx="17">
                  <c:v>64.041999999999987</c:v>
                </c:pt>
              </c:numCache>
            </c:numRef>
          </c:val>
          <c:extLst>
            <c:ext xmlns:c16="http://schemas.microsoft.com/office/drawing/2014/chart" uri="{C3380CC4-5D6E-409C-BE32-E72D297353CC}">
              <c16:uniqueId val="{00000000-BD83-4C34-97A1-C6330563E5D4}"/>
            </c:ext>
          </c:extLst>
        </c:ser>
        <c:dLbls>
          <c:showLegendKey val="0"/>
          <c:showVal val="0"/>
          <c:showCatName val="0"/>
          <c:showSerName val="0"/>
          <c:showPercent val="0"/>
          <c:showBubbleSize val="0"/>
        </c:dLbls>
        <c:gapWidth val="182"/>
        <c:axId val="1811618383"/>
        <c:axId val="1630907903"/>
      </c:barChart>
      <c:catAx>
        <c:axId val="1811618383"/>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ES"/>
          </a:p>
        </c:txPr>
        <c:crossAx val="1630907903"/>
        <c:crosses val="autoZero"/>
        <c:auto val="1"/>
        <c:lblAlgn val="ctr"/>
        <c:lblOffset val="100"/>
        <c:noMultiLvlLbl val="0"/>
      </c:catAx>
      <c:valAx>
        <c:axId val="16309079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ES"/>
          </a:p>
        </c:txPr>
        <c:crossAx val="1811618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aseline="0">
          <a:solidFill>
            <a:schemeClr val="bg1"/>
          </a:solidFill>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971123433343049"/>
          <c:y val="0.12822742227644079"/>
          <c:w val="0.21903869631464479"/>
          <c:h val="0.66842778455509966"/>
        </c:manualLayout>
      </c:layout>
      <c:doughnutChart>
        <c:varyColors val="1"/>
        <c:ser>
          <c:idx val="0"/>
          <c:order val="0"/>
          <c:spPr>
            <a:ln>
              <a:noFill/>
            </a:ln>
          </c:spPr>
          <c:dPt>
            <c:idx val="0"/>
            <c:bubble3D val="0"/>
            <c:spPr>
              <a:solidFill>
                <a:srgbClr val="FF3300"/>
              </a:solidFill>
              <a:ln w="19050">
                <a:noFill/>
              </a:ln>
              <a:effectLst/>
            </c:spPr>
            <c:extLst>
              <c:ext xmlns:c16="http://schemas.microsoft.com/office/drawing/2014/chart" uri="{C3380CC4-5D6E-409C-BE32-E72D297353CC}">
                <c16:uniqueId val="{00000002-2701-4D26-AE00-B0CF1FD65575}"/>
              </c:ext>
            </c:extLst>
          </c:dPt>
          <c:dPt>
            <c:idx val="1"/>
            <c:bubble3D val="0"/>
            <c:spPr>
              <a:solidFill>
                <a:schemeClr val="accent2"/>
              </a:solidFill>
              <a:ln w="19050">
                <a:noFill/>
              </a:ln>
              <a:effectLst/>
            </c:spPr>
            <c:extLst>
              <c:ext xmlns:c16="http://schemas.microsoft.com/office/drawing/2014/chart" uri="{C3380CC4-5D6E-409C-BE32-E72D297353CC}">
                <c16:uniqueId val="{00000003-1C04-4632-ABF3-92874E27C3C0}"/>
              </c:ext>
            </c:extLst>
          </c:dPt>
          <c:dPt>
            <c:idx val="2"/>
            <c:bubble3D val="0"/>
            <c:spPr>
              <a:solidFill>
                <a:schemeClr val="accent3">
                  <a:lumMod val="60000"/>
                  <a:lumOff val="40000"/>
                </a:schemeClr>
              </a:solidFill>
              <a:ln w="19050">
                <a:noFill/>
              </a:ln>
              <a:effectLst/>
            </c:spPr>
            <c:extLst>
              <c:ext xmlns:c16="http://schemas.microsoft.com/office/drawing/2014/chart" uri="{C3380CC4-5D6E-409C-BE32-E72D297353CC}">
                <c16:uniqueId val="{00000001-2701-4D26-AE00-B0CF1FD65575}"/>
              </c:ext>
            </c:extLst>
          </c:dPt>
          <c:dPt>
            <c:idx val="3"/>
            <c:bubble3D val="0"/>
            <c:spPr>
              <a:solidFill>
                <a:schemeClr val="accent4"/>
              </a:solidFill>
              <a:ln w="19050">
                <a:noFill/>
              </a:ln>
              <a:effectLst/>
            </c:spPr>
            <c:extLst>
              <c:ext xmlns:c16="http://schemas.microsoft.com/office/drawing/2014/chart" uri="{C3380CC4-5D6E-409C-BE32-E72D297353CC}">
                <c16:uniqueId val="{00000007-1C04-4632-ABF3-92874E27C3C0}"/>
              </c:ext>
            </c:extLst>
          </c:dPt>
          <c:dLbls>
            <c:dLbl>
              <c:idx val="0"/>
              <c:layout>
                <c:manualLayout>
                  <c:x val="0.35489675466911075"/>
                  <c:y val="-0.1361502347417841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r>
                      <a:rPr lang="en-US" sz="1400" b="1" baseline="0">
                        <a:solidFill>
                          <a:schemeClr val="bg1"/>
                        </a:solidFill>
                      </a:rPr>
                      <a:t>Available: </a:t>
                    </a:r>
                    <a:fld id="{900C7E14-8952-42A7-8EF3-290E42D0FC2D}" type="PERCENTAGE">
                      <a:rPr lang="en-US" sz="1400" b="1" baseline="0">
                        <a:solidFill>
                          <a:schemeClr val="bg1"/>
                        </a:solidFill>
                      </a:rPr>
                      <a:pPr>
                        <a:defRPr>
                          <a:solidFill>
                            <a:schemeClr val="bg1"/>
                          </a:solidFill>
                        </a:defRPr>
                      </a:pPr>
                      <a:t>[PERCENTAGE]</a:t>
                    </a:fld>
                    <a:endParaRPr lang="en-US" sz="1400" b="1" baseline="0">
                      <a:solidFill>
                        <a:schemeClr val="bg1"/>
                      </a:solidFill>
                    </a:endParaRPr>
                  </a:p>
                </c:rich>
              </c:tx>
              <c:numFmt formatCode="0.00%" sourceLinked="0"/>
              <c:spPr>
                <a:solidFill>
                  <a:srgbClr val="FF0000"/>
                </a:solidFill>
                <a:ln w="9525" cap="flat" cmpd="sng" algn="ctr">
                  <a:solidFill>
                    <a:srgbClr val="FF3300">
                      <a:alpha val="0"/>
                    </a:srgb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s-ES"/>
                </a:p>
              </c:txPr>
              <c:showLegendKey val="0"/>
              <c:showVal val="0"/>
              <c:showCatName val="0"/>
              <c:showSerName val="1"/>
              <c:showPercent val="1"/>
              <c:showBubbleSize val="0"/>
              <c:separator> </c:separator>
              <c:extLst>
                <c:ext xmlns:c15="http://schemas.microsoft.com/office/drawing/2012/chart" uri="{CE6537A1-D6FC-4f65-9D91-7224C49458BB}">
                  <c15:spPr xmlns:c15="http://schemas.microsoft.com/office/drawing/2012/chart">
                    <a:prstGeom prst="roundRect">
                      <a:avLst/>
                    </a:prstGeom>
                    <a:noFill/>
                    <a:ln>
                      <a:noFill/>
                    </a:ln>
                  </c15:spPr>
                  <c15:layout>
                    <c:manualLayout>
                      <c:w val="0.40157683866186278"/>
                      <c:h val="0.25329193005803852"/>
                    </c:manualLayout>
                  </c15:layout>
                  <c15:dlblFieldTable/>
                  <c15:showDataLabelsRange val="0"/>
                </c:ext>
                <c:ext xmlns:c16="http://schemas.microsoft.com/office/drawing/2014/chart" uri="{C3380CC4-5D6E-409C-BE32-E72D297353CC}">
                  <c16:uniqueId val="{00000002-2701-4D26-AE00-B0CF1FD65575}"/>
                </c:ext>
              </c:extLst>
            </c:dLbl>
            <c:dLbl>
              <c:idx val="2"/>
              <c:layout>
                <c:manualLayout>
                  <c:x val="0.43050634294520723"/>
                  <c:y val="1.7370892018779352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r>
                      <a:rPr lang="en-US" sz="1400" b="1" baseline="0">
                        <a:solidFill>
                          <a:schemeClr val="bg1"/>
                        </a:solidFill>
                      </a:rPr>
                      <a:t>Eaten: </a:t>
                    </a:r>
                    <a:fld id="{A62F86A8-3F71-451D-8FC6-3734CC327106}" type="PERCENTAGE">
                      <a:rPr lang="en-US" sz="1400" b="1" baseline="0">
                        <a:solidFill>
                          <a:schemeClr val="bg1"/>
                        </a:solidFill>
                      </a:rPr>
                      <a:pPr>
                        <a:defRPr>
                          <a:solidFill>
                            <a:schemeClr val="bg1"/>
                          </a:solidFill>
                        </a:defRPr>
                      </a:pPr>
                      <a:t>[PERCENTAGE]</a:t>
                    </a:fld>
                    <a:endParaRPr lang="en-US" sz="1400" b="1" baseline="0">
                      <a:solidFill>
                        <a:schemeClr val="bg1"/>
                      </a:solidFill>
                    </a:endParaRPr>
                  </a:p>
                </c:rich>
              </c:tx>
              <c:numFmt formatCode="0.00%" sourceLinked="0"/>
              <c:spPr>
                <a:solidFill>
                  <a:schemeClr val="accent3">
                    <a:lumMod val="60000"/>
                    <a:lumOff val="40000"/>
                  </a:schemeClr>
                </a:solidFill>
                <a:ln w="9525" cap="flat" cmpd="sng" algn="ctr">
                  <a:solidFill>
                    <a:srgbClr val="FF3300">
                      <a:alpha val="0"/>
                    </a:srgb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s-ES"/>
                </a:p>
              </c:txPr>
              <c:showLegendKey val="0"/>
              <c:showVal val="0"/>
              <c:showCatName val="0"/>
              <c:showSerName val="1"/>
              <c:showPercent val="1"/>
              <c:showBubbleSize val="0"/>
              <c:separator> </c:separator>
              <c:extLst>
                <c:ext xmlns:c15="http://schemas.microsoft.com/office/drawing/2012/chart" uri="{CE6537A1-D6FC-4f65-9D91-7224C49458BB}">
                  <c15:spPr xmlns:c15="http://schemas.microsoft.com/office/drawing/2012/chart">
                    <a:prstGeom prst="roundRect">
                      <a:avLst/>
                    </a:prstGeom>
                    <a:noFill/>
                    <a:ln>
                      <a:noFill/>
                    </a:ln>
                  </c15:spPr>
                  <c15:layout>
                    <c:manualLayout>
                      <c:w val="0.40502783889226862"/>
                      <c:h val="0.233594321836531"/>
                    </c:manualLayout>
                  </c15:layout>
                  <c15:dlblFieldTable/>
                  <c15:showDataLabelsRange val="0"/>
                </c:ext>
                <c:ext xmlns:c16="http://schemas.microsoft.com/office/drawing/2014/chart" uri="{C3380CC4-5D6E-409C-BE32-E72D297353CC}">
                  <c16:uniqueId val="{00000001-2701-4D26-AE00-B0CF1FD65575}"/>
                </c:ext>
              </c:extLst>
            </c:dLbl>
            <c:numFmt formatCode="0.00%" sourceLinked="0"/>
            <c:spPr>
              <a:solidFill>
                <a:schemeClr val="accent3">
                  <a:lumMod val="60000"/>
                  <a:lumOff val="40000"/>
                </a:schemeClr>
              </a:solidFill>
              <a:ln>
                <a:solidFill>
                  <a:srgbClr val="FF3300">
                    <a:alpha val="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ES"/>
              </a:p>
            </c:txPr>
            <c:showLegendKey val="0"/>
            <c:showVal val="0"/>
            <c:showCatName val="0"/>
            <c:showSerName val="1"/>
            <c:showPercent val="1"/>
            <c:showBubbleSize val="0"/>
            <c:separator> </c:separator>
            <c:showLeaderLines val="0"/>
            <c:extLst>
              <c:ext xmlns:c15="http://schemas.microsoft.com/office/drawing/2012/chart" uri="{CE6537A1-D6FC-4f65-9D91-7224C49458BB}">
                <c15:spPr xmlns:c15="http://schemas.microsoft.com/office/drawing/2012/chart">
                  <a:prstGeom prst="roundRect">
                    <a:avLst/>
                  </a:prstGeom>
                  <a:noFill/>
                  <a:ln>
                    <a:noFill/>
                  </a:ln>
                </c15:spPr>
              </c:ext>
            </c:extLst>
          </c:dLbls>
          <c:val>
            <c:numRef>
              <c:f>(Dashboard!$G$5:$H$5,Dashboard!$L$5:$M$5)</c:f>
              <c:numCache>
                <c:formatCode>0.00</c:formatCode>
                <c:ptCount val="4"/>
                <c:pt idx="0">
                  <c:v>1579.73</c:v>
                </c:pt>
                <c:pt idx="2">
                  <c:v>620.26999999999987</c:v>
                </c:pt>
              </c:numCache>
            </c:numRef>
          </c:val>
          <c:extLst>
            <c:ext xmlns:c16="http://schemas.microsoft.com/office/drawing/2014/chart" uri="{C3380CC4-5D6E-409C-BE32-E72D297353CC}">
              <c16:uniqueId val="{00000000-2701-4D26-AE00-B0CF1FD65575}"/>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177800</xdr:rowOff>
    </xdr:from>
    <xdr:to>
      <xdr:col>5</xdr:col>
      <xdr:colOff>6350</xdr:colOff>
      <xdr:row>7</xdr:row>
      <xdr:rowOff>142268</xdr:rowOff>
    </xdr:to>
    <mc:AlternateContent xmlns:mc="http://schemas.openxmlformats.org/markup-compatibility/2006" xmlns:a14="http://schemas.microsoft.com/office/drawing/2010/main">
      <mc:Choice Requires="a14">
        <xdr:graphicFrame macro="">
          <xdr:nvGraphicFramePr>
            <xdr:cNvPr id="4" name="date_proteins">
              <a:extLst>
                <a:ext uri="{FF2B5EF4-FFF2-40B4-BE49-F238E27FC236}">
                  <a16:creationId xmlns:a16="http://schemas.microsoft.com/office/drawing/2014/main" id="{4A166F14-FCA8-4FE0-BE5A-EF1DE80AE041}"/>
                </a:ext>
              </a:extLst>
            </xdr:cNvPr>
            <xdr:cNvGraphicFramePr/>
          </xdr:nvGraphicFramePr>
          <xdr:xfrm>
            <a:off x="0" y="0"/>
            <a:ext cx="0" cy="0"/>
          </xdr:xfrm>
          <a:graphic>
            <a:graphicData uri="http://schemas.microsoft.com/office/drawing/2010/slicer">
              <sle:slicer xmlns:sle="http://schemas.microsoft.com/office/drawing/2010/slicer" name="date_proteins"/>
            </a:graphicData>
          </a:graphic>
        </xdr:graphicFrame>
      </mc:Choice>
      <mc:Fallback xmlns="">
        <xdr:sp macro="" textlink="">
          <xdr:nvSpPr>
            <xdr:cNvPr id="0" name=""/>
            <xdr:cNvSpPr>
              <a:spLocks noTextEdit="1"/>
            </xdr:cNvSpPr>
          </xdr:nvSpPr>
          <xdr:spPr>
            <a:xfrm>
              <a:off x="0" y="792000"/>
              <a:ext cx="3054350" cy="658368"/>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21</xdr:row>
      <xdr:rowOff>38100</xdr:rowOff>
    </xdr:from>
    <xdr:to>
      <xdr:col>8</xdr:col>
      <xdr:colOff>527050</xdr:colOff>
      <xdr:row>31</xdr:row>
      <xdr:rowOff>88900</xdr:rowOff>
    </xdr:to>
    <xdr:graphicFrame macro="">
      <xdr:nvGraphicFramePr>
        <xdr:cNvPr id="8" name="Chart 7">
          <a:extLst>
            <a:ext uri="{FF2B5EF4-FFF2-40B4-BE49-F238E27FC236}">
              <a16:creationId xmlns:a16="http://schemas.microsoft.com/office/drawing/2014/main" id="{FDC5C489-02BE-4E2F-97CF-C564B73581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11</xdr:row>
      <xdr:rowOff>19050</xdr:rowOff>
    </xdr:from>
    <xdr:to>
      <xdr:col>8</xdr:col>
      <xdr:colOff>393700</xdr:colOff>
      <xdr:row>21</xdr:row>
      <xdr:rowOff>69850</xdr:rowOff>
    </xdr:to>
    <xdr:graphicFrame macro="">
      <xdr:nvGraphicFramePr>
        <xdr:cNvPr id="9" name="Chart 8">
          <a:extLst>
            <a:ext uri="{FF2B5EF4-FFF2-40B4-BE49-F238E27FC236}">
              <a16:creationId xmlns:a16="http://schemas.microsoft.com/office/drawing/2014/main" id="{1A6970D3-E1E1-4294-ACB5-7EF434176D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514350</xdr:colOff>
      <xdr:row>11</xdr:row>
      <xdr:rowOff>50800</xdr:rowOff>
    </xdr:from>
    <xdr:to>
      <xdr:col>12</xdr:col>
      <xdr:colOff>247650</xdr:colOff>
      <xdr:row>29</xdr:row>
      <xdr:rowOff>63500</xdr:rowOff>
    </xdr:to>
    <xdr:graphicFrame macro="">
      <xdr:nvGraphicFramePr>
        <xdr:cNvPr id="11" name="Chart 10">
          <a:extLst>
            <a:ext uri="{FF2B5EF4-FFF2-40B4-BE49-F238E27FC236}">
              <a16:creationId xmlns:a16="http://schemas.microsoft.com/office/drawing/2014/main" id="{4DBE40D0-FCC1-4F18-8CEA-3FB157419F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558800</xdr:colOff>
      <xdr:row>11</xdr:row>
      <xdr:rowOff>38100</xdr:rowOff>
    </xdr:from>
    <xdr:to>
      <xdr:col>15</xdr:col>
      <xdr:colOff>393700</xdr:colOff>
      <xdr:row>29</xdr:row>
      <xdr:rowOff>76200</xdr:rowOff>
    </xdr:to>
    <xdr:graphicFrame macro="">
      <xdr:nvGraphicFramePr>
        <xdr:cNvPr id="2" name="Chart 1">
          <a:extLst>
            <a:ext uri="{FF2B5EF4-FFF2-40B4-BE49-F238E27FC236}">
              <a16:creationId xmlns:a16="http://schemas.microsoft.com/office/drawing/2014/main" id="{DA0A0E88-9E22-4F8B-AF6E-782974E602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120650</xdr:colOff>
      <xdr:row>11</xdr:row>
      <xdr:rowOff>44450</xdr:rowOff>
    </xdr:from>
    <xdr:to>
      <xdr:col>19</xdr:col>
      <xdr:colOff>171450</xdr:colOff>
      <xdr:row>29</xdr:row>
      <xdr:rowOff>69850</xdr:rowOff>
    </xdr:to>
    <xdr:graphicFrame macro="">
      <xdr:nvGraphicFramePr>
        <xdr:cNvPr id="3" name="Chart 2">
          <a:extLst>
            <a:ext uri="{FF2B5EF4-FFF2-40B4-BE49-F238E27FC236}">
              <a16:creationId xmlns:a16="http://schemas.microsoft.com/office/drawing/2014/main" id="{DAED04AB-D973-4094-9BBF-0577C66A65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146050</xdr:colOff>
      <xdr:row>5</xdr:row>
      <xdr:rowOff>6350</xdr:rowOff>
    </xdr:from>
    <xdr:to>
      <xdr:col>14</xdr:col>
      <xdr:colOff>6349</xdr:colOff>
      <xdr:row>12</xdr:row>
      <xdr:rowOff>69850</xdr:rowOff>
    </xdr:to>
    <xdr:graphicFrame macro="">
      <xdr:nvGraphicFramePr>
        <xdr:cNvPr id="24" name="Chart 4">
          <a:extLst>
            <a:ext uri="{FF2B5EF4-FFF2-40B4-BE49-F238E27FC236}">
              <a16:creationId xmlns:a16="http://schemas.microsoft.com/office/drawing/2014/main" id="{256953F7-3092-AC1E-B206-C8350350DA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Fernando Sánchez Olmo" id="{5AF29EEE-5CF7-42FB-BFDF-0AB1CAF930B4}" userId="bb8e3d2de811e2f8"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ernando Sánchez Olmo" refreshedDate="45249.65505277778" createdVersion="8" refreshedVersion="8" minRefreshableVersion="3" recordCount="87" xr:uid="{A950CA39-C6C7-40EE-AC63-363E37319625}">
  <cacheSource type="worksheet">
    <worksheetSource name="registry"/>
  </cacheSource>
  <cacheFields count="15">
    <cacheField name="date" numFmtId="14">
      <sharedItems containsSemiMixedTypes="0" containsNonDate="0" containsDate="1" containsString="0" minDate="2023-11-05T00:00:00" maxDate="2023-12-03T00:00:00" count="28">
        <d v="2023-11-11T00:00:00"/>
        <d v="2023-11-12T00:00:00"/>
        <d v="2023-11-13T00:00:00"/>
        <d v="2023-11-14T00:00:00"/>
        <d v="2023-11-16T00:00:00"/>
        <d v="2023-11-17T00:00:00"/>
        <d v="2023-11-18T00:00:00"/>
        <d v="2023-11-19T00:00:00"/>
        <d v="2023-11-05T00:00:00" u="1"/>
        <d v="2023-11-06T00:00:00" u="1"/>
        <d v="2023-11-07T00:00:00" u="1"/>
        <d v="2023-11-08T00:00:00" u="1"/>
        <d v="2023-11-09T00:00:00" u="1"/>
        <d v="2023-11-10T00:00:00" u="1"/>
        <d v="2023-11-15T00:00:00" u="1"/>
        <d v="2023-11-20T00:00:00" u="1"/>
        <d v="2023-11-21T00:00:00" u="1"/>
        <d v="2023-11-22T00:00:00" u="1"/>
        <d v="2023-11-23T00:00:00" u="1"/>
        <d v="2023-11-24T00:00:00" u="1"/>
        <d v="2023-11-25T00:00:00" u="1"/>
        <d v="2023-11-26T00:00:00" u="1"/>
        <d v="2023-11-27T00:00:00" u="1"/>
        <d v="2023-11-28T00:00:00" u="1"/>
        <d v="2023-11-29T00:00:00" u="1"/>
        <d v="2023-11-30T00:00:00" u="1"/>
        <d v="2023-12-01T00:00:00" u="1"/>
        <d v="2023-12-02T00:00:00" u="1"/>
      </sharedItems>
    </cacheField>
    <cacheField name="food_name" numFmtId="0">
      <sharedItems containsBlank="1" count="25">
        <s v="cofee"/>
        <s v="chickpeas"/>
        <s v="onion"/>
        <s v="tomatos"/>
        <s v="tuna"/>
        <s v="bananas"/>
        <s v="oats"/>
        <s v="soya milk"/>
        <s v="Cacao Puro"/>
        <s v="Hi-Fibre Batch"/>
        <s v="ham"/>
        <s v="hummus"/>
        <s v="tescoWholPasta"/>
        <s v="breadBrownMalted"/>
        <s v="Beef"/>
        <s v="Espirulina"/>
        <s v="PE WheyProtein"/>
        <s v="red fruits"/>
        <m u="1"/>
        <s v="chocolate" u="1"/>
        <s v="olive oil" u="1"/>
        <s v="pasta" u="1"/>
        <s v="whey protein" u="1"/>
        <s v="serrano ham" u="1"/>
        <s v="rice" u="1"/>
      </sharedItems>
    </cacheField>
    <cacheField name="gr_eaten" numFmtId="0">
      <sharedItems containsSemiMixedTypes="0" containsString="0" containsNumber="1" minValue="3" maxValue="480"/>
    </cacheField>
    <cacheField name="prot_eaten" numFmtId="0">
      <sharedItems containsSemiMixedTypes="0" containsString="0" containsNumber="1" minValue="3.5999999999999999E-3" maxValue="66.900000000000006"/>
    </cacheField>
    <cacheField name="carb_eaten" numFmtId="0">
      <sharedItems containsSemiMixedTypes="0" containsString="0" containsNumber="1" minValue="0" maxValue="125.69999999999999"/>
    </cacheField>
    <cacheField name="fat_eaten" numFmtId="0">
      <sharedItems containsSemiMixedTypes="0" containsString="0" containsNumber="1" minValue="0" maxValue="16.464000000000002"/>
    </cacheField>
    <cacheField name="calsTotal" numFmtId="0">
      <sharedItems containsSemiMixedTypes="0" containsString="0" containsNumber="1" minValue="0.03" maxValue="752"/>
    </cacheField>
    <cacheField name="weight" numFmtId="0">
      <sharedItems containsSemiMixedTypes="0" containsString="0" containsNumber="1" containsInteger="1" minValue="66" maxValue="66"/>
    </cacheField>
    <cacheField name="minW" numFmtId="0">
      <sharedItems containsSemiMixedTypes="0" containsString="0" containsNumber="1" minValue="68.802352941176466" maxValue="68.802352941176466"/>
    </cacheField>
    <cacheField name="maxW" numFmtId="0">
      <sharedItems containsSemiMixedTypes="0" containsString="0" containsNumber="1" minValue="86.002941176470586" maxValue="86.002941176470586"/>
    </cacheField>
    <cacheField name="optimalW" numFmtId="0">
      <sharedItems containsSemiMixedTypes="0" containsString="0" containsNumber="1" containsInteger="1" minValue="71" maxValue="71"/>
    </cacheField>
    <cacheField name="musc_mass" numFmtId="0">
      <sharedItems containsSemiMixedTypes="0" containsString="0" containsNumber="1" containsInteger="1" minValue="51" maxValue="73"/>
    </cacheField>
    <cacheField name="min_mm" numFmtId="0">
      <sharedItems containsSemiMixedTypes="0" containsString="0" containsNumber="1" minValue="58.481999999999992" maxValue="58.481999999999992"/>
    </cacheField>
    <cacheField name="max_mm" numFmtId="0">
      <sharedItems containsSemiMixedTypes="0" containsString="0" containsNumber="1" minValue="73.102499999999992" maxValue="73.102499999999992"/>
    </cacheField>
    <cacheField name="opt_musMass" numFmtId="0">
      <sharedItems containsSemiMixedTypes="0" containsString="0" containsNumber="1" minValue="60.35" maxValue="60.35"/>
    </cacheField>
  </cacheFields>
  <extLst>
    <ext xmlns:x14="http://schemas.microsoft.com/office/spreadsheetml/2009/9/main" uri="{725AE2AE-9491-48be-B2B4-4EB974FC3084}">
      <x14:pivotCacheDefinition pivotCacheId="20450636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7">
  <r>
    <x v="0"/>
    <x v="0"/>
    <n v="3"/>
    <n v="3.5999999999999999E-3"/>
    <n v="1.2000000000000001E-3"/>
    <n v="6.0000000000000006E-4"/>
    <n v="0.03"/>
    <n v="66"/>
    <n v="68.802352941176466"/>
    <n v="86.002941176470586"/>
    <n v="71"/>
    <n v="51"/>
    <n v="58.481999999999992"/>
    <n v="73.102499999999992"/>
    <n v="60.35"/>
  </r>
  <r>
    <x v="0"/>
    <x v="0"/>
    <n v="3"/>
    <n v="3.5999999999999999E-3"/>
    <n v="1.2000000000000001E-3"/>
    <n v="6.0000000000000006E-4"/>
    <n v="0.03"/>
    <n v="66"/>
    <n v="68.802352941176466"/>
    <n v="86.002941176470586"/>
    <n v="71"/>
    <n v="51"/>
    <n v="58.481999999999992"/>
    <n v="73.102499999999992"/>
    <n v="60.35"/>
  </r>
  <r>
    <x v="0"/>
    <x v="1"/>
    <n v="240"/>
    <n v="16.080000000000002"/>
    <n v="32.64"/>
    <n v="5.28"/>
    <n v="276"/>
    <n v="66"/>
    <n v="68.802352941176466"/>
    <n v="86.002941176470586"/>
    <n v="71"/>
    <n v="51"/>
    <n v="58.481999999999992"/>
    <n v="73.102499999999992"/>
    <n v="60.35"/>
  </r>
  <r>
    <x v="0"/>
    <x v="1"/>
    <n v="240"/>
    <n v="16.080000000000002"/>
    <n v="32.64"/>
    <n v="5.28"/>
    <n v="276"/>
    <n v="66"/>
    <n v="68.802352941176466"/>
    <n v="86.002941176470586"/>
    <n v="71"/>
    <n v="51"/>
    <n v="58.481999999999992"/>
    <n v="73.102499999999992"/>
    <n v="60.35"/>
  </r>
  <r>
    <x v="0"/>
    <x v="2"/>
    <n v="76"/>
    <n v="0.76"/>
    <n v="7.7519999999999998"/>
    <n v="0.152"/>
    <n v="31.92"/>
    <n v="66"/>
    <n v="68.802352941176466"/>
    <n v="86.002941176470586"/>
    <n v="71"/>
    <n v="51"/>
    <n v="58.481999999999992"/>
    <n v="73.102499999999992"/>
    <n v="60.35"/>
  </r>
  <r>
    <x v="0"/>
    <x v="3"/>
    <n v="77.25"/>
    <n v="0.69525000000000003"/>
    <n v="2.7037500000000003"/>
    <n v="0.1545"/>
    <n v="15.45"/>
    <n v="66"/>
    <n v="68.802352941176466"/>
    <n v="86.002941176470586"/>
    <n v="71"/>
    <n v="51"/>
    <n v="58.481999999999992"/>
    <n v="73.102499999999992"/>
    <n v="60.35"/>
  </r>
  <r>
    <x v="0"/>
    <x v="4"/>
    <n v="120"/>
    <n v="28.2"/>
    <n v="0"/>
    <n v="0.72"/>
    <n v="118.8"/>
    <n v="66"/>
    <n v="68.802352941176466"/>
    <n v="86.002941176470586"/>
    <n v="71"/>
    <n v="51"/>
    <n v="58.481999999999992"/>
    <n v="73.102499999999992"/>
    <n v="60.35"/>
  </r>
  <r>
    <x v="0"/>
    <x v="5"/>
    <n v="71"/>
    <n v="0.56800000000000006"/>
    <n v="15.193999999999999"/>
    <n v="0"/>
    <n v="58.93"/>
    <n v="66"/>
    <n v="68.802352941176466"/>
    <n v="86.002941176470586"/>
    <n v="71"/>
    <n v="51"/>
    <n v="58.481999999999992"/>
    <n v="73.102499999999992"/>
    <n v="60.35"/>
  </r>
  <r>
    <x v="0"/>
    <x v="6"/>
    <n v="191"/>
    <n v="21.01"/>
    <n v="115.36399999999999"/>
    <n v="15.661999999999997"/>
    <n v="718.16"/>
    <n v="66"/>
    <n v="68.802352941176466"/>
    <n v="86.002941176470586"/>
    <n v="71"/>
    <n v="51"/>
    <n v="58.481999999999992"/>
    <n v="73.102499999999992"/>
    <n v="60.35"/>
  </r>
  <r>
    <x v="0"/>
    <x v="7"/>
    <n v="253"/>
    <n v="8.6020000000000003"/>
    <n v="6.5780000000000003"/>
    <n v="4.8069999999999995"/>
    <n v="106.26"/>
    <n v="66"/>
    <n v="68.802352941176466"/>
    <n v="86.002941176470586"/>
    <n v="71"/>
    <n v="51"/>
    <n v="58.481999999999992"/>
    <n v="73.102499999999992"/>
    <n v="60.35"/>
  </r>
  <r>
    <x v="0"/>
    <x v="8"/>
    <n v="8"/>
    <n v="2.16"/>
    <n v="1.44"/>
    <n v="0.88"/>
    <n v="27.52"/>
    <n v="66"/>
    <n v="68.802352941176466"/>
    <n v="86.002941176470586"/>
    <n v="71"/>
    <n v="51"/>
    <n v="58.481999999999992"/>
    <n v="73.102499999999992"/>
    <n v="60.35"/>
  </r>
  <r>
    <x v="0"/>
    <x v="9"/>
    <n v="147"/>
    <n v="14.258999999999999"/>
    <n v="58.800000000000004"/>
    <n v="2.0579999999999998"/>
    <n v="323.39999999999998"/>
    <n v="66"/>
    <n v="68.802352941176466"/>
    <n v="86.002941176470586"/>
    <n v="71"/>
    <n v="51"/>
    <n v="58.481999999999992"/>
    <n v="73.102499999999992"/>
    <n v="60.35"/>
  </r>
  <r>
    <x v="0"/>
    <x v="10"/>
    <n v="100"/>
    <n v="18.600000000000001"/>
    <n v="0.5"/>
    <n v="2.4"/>
    <n v="100"/>
    <n v="66"/>
    <n v="68.802352941176466"/>
    <n v="86.002941176470586"/>
    <n v="71"/>
    <n v="51"/>
    <n v="58.481999999999992"/>
    <n v="73.102499999999992"/>
    <n v="60.35"/>
  </r>
  <r>
    <x v="1"/>
    <x v="10"/>
    <n v="116"/>
    <n v="21.576000000000004"/>
    <n v="0.57999999999999996"/>
    <n v="2.7840000000000003"/>
    <n v="116"/>
    <n v="66"/>
    <n v="68.802352941176466"/>
    <n v="86.002941176470586"/>
    <n v="71"/>
    <n v="51"/>
    <n v="58.481999999999992"/>
    <n v="73.102499999999992"/>
    <n v="60.35"/>
  </r>
  <r>
    <x v="1"/>
    <x v="11"/>
    <n v="98"/>
    <n v="5.194"/>
    <n v="11.76"/>
    <n v="16.464000000000002"/>
    <n v="224.42"/>
    <n v="66"/>
    <n v="68.802352941176466"/>
    <n v="86.002941176470586"/>
    <n v="71"/>
    <n v="51"/>
    <n v="58.481999999999992"/>
    <n v="73.102499999999992"/>
    <n v="60.35"/>
  </r>
  <r>
    <x v="1"/>
    <x v="9"/>
    <n v="261"/>
    <n v="25.316999999999997"/>
    <n v="104.4"/>
    <n v="3.6539999999999995"/>
    <n v="574.20000000000005"/>
    <n v="66"/>
    <n v="68.802352941176466"/>
    <n v="86.002941176470586"/>
    <n v="71"/>
    <n v="51"/>
    <n v="58.481999999999992"/>
    <n v="73.102499999999992"/>
    <n v="60.35"/>
  </r>
  <r>
    <x v="1"/>
    <x v="0"/>
    <n v="3"/>
    <n v="3.5999999999999999E-3"/>
    <n v="1.2000000000000001E-3"/>
    <n v="6.0000000000000006E-4"/>
    <n v="0.03"/>
    <n v="66"/>
    <n v="68.802352941176466"/>
    <n v="86.002941176470586"/>
    <n v="71"/>
    <n v="51"/>
    <n v="58.481999999999992"/>
    <n v="73.102499999999992"/>
    <n v="60.35"/>
  </r>
  <r>
    <x v="1"/>
    <x v="0"/>
    <n v="3"/>
    <n v="3.5999999999999999E-3"/>
    <n v="1.2000000000000001E-3"/>
    <n v="6.0000000000000006E-4"/>
    <n v="0.03"/>
    <n v="66"/>
    <n v="68.802352941176466"/>
    <n v="86.002941176470586"/>
    <n v="71"/>
    <n v="51"/>
    <n v="58.481999999999992"/>
    <n v="73.102499999999992"/>
    <n v="60.35"/>
  </r>
  <r>
    <x v="1"/>
    <x v="0"/>
    <n v="3"/>
    <n v="3.5999999999999999E-3"/>
    <n v="1.2000000000000001E-3"/>
    <n v="6.0000000000000006E-4"/>
    <n v="0.03"/>
    <n v="66"/>
    <n v="68.802352941176466"/>
    <n v="86.002941176470586"/>
    <n v="71"/>
    <n v="51"/>
    <n v="58.481999999999992"/>
    <n v="73.102499999999992"/>
    <n v="60.35"/>
  </r>
  <r>
    <x v="1"/>
    <x v="1"/>
    <n v="240"/>
    <n v="16.080000000000002"/>
    <n v="32.64"/>
    <n v="5.28"/>
    <n v="276"/>
    <n v="66"/>
    <n v="68.802352941176466"/>
    <n v="86.002941176470586"/>
    <n v="71"/>
    <n v="51"/>
    <n v="58.481999999999992"/>
    <n v="73.102499999999992"/>
    <n v="60.35"/>
  </r>
  <r>
    <x v="1"/>
    <x v="1"/>
    <n v="240"/>
    <n v="16.080000000000002"/>
    <n v="32.64"/>
    <n v="5.28"/>
    <n v="276"/>
    <n v="66"/>
    <n v="68.802352941176466"/>
    <n v="86.002941176470586"/>
    <n v="71"/>
    <n v="51"/>
    <n v="58.481999999999992"/>
    <n v="73.102499999999992"/>
    <n v="60.35"/>
  </r>
  <r>
    <x v="1"/>
    <x v="2"/>
    <n v="70"/>
    <n v="0.70000000000000007"/>
    <n v="7.14"/>
    <n v="0.14000000000000001"/>
    <n v="29.4"/>
    <n v="66"/>
    <n v="68.802352941176466"/>
    <n v="86.002941176470586"/>
    <n v="71"/>
    <n v="51"/>
    <n v="58.481999999999992"/>
    <n v="73.102499999999992"/>
    <n v="60.35"/>
  </r>
  <r>
    <x v="1"/>
    <x v="9"/>
    <n v="132"/>
    <n v="12.803999999999998"/>
    <n v="52.800000000000004"/>
    <n v="1.8479999999999999"/>
    <n v="290.39999999999998"/>
    <n v="66"/>
    <n v="68.802352941176466"/>
    <n v="86.002941176470586"/>
    <n v="71"/>
    <n v="51"/>
    <n v="58.481999999999992"/>
    <n v="73.102499999999992"/>
    <n v="60.35"/>
  </r>
  <r>
    <x v="1"/>
    <x v="5"/>
    <n v="71"/>
    <n v="0.56800000000000006"/>
    <n v="15.193999999999999"/>
    <n v="0"/>
    <n v="58.93"/>
    <n v="66"/>
    <n v="68.802352941176466"/>
    <n v="86.002941176470586"/>
    <n v="71"/>
    <n v="51"/>
    <n v="58.481999999999992"/>
    <n v="73.102499999999992"/>
    <n v="60.35"/>
  </r>
  <r>
    <x v="1"/>
    <x v="6"/>
    <n v="180"/>
    <n v="19.8"/>
    <n v="108.72"/>
    <n v="14.759999999999998"/>
    <n v="676.8"/>
    <n v="66"/>
    <n v="68.802352941176466"/>
    <n v="86.002941176470586"/>
    <n v="71"/>
    <n v="51"/>
    <n v="58.481999999999992"/>
    <n v="73.102499999999992"/>
    <n v="60.35"/>
  </r>
  <r>
    <x v="1"/>
    <x v="7"/>
    <n v="180"/>
    <n v="6.12"/>
    <n v="4.6800000000000006"/>
    <n v="3.42"/>
    <n v="75.599999999999994"/>
    <n v="66"/>
    <n v="68.802352941176466"/>
    <n v="86.002941176470586"/>
    <n v="71"/>
    <n v="51"/>
    <n v="58.481999999999992"/>
    <n v="73.102499999999992"/>
    <n v="60.35"/>
  </r>
  <r>
    <x v="2"/>
    <x v="12"/>
    <n v="200"/>
    <n v="10.8"/>
    <n v="65.8"/>
    <n v="0.4"/>
    <n v="336"/>
    <n v="66"/>
    <n v="68.802352941176466"/>
    <n v="86.002941176470586"/>
    <n v="71"/>
    <n v="51"/>
    <n v="58.481999999999992"/>
    <n v="73.102499999999992"/>
    <n v="60.35"/>
  </r>
  <r>
    <x v="2"/>
    <x v="11"/>
    <n v="95"/>
    <n v="5.0350000000000001"/>
    <n v="11.4"/>
    <n v="15.96"/>
    <n v="217.55"/>
    <n v="66"/>
    <n v="68.802352941176466"/>
    <n v="86.002941176470586"/>
    <n v="71"/>
    <n v="51"/>
    <n v="58.481999999999992"/>
    <n v="73.102499999999992"/>
    <n v="60.35"/>
  </r>
  <r>
    <x v="2"/>
    <x v="0"/>
    <n v="3"/>
    <n v="3.5999999999999999E-3"/>
    <n v="1.2000000000000001E-3"/>
    <n v="6.0000000000000006E-4"/>
    <n v="0.03"/>
    <n v="66"/>
    <n v="68.802352941176466"/>
    <n v="86.002941176470586"/>
    <n v="71"/>
    <n v="51"/>
    <n v="58.481999999999992"/>
    <n v="73.102499999999992"/>
    <n v="60.35"/>
  </r>
  <r>
    <x v="2"/>
    <x v="0"/>
    <n v="3"/>
    <n v="3.5999999999999999E-3"/>
    <n v="1.2000000000000001E-3"/>
    <n v="6.0000000000000006E-4"/>
    <n v="0.03"/>
    <n v="66"/>
    <n v="68.802352941176466"/>
    <n v="86.002941176470586"/>
    <n v="71"/>
    <n v="51"/>
    <n v="58.481999999999992"/>
    <n v="73.102499999999992"/>
    <n v="60.35"/>
  </r>
  <r>
    <x v="2"/>
    <x v="0"/>
    <n v="3"/>
    <n v="3.5999999999999999E-3"/>
    <n v="1.2000000000000001E-3"/>
    <n v="6.0000000000000006E-4"/>
    <n v="0.03"/>
    <n v="66"/>
    <n v="68.802352941176466"/>
    <n v="86.002941176470586"/>
    <n v="71"/>
    <n v="51"/>
    <n v="58.481999999999992"/>
    <n v="73.102499999999992"/>
    <n v="60.35"/>
  </r>
  <r>
    <x v="2"/>
    <x v="9"/>
    <n v="261"/>
    <n v="25.316999999999997"/>
    <n v="104.4"/>
    <n v="3.6539999999999995"/>
    <n v="574.20000000000005"/>
    <n v="66"/>
    <n v="68.802352941176466"/>
    <n v="86.002941176470586"/>
    <n v="71"/>
    <n v="51"/>
    <n v="58.481999999999992"/>
    <n v="73.102499999999992"/>
    <n v="60.35"/>
  </r>
  <r>
    <x v="2"/>
    <x v="6"/>
    <n v="200"/>
    <n v="22"/>
    <n v="120.8"/>
    <n v="16.399999999999999"/>
    <n v="752"/>
    <n v="66"/>
    <n v="68.802352941176466"/>
    <n v="86.002941176470586"/>
    <n v="71"/>
    <n v="51"/>
    <n v="58.481999999999992"/>
    <n v="73.102499999999992"/>
    <n v="60.35"/>
  </r>
  <r>
    <x v="2"/>
    <x v="5"/>
    <n v="81"/>
    <n v="0.64800000000000002"/>
    <n v="17.334"/>
    <n v="0"/>
    <n v="67.23"/>
    <n v="66"/>
    <n v="68.802352941176466"/>
    <n v="86.002941176470586"/>
    <n v="71"/>
    <n v="51"/>
    <n v="58.481999999999992"/>
    <n v="73.102499999999992"/>
    <n v="60.35"/>
  </r>
  <r>
    <x v="2"/>
    <x v="7"/>
    <n v="312"/>
    <n v="10.608000000000001"/>
    <n v="8.1120000000000001"/>
    <n v="5.9279999999999999"/>
    <n v="131.04"/>
    <n v="66"/>
    <n v="68.802352941176466"/>
    <n v="86.002941176470586"/>
    <n v="71"/>
    <n v="51"/>
    <n v="58.481999999999992"/>
    <n v="73.102499999999992"/>
    <n v="60.35"/>
  </r>
  <r>
    <x v="2"/>
    <x v="8"/>
    <n v="7"/>
    <n v="1.8900000000000001"/>
    <n v="1.26"/>
    <n v="0.77"/>
    <n v="24.08"/>
    <n v="66"/>
    <n v="68.802352941176466"/>
    <n v="86.002941176470586"/>
    <n v="71"/>
    <n v="51"/>
    <n v="58.481999999999992"/>
    <n v="73.102499999999992"/>
    <n v="60.35"/>
  </r>
  <r>
    <x v="3"/>
    <x v="0"/>
    <n v="3"/>
    <n v="3.5999999999999999E-3"/>
    <n v="1.2000000000000001E-3"/>
    <n v="6.0000000000000006E-4"/>
    <n v="0.03"/>
    <n v="66"/>
    <n v="68.802352941176466"/>
    <n v="86.002941176470586"/>
    <n v="71"/>
    <n v="51"/>
    <n v="58.481999999999992"/>
    <n v="73.102499999999992"/>
    <n v="60.35"/>
  </r>
  <r>
    <x v="3"/>
    <x v="0"/>
    <n v="3"/>
    <n v="3.5999999999999999E-3"/>
    <n v="1.2000000000000001E-3"/>
    <n v="6.0000000000000006E-4"/>
    <n v="0.03"/>
    <n v="66"/>
    <n v="68.802352941176466"/>
    <n v="86.002941176470586"/>
    <n v="71"/>
    <n v="51"/>
    <n v="58.481999999999992"/>
    <n v="73.102499999999992"/>
    <n v="60.35"/>
  </r>
  <r>
    <x v="3"/>
    <x v="0"/>
    <n v="3"/>
    <n v="3.5999999999999999E-3"/>
    <n v="1.2000000000000001E-3"/>
    <n v="6.0000000000000006E-4"/>
    <n v="0.03"/>
    <n v="66"/>
    <n v="68.802352941176466"/>
    <n v="86.002941176470586"/>
    <n v="71"/>
    <n v="51"/>
    <n v="58.481999999999992"/>
    <n v="73.102499999999992"/>
    <n v="60.35"/>
  </r>
  <r>
    <x v="3"/>
    <x v="13"/>
    <n v="226"/>
    <n v="24.634"/>
    <n v="94.694000000000003"/>
    <n v="2.9380000000000002"/>
    <n v="526.58000000000004"/>
    <n v="66"/>
    <n v="68.802352941176466"/>
    <n v="86.002941176470586"/>
    <n v="71"/>
    <n v="51"/>
    <n v="58.481999999999992"/>
    <n v="73.102499999999992"/>
    <n v="60.35"/>
  </r>
  <r>
    <x v="3"/>
    <x v="10"/>
    <n v="47"/>
    <n v="8.7420000000000009"/>
    <n v="0.23500000000000001"/>
    <n v="1.1280000000000001"/>
    <n v="47"/>
    <n v="66"/>
    <n v="68.802352941176466"/>
    <n v="86.002941176470586"/>
    <n v="71"/>
    <n v="51"/>
    <n v="58.481999999999992"/>
    <n v="73.102499999999992"/>
    <n v="60.35"/>
  </r>
  <r>
    <x v="4"/>
    <x v="0"/>
    <n v="3"/>
    <n v="3.5999999999999999E-3"/>
    <n v="1.2000000000000001E-3"/>
    <n v="6.0000000000000006E-4"/>
    <n v="0.03"/>
    <n v="66"/>
    <n v="68.802352941176466"/>
    <n v="86.002941176470586"/>
    <n v="71"/>
    <n v="51"/>
    <n v="58.481999999999992"/>
    <n v="73.102499999999992"/>
    <n v="60.35"/>
  </r>
  <r>
    <x v="4"/>
    <x v="0"/>
    <n v="3"/>
    <n v="3.5999999999999999E-3"/>
    <n v="1.2000000000000001E-3"/>
    <n v="6.0000000000000006E-4"/>
    <n v="0.03"/>
    <n v="66"/>
    <n v="68.802352941176466"/>
    <n v="86.002941176470586"/>
    <n v="71"/>
    <n v="51"/>
    <n v="58.481999999999992"/>
    <n v="73.102499999999992"/>
    <n v="60.35"/>
  </r>
  <r>
    <x v="4"/>
    <x v="0"/>
    <n v="3"/>
    <n v="3.5999999999999999E-3"/>
    <n v="1.2000000000000001E-3"/>
    <n v="6.0000000000000006E-4"/>
    <n v="0.03"/>
    <n v="66"/>
    <n v="68.802352941176466"/>
    <n v="86.002941176470586"/>
    <n v="71"/>
    <n v="51"/>
    <n v="58.481999999999992"/>
    <n v="73.102499999999992"/>
    <n v="60.35"/>
  </r>
  <r>
    <x v="4"/>
    <x v="13"/>
    <n v="300"/>
    <n v="32.700000000000003"/>
    <n v="125.69999999999999"/>
    <n v="3.9000000000000004"/>
    <n v="699"/>
    <n v="66"/>
    <n v="68.802352941176466"/>
    <n v="86.002941176470586"/>
    <n v="71"/>
    <n v="51"/>
    <n v="58.481999999999992"/>
    <n v="73.102499999999992"/>
    <n v="60.35"/>
  </r>
  <r>
    <x v="4"/>
    <x v="14"/>
    <n v="300"/>
    <n v="66.900000000000006"/>
    <n v="0"/>
    <n v="9"/>
    <n v="351"/>
    <n v="66"/>
    <n v="68.802352941176466"/>
    <n v="86.002941176470586"/>
    <n v="71"/>
    <n v="51"/>
    <n v="58.481999999999992"/>
    <n v="73.102499999999992"/>
    <n v="60.35"/>
  </r>
  <r>
    <x v="4"/>
    <x v="5"/>
    <n v="110"/>
    <n v="0.88"/>
    <n v="23.54"/>
    <n v="0"/>
    <n v="91.3"/>
    <n v="66"/>
    <n v="68.802352941176466"/>
    <n v="86.002941176470586"/>
    <n v="71"/>
    <n v="51"/>
    <n v="58.481999999999992"/>
    <n v="73.102499999999992"/>
    <n v="60.35"/>
  </r>
  <r>
    <x v="4"/>
    <x v="15"/>
    <n v="5"/>
    <n v="3.35"/>
    <n v="0.75"/>
    <n v="4.5000000000000005E-2"/>
    <n v="17.25"/>
    <n v="66"/>
    <n v="68.802352941176466"/>
    <n v="86.002941176470586"/>
    <n v="71"/>
    <n v="51"/>
    <n v="58.481999999999992"/>
    <n v="73.102499999999992"/>
    <n v="60.35"/>
  </r>
  <r>
    <x v="4"/>
    <x v="16"/>
    <n v="30"/>
    <n v="20.7"/>
    <n v="1.3499999999999999"/>
    <n v="1.08"/>
    <n v="98.4"/>
    <n v="66"/>
    <n v="68.802352941176466"/>
    <n v="86.002941176470586"/>
    <n v="71"/>
    <n v="51"/>
    <n v="58.481999999999992"/>
    <n v="73.102499999999992"/>
    <n v="60.35"/>
  </r>
  <r>
    <x v="4"/>
    <x v="6"/>
    <n v="180"/>
    <n v="19.8"/>
    <n v="108.72"/>
    <n v="14.759999999999998"/>
    <n v="676.8"/>
    <n v="66"/>
    <n v="68.802352941176466"/>
    <n v="86.002941176470586"/>
    <n v="71"/>
    <n v="51"/>
    <n v="58.481999999999992"/>
    <n v="73.102499999999992"/>
    <n v="60.35"/>
  </r>
  <r>
    <x v="4"/>
    <x v="5"/>
    <n v="110"/>
    <n v="0.88"/>
    <n v="23.54"/>
    <n v="0"/>
    <n v="91.3"/>
    <n v="66"/>
    <n v="68.802352941176466"/>
    <n v="86.002941176470586"/>
    <n v="71"/>
    <n v="51"/>
    <n v="58.481999999999992"/>
    <n v="73.102499999999992"/>
    <n v="60.35"/>
  </r>
  <r>
    <x v="4"/>
    <x v="17"/>
    <n v="110"/>
    <n v="1.1000000000000001"/>
    <n v="5.94"/>
    <n v="0"/>
    <n v="41.8"/>
    <n v="66"/>
    <n v="68.802352941176466"/>
    <n v="86.002941176470586"/>
    <n v="71"/>
    <n v="51"/>
    <n v="58.481999999999992"/>
    <n v="73.102499999999992"/>
    <n v="60.35"/>
  </r>
  <r>
    <x v="4"/>
    <x v="7"/>
    <n v="200"/>
    <n v="6.8000000000000007"/>
    <n v="5.2"/>
    <n v="3.8"/>
    <n v="84"/>
    <n v="66"/>
    <n v="68.802352941176466"/>
    <n v="86.002941176470586"/>
    <n v="71"/>
    <n v="51"/>
    <n v="58.481999999999992"/>
    <n v="73.102499999999992"/>
    <n v="60.35"/>
  </r>
  <r>
    <x v="5"/>
    <x v="0"/>
    <n v="3"/>
    <n v="3.5999999999999999E-3"/>
    <n v="1.2000000000000001E-3"/>
    <n v="6.0000000000000006E-4"/>
    <n v="0.03"/>
    <n v="66"/>
    <n v="68.802352941176466"/>
    <n v="86.002941176470586"/>
    <n v="71"/>
    <n v="51"/>
    <n v="58.481999999999992"/>
    <n v="73.102499999999992"/>
    <n v="60.35"/>
  </r>
  <r>
    <x v="5"/>
    <x v="0"/>
    <n v="3"/>
    <n v="3.5999999999999999E-3"/>
    <n v="1.2000000000000001E-3"/>
    <n v="6.0000000000000006E-4"/>
    <n v="0.03"/>
    <n v="66"/>
    <n v="68.802352941176466"/>
    <n v="86.002941176470586"/>
    <n v="71"/>
    <n v="51"/>
    <n v="58.481999999999992"/>
    <n v="73.102499999999992"/>
    <n v="60.35"/>
  </r>
  <r>
    <x v="5"/>
    <x v="0"/>
    <n v="3"/>
    <n v="3.5999999999999999E-3"/>
    <n v="1.2000000000000001E-3"/>
    <n v="6.0000000000000006E-4"/>
    <n v="0.03"/>
    <n v="66"/>
    <n v="68.802352941176466"/>
    <n v="86.002941176470586"/>
    <n v="71"/>
    <n v="51"/>
    <n v="58.481999999999992"/>
    <n v="73.102499999999992"/>
    <n v="60.35"/>
  </r>
  <r>
    <x v="5"/>
    <x v="1"/>
    <n v="480"/>
    <n v="32.160000000000004"/>
    <n v="65.28"/>
    <n v="10.56"/>
    <n v="552"/>
    <n v="66"/>
    <n v="68.802352941176466"/>
    <n v="86.002941176470586"/>
    <n v="71"/>
    <n v="51"/>
    <n v="58.481999999999992"/>
    <n v="73.102499999999992"/>
    <n v="60.35"/>
  </r>
  <r>
    <x v="5"/>
    <x v="3"/>
    <n v="140"/>
    <n v="1.2600000000000002"/>
    <n v="4.9000000000000004"/>
    <n v="0.28000000000000003"/>
    <n v="28"/>
    <n v="66"/>
    <n v="68.802352941176466"/>
    <n v="86.002941176470586"/>
    <n v="71"/>
    <n v="51"/>
    <n v="58.481999999999992"/>
    <n v="73.102499999999992"/>
    <n v="60.35"/>
  </r>
  <r>
    <x v="5"/>
    <x v="4"/>
    <n v="102"/>
    <n v="23.97"/>
    <n v="0"/>
    <n v="0.61199999999999999"/>
    <n v="100.98"/>
    <n v="66"/>
    <n v="68.802352941176466"/>
    <n v="86.002941176470586"/>
    <n v="71"/>
    <n v="51"/>
    <n v="58.481999999999992"/>
    <n v="73.102499999999992"/>
    <n v="60.35"/>
  </r>
  <r>
    <x v="5"/>
    <x v="2"/>
    <n v="35"/>
    <n v="0.35000000000000003"/>
    <n v="3.57"/>
    <n v="7.0000000000000007E-2"/>
    <n v="14.7"/>
    <n v="66"/>
    <n v="68.802352941176466"/>
    <n v="86.002941176470586"/>
    <n v="71"/>
    <n v="51"/>
    <n v="58.481999999999992"/>
    <n v="73.102499999999992"/>
    <n v="60.35"/>
  </r>
  <r>
    <x v="5"/>
    <x v="15"/>
    <n v="7"/>
    <n v="4.6900000000000004"/>
    <n v="1.05"/>
    <n v="6.3E-2"/>
    <n v="24.15"/>
    <n v="66"/>
    <n v="68.802352941176466"/>
    <n v="86.002941176470586"/>
    <n v="71"/>
    <n v="51"/>
    <n v="58.481999999999992"/>
    <n v="73.102499999999992"/>
    <n v="60.35"/>
  </r>
  <r>
    <x v="5"/>
    <x v="16"/>
    <n v="60"/>
    <n v="41.4"/>
    <n v="2.6999999999999997"/>
    <n v="2.16"/>
    <n v="196.8"/>
    <n v="66"/>
    <n v="68.802352941176466"/>
    <n v="86.002941176470586"/>
    <n v="71"/>
    <n v="51"/>
    <n v="58.481999999999992"/>
    <n v="73.102499999999992"/>
    <n v="60.35"/>
  </r>
  <r>
    <x v="5"/>
    <x v="17"/>
    <n v="60"/>
    <n v="0.6"/>
    <n v="3.24"/>
    <n v="0"/>
    <n v="22.8"/>
    <n v="66"/>
    <n v="68.802352941176466"/>
    <n v="86.002941176470586"/>
    <n v="71"/>
    <n v="51"/>
    <n v="58.481999999999992"/>
    <n v="73.102499999999992"/>
    <n v="60.35"/>
  </r>
  <r>
    <x v="5"/>
    <x v="5"/>
    <n v="118"/>
    <n v="0.94400000000000006"/>
    <n v="25.251999999999999"/>
    <n v="0"/>
    <n v="97.94"/>
    <n v="66"/>
    <n v="68.802352941176466"/>
    <n v="86.002941176470586"/>
    <n v="71"/>
    <n v="51"/>
    <n v="58.481999999999992"/>
    <n v="73.102499999999992"/>
    <n v="60.35"/>
  </r>
  <r>
    <x v="5"/>
    <x v="7"/>
    <n v="136"/>
    <n v="4.6240000000000006"/>
    <n v="3.5360000000000005"/>
    <n v="2.5840000000000001"/>
    <n v="57.12"/>
    <n v="66"/>
    <n v="68.802352941176466"/>
    <n v="86.002941176470586"/>
    <n v="71"/>
    <n v="51"/>
    <n v="58.481999999999992"/>
    <n v="73.102499999999992"/>
    <n v="60.35"/>
  </r>
  <r>
    <x v="5"/>
    <x v="13"/>
    <n v="67"/>
    <n v="7.3029999999999999"/>
    <n v="28.073"/>
    <n v="0.87100000000000011"/>
    <n v="156.11000000000001"/>
    <n v="66"/>
    <n v="68.802352941176466"/>
    <n v="86.002941176470586"/>
    <n v="71"/>
    <n v="51"/>
    <n v="58.481999999999992"/>
    <n v="73.102499999999992"/>
    <n v="60.35"/>
  </r>
  <r>
    <x v="5"/>
    <x v="1"/>
    <n v="240"/>
    <n v="16.080000000000002"/>
    <n v="32.64"/>
    <n v="5.28"/>
    <n v="276"/>
    <n v="66"/>
    <n v="68.802352941176466"/>
    <n v="86.002941176470586"/>
    <n v="71"/>
    <n v="51"/>
    <n v="58.481999999999992"/>
    <n v="73.102499999999992"/>
    <n v="60.35"/>
  </r>
  <r>
    <x v="5"/>
    <x v="2"/>
    <n v="35"/>
    <n v="0.35000000000000003"/>
    <n v="3.57"/>
    <n v="7.0000000000000007E-2"/>
    <n v="14.7"/>
    <n v="66"/>
    <n v="68.802352941176466"/>
    <n v="86.002941176470586"/>
    <n v="71"/>
    <n v="51"/>
    <n v="58.481999999999992"/>
    <n v="73.102499999999992"/>
    <n v="60.35"/>
  </r>
  <r>
    <x v="5"/>
    <x v="3"/>
    <n v="140"/>
    <n v="1.2600000000000002"/>
    <n v="4.9000000000000004"/>
    <n v="0.28000000000000003"/>
    <n v="28"/>
    <n v="66"/>
    <n v="68.802352941176466"/>
    <n v="86.002941176470586"/>
    <n v="71"/>
    <n v="51"/>
    <n v="58.481999999999992"/>
    <n v="73.102499999999992"/>
    <n v="60.35"/>
  </r>
  <r>
    <x v="6"/>
    <x v="17"/>
    <n v="40"/>
    <n v="0.4"/>
    <n v="2.16"/>
    <n v="0"/>
    <n v="15.2"/>
    <n v="66"/>
    <n v="68.802352941176466"/>
    <n v="86.002941176470586"/>
    <n v="71"/>
    <n v="51"/>
    <n v="58.481999999999992"/>
    <n v="73.102499999999992"/>
    <n v="60.35"/>
  </r>
  <r>
    <x v="6"/>
    <x v="15"/>
    <n v="15"/>
    <n v="10.050000000000001"/>
    <n v="2.25"/>
    <n v="0.13500000000000001"/>
    <n v="51.75"/>
    <n v="66"/>
    <n v="68.802352941176466"/>
    <n v="86.002941176470586"/>
    <n v="71"/>
    <n v="51"/>
    <n v="58.481999999999992"/>
    <n v="73.102499999999992"/>
    <n v="60.35"/>
  </r>
  <r>
    <x v="6"/>
    <x v="16"/>
    <n v="32"/>
    <n v="22.08"/>
    <n v="1.44"/>
    <n v="1.1520000000000001"/>
    <n v="104.96"/>
    <n v="66"/>
    <n v="68.802352941176466"/>
    <n v="86.002941176470586"/>
    <n v="71"/>
    <n v="51"/>
    <n v="58.481999999999992"/>
    <n v="73.102499999999992"/>
    <n v="60.35"/>
  </r>
  <r>
    <x v="6"/>
    <x v="5"/>
    <n v="108"/>
    <n v="0.86399999999999999"/>
    <n v="23.111999999999998"/>
    <n v="0"/>
    <n v="89.64"/>
    <n v="66"/>
    <n v="68.802352941176466"/>
    <n v="86.002941176470586"/>
    <n v="71"/>
    <n v="51"/>
    <n v="58.481999999999992"/>
    <n v="73.102499999999992"/>
    <n v="60.35"/>
  </r>
  <r>
    <x v="6"/>
    <x v="7"/>
    <n v="200"/>
    <n v="6.8000000000000007"/>
    <n v="5.2"/>
    <n v="3.8"/>
    <n v="84"/>
    <n v="66"/>
    <n v="68.802352941176466"/>
    <n v="86.002941176470586"/>
    <n v="71"/>
    <n v="51"/>
    <n v="58.481999999999992"/>
    <n v="73.102499999999992"/>
    <n v="60.35"/>
  </r>
  <r>
    <x v="6"/>
    <x v="0"/>
    <n v="3"/>
    <n v="3.5999999999999999E-3"/>
    <n v="1.2000000000000001E-3"/>
    <n v="6.0000000000000006E-4"/>
    <n v="0.03"/>
    <n v="66"/>
    <n v="68.802352941176466"/>
    <n v="86.002941176470586"/>
    <n v="71"/>
    <n v="51"/>
    <n v="58.481999999999992"/>
    <n v="73.102499999999992"/>
    <n v="60.35"/>
  </r>
  <r>
    <x v="6"/>
    <x v="0"/>
    <n v="3"/>
    <n v="3.5999999999999999E-3"/>
    <n v="1.2000000000000001E-3"/>
    <n v="6.0000000000000006E-4"/>
    <n v="0.03"/>
    <n v="66"/>
    <n v="68.802352941176466"/>
    <n v="86.002941176470586"/>
    <n v="71"/>
    <n v="51"/>
    <n v="58.481999999999992"/>
    <n v="73.102499999999992"/>
    <n v="60.35"/>
  </r>
  <r>
    <x v="6"/>
    <x v="0"/>
    <n v="3"/>
    <n v="3.5999999999999999E-3"/>
    <n v="1.2000000000000001E-3"/>
    <n v="6.0000000000000006E-4"/>
    <n v="0.03"/>
    <n v="66"/>
    <n v="68.802352941176466"/>
    <n v="86.002941176470586"/>
    <n v="71"/>
    <n v="51"/>
    <n v="58.481999999999992"/>
    <n v="73.102499999999992"/>
    <n v="60.35"/>
  </r>
  <r>
    <x v="7"/>
    <x v="7"/>
    <n v="198"/>
    <n v="6.7320000000000002"/>
    <n v="5.1480000000000006"/>
    <n v="3.762"/>
    <n v="83.16"/>
    <n v="66"/>
    <n v="68.802352941176466"/>
    <n v="86.002941176470586"/>
    <n v="71"/>
    <n v="64"/>
    <n v="58.481999999999992"/>
    <n v="73.102499999999992"/>
    <n v="60.35"/>
  </r>
  <r>
    <x v="7"/>
    <x v="6"/>
    <n v="30"/>
    <n v="3.3"/>
    <n v="18.12"/>
    <n v="2.4599999999999995"/>
    <n v="112.8"/>
    <n v="66"/>
    <n v="68.802352941176466"/>
    <n v="86.002941176470586"/>
    <n v="71"/>
    <n v="69"/>
    <n v="58.481999999999992"/>
    <n v="73.102499999999992"/>
    <n v="60.35"/>
  </r>
  <r>
    <x v="7"/>
    <x v="5"/>
    <n v="95"/>
    <n v="0.76"/>
    <n v="20.329999999999998"/>
    <n v="0"/>
    <n v="78.849999999999994"/>
    <n v="66"/>
    <n v="68.802352941176466"/>
    <n v="86.002941176470586"/>
    <n v="71"/>
    <n v="69"/>
    <n v="58.481999999999992"/>
    <n v="73.102499999999992"/>
    <n v="60.35"/>
  </r>
  <r>
    <x v="7"/>
    <x v="17"/>
    <n v="55"/>
    <n v="0.55000000000000004"/>
    <n v="2.97"/>
    <n v="0"/>
    <n v="20.9"/>
    <n v="66"/>
    <n v="68.802352941176466"/>
    <n v="86.002941176470586"/>
    <n v="71"/>
    <n v="73"/>
    <n v="58.481999999999992"/>
    <n v="73.102499999999992"/>
    <n v="60.35"/>
  </r>
  <r>
    <x v="7"/>
    <x v="16"/>
    <n v="32"/>
    <n v="22.08"/>
    <n v="1.44"/>
    <n v="1.1520000000000001"/>
    <n v="104.96"/>
    <n v="66"/>
    <n v="68.802352941176466"/>
    <n v="86.002941176470586"/>
    <n v="71"/>
    <n v="66"/>
    <n v="58.481999999999992"/>
    <n v="73.102499999999992"/>
    <n v="60.35"/>
  </r>
  <r>
    <x v="7"/>
    <x v="15"/>
    <n v="7"/>
    <n v="4.6900000000000004"/>
    <n v="1.05"/>
    <n v="6.3E-2"/>
    <n v="24.15"/>
    <n v="66"/>
    <n v="68.802352941176466"/>
    <n v="86.002941176470586"/>
    <n v="71"/>
    <n v="71"/>
    <n v="58.481999999999992"/>
    <n v="73.102499999999992"/>
    <n v="60.35"/>
  </r>
  <r>
    <x v="7"/>
    <x v="0"/>
    <n v="3"/>
    <n v="3.5999999999999999E-3"/>
    <n v="1.2000000000000001E-3"/>
    <n v="6.0000000000000006E-4"/>
    <n v="0.03"/>
    <n v="66"/>
    <n v="68.802352941176466"/>
    <n v="86.002941176470586"/>
    <n v="71"/>
    <n v="63"/>
    <n v="58.481999999999992"/>
    <n v="73.102499999999992"/>
    <n v="60.35"/>
  </r>
  <r>
    <x v="7"/>
    <x v="0"/>
    <n v="3"/>
    <n v="3.5999999999999999E-3"/>
    <n v="1.2000000000000001E-3"/>
    <n v="6.0000000000000006E-4"/>
    <n v="0.03"/>
    <n v="66"/>
    <n v="68.802352941176466"/>
    <n v="86.002941176470586"/>
    <n v="71"/>
    <n v="72"/>
    <n v="58.481999999999992"/>
    <n v="73.102499999999992"/>
    <n v="60.35"/>
  </r>
  <r>
    <x v="7"/>
    <x v="0"/>
    <n v="3"/>
    <n v="3.5999999999999999E-3"/>
    <n v="1.2000000000000001E-3"/>
    <n v="6.0000000000000006E-4"/>
    <n v="0.03"/>
    <n v="66"/>
    <n v="68.802352941176466"/>
    <n v="86.002941176470586"/>
    <n v="71"/>
    <n v="65"/>
    <n v="58.481999999999992"/>
    <n v="73.102499999999992"/>
    <n v="60.35"/>
  </r>
  <r>
    <x v="7"/>
    <x v="9"/>
    <n v="88.8"/>
    <n v="8.6135999999999981"/>
    <n v="35.520000000000003"/>
    <n v="1.2431999999999999"/>
    <n v="195.36"/>
    <n v="66"/>
    <n v="68.802352941176466"/>
    <n v="86.002941176470586"/>
    <n v="71"/>
    <n v="62"/>
    <n v="58.481999999999992"/>
    <n v="73.102499999999992"/>
    <n v="60.3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A29070-4FA5-4C97-A4D8-2C79D84AC6E3}" name="ProtEaten"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1:B3" firstHeaderRow="1" firstDataRow="1" firstDataCol="1"/>
  <pivotFields count="15">
    <pivotField axis="axisRow" numFmtId="14" showAll="0">
      <items count="29">
        <item h="1" m="1" x="8"/>
        <item h="1" m="1" x="9"/>
        <item h="1" m="1" x="10"/>
        <item h="1" m="1" x="11"/>
        <item h="1" m="1" x="12"/>
        <item h="1" m="1" x="13"/>
        <item h="1" x="0"/>
        <item h="1" x="1"/>
        <item h="1" x="2"/>
        <item h="1" x="3"/>
        <item h="1" m="1" x="14"/>
        <item h="1" x="4"/>
        <item h="1" x="5"/>
        <item h="1" x="6"/>
        <item x="7"/>
        <item h="1" m="1" x="15"/>
        <item h="1" m="1" x="16"/>
        <item h="1" m="1" x="17"/>
        <item h="1" m="1" x="18"/>
        <item h="1" m="1" x="19"/>
        <item h="1" m="1" x="20"/>
        <item h="1" m="1" x="21"/>
        <item h="1" m="1" x="22"/>
        <item h="1" m="1" x="23"/>
        <item h="1" m="1" x="24"/>
        <item h="1" m="1" x="25"/>
        <item h="1" m="1" x="26"/>
        <item h="1" m="1" x="2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2">
    <i>
      <x v="14"/>
    </i>
    <i t="grand">
      <x/>
    </i>
  </rowItems>
  <colItems count="1">
    <i/>
  </colItems>
  <dataFields count="1">
    <dataField name="Sum of prot_eaten" fld="3" baseField="0" baseItem="0" numFmtId="2"/>
  </dataFields>
  <formats count="3">
    <format dxfId="2">
      <pivotArea collapsedLevelsAreSubtotals="1" fieldPosition="0">
        <references count="1">
          <reference field="0" count="0"/>
        </references>
      </pivotArea>
    </format>
    <format dxfId="1">
      <pivotArea grandRow="1" outline="0" collapsedLevelsAreSubtotals="1" fieldPosition="0"/>
    </format>
    <format dxfId="0">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CD66191-6B32-4102-B3DC-18715B0E8A41}" name="FatEaten"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H3" firstHeaderRow="1" firstDataRow="1" firstDataCol="1"/>
  <pivotFields count="15">
    <pivotField axis="axisRow" numFmtId="14" showAll="0">
      <items count="29">
        <item h="1" m="1" x="8"/>
        <item h="1" m="1" x="9"/>
        <item h="1" m="1" x="10"/>
        <item h="1" m="1" x="11"/>
        <item h="1" m="1" x="12"/>
        <item h="1" m="1" x="13"/>
        <item h="1" x="0"/>
        <item h="1" x="1"/>
        <item h="1" x="2"/>
        <item h="1" x="3"/>
        <item h="1" m="1" x="14"/>
        <item h="1" x="4"/>
        <item h="1" x="5"/>
        <item h="1" x="6"/>
        <item x="7"/>
        <item h="1" m="1" x="15"/>
        <item h="1" m="1" x="16"/>
        <item h="1" m="1" x="17"/>
        <item h="1" m="1" x="18"/>
        <item h="1" m="1" x="19"/>
        <item h="1" m="1" x="20"/>
        <item h="1" m="1" x="21"/>
        <item h="1" m="1" x="22"/>
        <item h="1" m="1" x="23"/>
        <item h="1" m="1" x="24"/>
        <item h="1" m="1" x="25"/>
        <item h="1" m="1" x="26"/>
        <item h="1" m="1" x="27"/>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0"/>
  </rowFields>
  <rowItems count="2">
    <i>
      <x v="14"/>
    </i>
    <i t="grand">
      <x/>
    </i>
  </rowItems>
  <colItems count="1">
    <i/>
  </colItems>
  <dataFields count="1">
    <dataField name="Sum of fat_eaten" fld="5"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72F6F40-CFDB-4FD8-A965-15B95501A2C7}" name="conteo_proteins"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J1:K20" firstHeaderRow="1" firstDataRow="1" firstDataCol="1"/>
  <pivotFields count="15">
    <pivotField numFmtId="14" showAll="0"/>
    <pivotField axis="axisRow" showAll="0" sortType="ascending">
      <items count="26">
        <item m="1" x="22"/>
        <item x="3"/>
        <item x="7"/>
        <item m="1" x="23"/>
        <item m="1" x="24"/>
        <item x="17"/>
        <item m="1" x="21"/>
        <item x="2"/>
        <item m="1" x="20"/>
        <item x="6"/>
        <item x="10"/>
        <item x="0"/>
        <item m="1" x="19"/>
        <item x="1"/>
        <item x="5"/>
        <item m="1" x="18"/>
        <item x="4"/>
        <item x="8"/>
        <item x="9"/>
        <item x="11"/>
        <item x="12"/>
        <item x="13"/>
        <item x="14"/>
        <item x="15"/>
        <item x="16"/>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9">
    <i>
      <x v="11"/>
    </i>
    <i>
      <x v="7"/>
    </i>
    <i>
      <x v="5"/>
    </i>
    <i>
      <x v="1"/>
    </i>
    <i>
      <x v="17"/>
    </i>
    <i>
      <x v="14"/>
    </i>
    <i>
      <x v="19"/>
    </i>
    <i>
      <x v="20"/>
    </i>
    <i>
      <x v="23"/>
    </i>
    <i>
      <x v="10"/>
    </i>
    <i>
      <x v="2"/>
    </i>
    <i>
      <x v="16"/>
    </i>
    <i>
      <x v="21"/>
    </i>
    <i>
      <x v="22"/>
    </i>
    <i>
      <x v="9"/>
    </i>
    <i>
      <x v="18"/>
    </i>
    <i>
      <x v="24"/>
    </i>
    <i>
      <x v="13"/>
    </i>
    <i t="grand">
      <x/>
    </i>
  </rowItems>
  <colItems count="1">
    <i/>
  </colItems>
  <dataFields count="1">
    <dataField name="Sum of prot_eaten" fld="3" baseField="0" baseItem="0"/>
  </dataFields>
  <chartFormats count="3">
    <chartFormat chart="3"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81E9753-BB50-4E99-AEED-49403CBFEEA4}" name="conteo_Carbs"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M1:N20" firstHeaderRow="1" firstDataRow="1" firstDataCol="1"/>
  <pivotFields count="15">
    <pivotField numFmtId="14" showAll="0"/>
    <pivotField axis="axisRow" showAll="0" sortType="ascending">
      <items count="26">
        <item x="5"/>
        <item x="1"/>
        <item m="1" x="19"/>
        <item x="0"/>
        <item x="10"/>
        <item x="6"/>
        <item m="1" x="20"/>
        <item x="2"/>
        <item m="1" x="21"/>
        <item x="17"/>
        <item m="1" x="24"/>
        <item m="1" x="23"/>
        <item x="7"/>
        <item x="3"/>
        <item m="1" x="22"/>
        <item h="1" m="1" x="18"/>
        <item x="4"/>
        <item x="8"/>
        <item x="9"/>
        <item x="11"/>
        <item x="12"/>
        <item x="13"/>
        <item x="14"/>
        <item x="15"/>
        <item x="16"/>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1"/>
  </rowFields>
  <rowItems count="19">
    <i>
      <x v="16"/>
    </i>
    <i>
      <x v="22"/>
    </i>
    <i>
      <x v="3"/>
    </i>
    <i>
      <x v="4"/>
    </i>
    <i>
      <x v="17"/>
    </i>
    <i>
      <x v="23"/>
    </i>
    <i>
      <x v="24"/>
    </i>
    <i>
      <x v="13"/>
    </i>
    <i>
      <x v="9"/>
    </i>
    <i>
      <x v="7"/>
    </i>
    <i>
      <x v="19"/>
    </i>
    <i>
      <x v="12"/>
    </i>
    <i>
      <x v="20"/>
    </i>
    <i>
      <x/>
    </i>
    <i>
      <x v="1"/>
    </i>
    <i>
      <x v="21"/>
    </i>
    <i>
      <x v="18"/>
    </i>
    <i>
      <x v="5"/>
    </i>
    <i t="grand">
      <x/>
    </i>
  </rowItems>
  <colItems count="1">
    <i/>
  </colItems>
  <dataFields count="1">
    <dataField name="Sum of carb_eaten" fld="4"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10D4EE-65FD-4D5D-BA5C-45A358AC3A8A}" name="CarbEaten"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3" firstHeaderRow="1" firstDataRow="1" firstDataCol="1"/>
  <pivotFields count="15">
    <pivotField axis="axisRow" numFmtId="14" showAll="0">
      <items count="29">
        <item h="1" m="1" x="8"/>
        <item h="1" m="1" x="9"/>
        <item h="1" m="1" x="10"/>
        <item h="1" m="1" x="11"/>
        <item h="1" m="1" x="12"/>
        <item h="1" m="1" x="13"/>
        <item h="1" x="0"/>
        <item h="1" x="1"/>
        <item h="1" x="2"/>
        <item h="1" x="3"/>
        <item h="1" m="1" x="14"/>
        <item h="1" x="4"/>
        <item h="1" x="5"/>
        <item h="1" x="6"/>
        <item x="7"/>
        <item h="1" m="1" x="15"/>
        <item h="1" m="1" x="16"/>
        <item h="1" m="1" x="17"/>
        <item h="1" m="1" x="18"/>
        <item h="1" m="1" x="19"/>
        <item h="1" m="1" x="20"/>
        <item h="1" m="1" x="21"/>
        <item h="1" m="1" x="22"/>
        <item h="1" m="1" x="23"/>
        <item h="1" m="1" x="24"/>
        <item h="1" m="1" x="25"/>
        <item h="1" m="1" x="26"/>
        <item h="1" m="1" x="27"/>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0"/>
  </rowFields>
  <rowItems count="2">
    <i>
      <x v="14"/>
    </i>
    <i t="grand">
      <x/>
    </i>
  </rowItems>
  <colItems count="1">
    <i/>
  </colItems>
  <dataFields count="1">
    <dataField name="Sum of carb_eaten" fld="4"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90A4019-67A7-4520-936D-E8EDE3362932}" name="CalTotales"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S1:T3" firstHeaderRow="1" firstDataRow="1" firstDataCol="1"/>
  <pivotFields count="15">
    <pivotField axis="axisRow" numFmtId="14" showAll="0">
      <items count="29">
        <item h="1" m="1" x="8"/>
        <item h="1" m="1" x="9"/>
        <item h="1" m="1" x="10"/>
        <item h="1" m="1" x="11"/>
        <item h="1" m="1" x="12"/>
        <item h="1" m="1" x="13"/>
        <item h="1" x="0"/>
        <item h="1" x="1"/>
        <item h="1" x="2"/>
        <item h="1" x="3"/>
        <item h="1" m="1" x="14"/>
        <item h="1" x="4"/>
        <item h="1" x="5"/>
        <item h="1" x="6"/>
        <item x="7"/>
        <item h="1" m="1" x="15"/>
        <item h="1" m="1" x="16"/>
        <item h="1" m="1" x="17"/>
        <item h="1" m="1" x="18"/>
        <item h="1" m="1" x="19"/>
        <item h="1" m="1" x="20"/>
        <item h="1" m="1" x="21"/>
        <item h="1" m="1" x="22"/>
        <item h="1" m="1" x="23"/>
        <item h="1" m="1" x="24"/>
        <item h="1" m="1" x="25"/>
        <item h="1" m="1" x="26"/>
        <item h="1" m="1" x="27"/>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s>
  <rowFields count="1">
    <field x="0"/>
  </rowFields>
  <rowItems count="2">
    <i>
      <x v="14"/>
    </i>
    <i t="grand">
      <x/>
    </i>
  </rowItems>
  <colItems count="1">
    <i/>
  </colItems>
  <dataFields count="1">
    <dataField name="Sum of calsTotal" fld="6" baseField="0" baseItem="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1B347FF-1BC4-47C4-A3AB-0536D9D0CFEB}" name="conteo_Fat"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P1:Q20" firstHeaderRow="1" firstDataRow="1" firstDataCol="1"/>
  <pivotFields count="15">
    <pivotField numFmtId="14" showAll="0"/>
    <pivotField axis="axisRow" showAll="0" sortType="ascending">
      <items count="26">
        <item x="5"/>
        <item x="1"/>
        <item m="1" x="19"/>
        <item x="0"/>
        <item x="10"/>
        <item x="6"/>
        <item m="1" x="20"/>
        <item x="2"/>
        <item m="1" x="21"/>
        <item x="17"/>
        <item m="1" x="24"/>
        <item m="1" x="23"/>
        <item x="7"/>
        <item x="3"/>
        <item m="1" x="22"/>
        <item h="1" m="1" x="18"/>
        <item x="4"/>
        <item x="8"/>
        <item x="9"/>
        <item x="11"/>
        <item x="12"/>
        <item x="13"/>
        <item x="14"/>
        <item x="15"/>
        <item x="16"/>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1"/>
  </rowFields>
  <rowItems count="19">
    <i>
      <x v="9"/>
    </i>
    <i>
      <x/>
    </i>
    <i>
      <x v="3"/>
    </i>
    <i>
      <x v="23"/>
    </i>
    <i>
      <x v="20"/>
    </i>
    <i>
      <x v="7"/>
    </i>
    <i>
      <x v="13"/>
    </i>
    <i>
      <x v="16"/>
    </i>
    <i>
      <x v="17"/>
    </i>
    <i>
      <x v="24"/>
    </i>
    <i>
      <x v="4"/>
    </i>
    <i>
      <x v="21"/>
    </i>
    <i>
      <x v="22"/>
    </i>
    <i>
      <x v="18"/>
    </i>
    <i>
      <x v="12"/>
    </i>
    <i>
      <x v="19"/>
    </i>
    <i>
      <x v="1"/>
    </i>
    <i>
      <x v="5"/>
    </i>
    <i t="grand">
      <x/>
    </i>
  </rowItems>
  <colItems count="1">
    <i/>
  </colItems>
  <dataFields count="1">
    <dataField name="Sum of fat_eaten" fld="5" baseField="0" baseItem="0"/>
  </dataFields>
  <chartFormats count="2">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1"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BD66CB46-F005-4E41-8054-74AB05249784}" sourceName="date">
  <pivotTables>
    <pivotTable tabId="4" name="ProtEaten"/>
    <pivotTable tabId="4" name="CarbEaten"/>
    <pivotTable tabId="4" name="FatEaten"/>
    <pivotTable tabId="4" name="CalTotales"/>
  </pivotTables>
  <data>
    <tabular pivotCacheId="2045063631" sortOrder="descending">
      <items count="28">
        <i x="7" s="1"/>
        <i x="6"/>
        <i x="5"/>
        <i x="4"/>
        <i x="3"/>
        <i x="2"/>
        <i x="1"/>
        <i x="0"/>
        <i x="27" nd="1"/>
        <i x="26" nd="1"/>
        <i x="25" nd="1"/>
        <i x="24" nd="1"/>
        <i x="23" nd="1"/>
        <i x="22" nd="1"/>
        <i x="21" nd="1"/>
        <i x="20" nd="1"/>
        <i x="19" nd="1"/>
        <i x="18" nd="1"/>
        <i x="17" nd="1"/>
        <i x="16" nd="1"/>
        <i x="15" nd="1"/>
        <i x="14" nd="1"/>
        <i x="13" nd="1"/>
        <i x="12" nd="1"/>
        <i x="11" nd="1"/>
        <i x="10" nd="1"/>
        <i x="9" nd="1"/>
        <i x="8"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_proteins" xr10:uid="{FE2AE7C5-119A-4F09-9C29-7F6FA8F03CE9}" cache="Slicer_date" caption="Nutrients Consumption" style="SlicerStyleDark2" rowHeight="14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35B386-C4DD-4B7D-8C03-40D44D5FF5FF}" name="registry" displayName="registry" ref="A1:O88" totalsRowShown="0">
  <autoFilter ref="A1:O88" xr:uid="{8235B386-C4DD-4B7D-8C03-40D44D5FF5FF}"/>
  <tableColumns count="15">
    <tableColumn id="1" xr3:uid="{4F2609AF-0697-4D8B-AEAA-0D00E3DF65E8}" name="date" dataDxfId="16"/>
    <tableColumn id="2" xr3:uid="{CE70EE4C-87AE-4A02-BE1E-E0823C8C5096}" name="food_name"/>
    <tableColumn id="8" xr3:uid="{66F27B1D-6A5F-4667-B7F0-62D17AA319F5}" name="gr_eaten"/>
    <tableColumn id="9" xr3:uid="{2D8113F8-D45F-4D22-AD3F-193E9D2B0CB3}" name="prot_eaten" dataDxfId="15">
      <calculatedColumnFormula>(VLOOKUP(registry[[#This Row],[food_name]],food_name[],2,FALSE)/VLOOKUP(registry[[#This Row],[food_name]],food_name[],5,FALSE))*$C2</calculatedColumnFormula>
    </tableColumn>
    <tableColumn id="10" xr3:uid="{80ECC647-9800-47DD-86B9-F2D6A253851D}" name="carb_eaten" dataDxfId="14">
      <calculatedColumnFormula>(VLOOKUP(registry[[#This Row],[food_name]],food_name[],3,FALSE)/VLOOKUP(registry[[#This Row],[food_name]],food_name[],5,FALSE))*$C2</calculatedColumnFormula>
    </tableColumn>
    <tableColumn id="11" xr3:uid="{C697B836-DD85-4917-BFF9-1CC00E3E087E}" name="fat_eaten" dataDxfId="13">
      <calculatedColumnFormula>(VLOOKUP(registry[[#This Row],[food_name]],food_name[],4,FALSE)/VLOOKUP(registry[[#This Row],[food_name]],food_name[],5,FALSE))*$C2</calculatedColumnFormula>
    </tableColumn>
    <tableColumn id="12" xr3:uid="{D1F6069C-9B32-4E96-B7C1-3AF8912797D0}" name="calsTotal" dataDxfId="12">
      <calculatedColumnFormula>($C2*(VLOOKUP(registry[[#This Row],[food_name]],food_name[],6,FALSE))/VLOOKUP(registry[[#This Row],[food_name]],food_name[],5,FALSE))</calculatedColumnFormula>
    </tableColumn>
    <tableColumn id="13" xr3:uid="{1FC5F4C8-E312-4B96-A10B-7A40B32443C9}" name="weight">
      <calculatedColumnFormula array="1">Table4[weigth]</calculatedColumnFormula>
    </tableColumn>
    <tableColumn id="14" xr3:uid="{431640DF-3665-4A2F-ABEE-8D2A43BC4956}" name="minW" dataDxfId="11">
      <calculatedColumnFormula array="1">Table4[min_range_weight]</calculatedColumnFormula>
    </tableColumn>
    <tableColumn id="15" xr3:uid="{3E8F0A97-196C-4266-A2D0-CFB3A270A418}" name="maxW" dataDxfId="10">
      <calculatedColumnFormula array="1">Table4[max_range_weigth]</calculatedColumnFormula>
    </tableColumn>
    <tableColumn id="16" xr3:uid="{D10E6D2E-A252-4669-942B-84B703F250F2}" name="optimalW" dataDxfId="9">
      <calculatedColumnFormula array="1">Table4[weight_goal]</calculatedColumnFormula>
    </tableColumn>
    <tableColumn id="17" xr3:uid="{504560B6-3FD3-4D31-83C0-20FF8D826C56}" name="musc_mass" dataDxfId="8">
      <calculatedColumnFormula>RANDBETWEEN(58,73)</calculatedColumnFormula>
    </tableColumn>
    <tableColumn id="18" xr3:uid="{4067B46B-8BA6-4975-955C-BC6D738F5D53}" name="min_mm" dataDxfId="7">
      <calculatedColumnFormula array="1">Table4[MM_min]</calculatedColumnFormula>
    </tableColumn>
    <tableColumn id="19" xr3:uid="{A661113A-5F33-45BE-9E37-4924D5ECE787}" name="max_mm" dataDxfId="6">
      <calculatedColumnFormula array="1">Table4[MM_max]</calculatedColumnFormula>
    </tableColumn>
    <tableColumn id="20" xr3:uid="{3D8A3098-003B-4F2B-8958-D539EE4A84C0}" name="opt_musMass" dataDxfId="5">
      <calculatedColumnFormula array="1">Table4[natural_mass_limit]</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B86BC5F-6F19-4F7A-87F8-862D16F7D809}" name="food_name" displayName="food_name" ref="A1:F26" totalsRowShown="0">
  <autoFilter ref="A1:F26" xr:uid="{0B86BC5F-6F19-4F7A-87F8-862D16F7D809}"/>
  <tableColumns count="6">
    <tableColumn id="1" xr3:uid="{4371B7A5-C6EE-4132-87BB-AC7C4214BEA8}" name="food_name"/>
    <tableColumn id="2" xr3:uid="{F0E96414-6929-4864-8BFC-F4BB3BAF2B7E}" name="proteins">
      <calculatedColumnFormula>RAND()*50</calculatedColumnFormula>
    </tableColumn>
    <tableColumn id="3" xr3:uid="{4C95C49A-A3A8-43B3-A74A-4D630BF80519}" name="carbs">
      <calculatedColumnFormula>RAND()*100</calculatedColumnFormula>
    </tableColumn>
    <tableColumn id="4" xr3:uid="{CA7F12FF-008E-4715-9319-805C2EF53A96}" name="fat">
      <calculatedColumnFormula>RAND()*20</calculatedColumnFormula>
    </tableColumn>
    <tableColumn id="5" xr3:uid="{8D3C098D-61BE-4668-B538-D1F501AEDB51}" name="measure"/>
    <tableColumn id="6" xr3:uid="{2A500658-B094-4419-8D6D-BBDB38CEC366}" name="cals_100">
      <calculatedColumnFormula>RAND()*500</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54C9C1C-0848-4031-8F04-36E6BC0210F7}" name="goals" displayName="goals" ref="A1:M2" totalsRowShown="0">
  <autoFilter ref="A1:M2" xr:uid="{854C9C1C-0848-4031-8F04-36E6BC0210F7}"/>
  <tableColumns count="13">
    <tableColumn id="1" xr3:uid="{7BA1C63D-A704-42EA-821B-8C00037A0025}" name="cal_g_fat"/>
    <tableColumn id="2" xr3:uid="{0E67E35B-A6AF-42AA-B331-EA466D7C64C0}" name="cal_g_carbs"/>
    <tableColumn id="3" xr3:uid="{52FEE492-B09A-4937-954D-A2977DC5F860}" name="cal_g_protein"/>
    <tableColumn id="4" xr3:uid="{A2B92E17-8388-47FB-8BBA-64D98ADCAB2B}" name="calsDay">
      <calculatedColumnFormula>Dashboard!R11</calculatedColumnFormula>
    </tableColumn>
    <tableColumn id="5" xr3:uid="{CC3E200F-60D7-4D33-ADA9-18E83FA52904}" name="%_fat">
      <calculatedColumnFormula>Dashboard!R7</calculatedColumnFormula>
    </tableColumn>
    <tableColumn id="6" xr3:uid="{92AC7963-F8FF-4C35-A995-69D0D80AC56A}" name="%_carbs">
      <calculatedColumnFormula>Dashboard!R8</calculatedColumnFormula>
    </tableColumn>
    <tableColumn id="7" xr3:uid="{639A0FC3-D3D1-47C4-ADDE-511C10BAEF82}" name="%_protein">
      <calculatedColumnFormula>Dashboard!R9</calculatedColumnFormula>
    </tableColumn>
    <tableColumn id="8" xr3:uid="{03DE56DE-F9CD-4E41-820E-038BABF66D6E}" name="needs_fat" dataDxfId="4">
      <calculatedColumnFormula>IF(A2&gt;0,((E2/100)*$D$2)/A2,0)</calculatedColumnFormula>
    </tableColumn>
    <tableColumn id="9" xr3:uid="{0A61DE13-E2CB-4F65-82EC-0BA17E39C109}" name="needs_carbs">
      <calculatedColumnFormula>IF(B2&gt;0,((F2/100)*$D$2)/B2,0)</calculatedColumnFormula>
    </tableColumn>
    <tableColumn id="10" xr3:uid="{96C1A0E3-B962-4D8D-98BF-E3B79F0EF5CE}" name="needs_protein">
      <calculatedColumnFormula>IF(C2&gt;0,((G2/100)*$D$2)/C2,0)</calculatedColumnFormula>
    </tableColumn>
    <tableColumn id="11" xr3:uid="{5CE40500-AAEB-4E11-90A6-8BF6FBE839B8}" name="goalProt">
      <calculatedColumnFormula>A7</calculatedColumnFormula>
    </tableColumn>
    <tableColumn id="12" xr3:uid="{51C41D59-D8B3-4180-960D-75E1E74A05D6}" name="goalFat" dataDxfId="3">
      <calculatedColumnFormula>goals[[#This Row],[needs_fat]]</calculatedColumnFormula>
    </tableColumn>
    <tableColumn id="13" xr3:uid="{8898E125-2664-4432-B60A-574A0CF44D06}" name="goalCarbs">
      <calculatedColumnFormula>SUM(goals[[#This Row],[needs_fat]:[needs_protein]])-SUM(goals[[#This Row],[goalProt]:[goalFat]])</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1DABDAB-AF01-499B-A6A2-80AFFDC5AFDA}" name="protein_set" displayName="protein_set" ref="A6:D7" totalsRowShown="0">
  <autoFilter ref="A6:D7" xr:uid="{01DABDAB-AF01-499B-A6A2-80AFFDC5AFDA}"/>
  <tableColumns count="4">
    <tableColumn id="1" xr3:uid="{136AE379-C043-480D-ADE4-9525F451087E}" name="g_prot_goal">
      <calculatedColumnFormula>B7*D7</calculatedColumnFormula>
    </tableColumn>
    <tableColumn id="2" xr3:uid="{FCB3D507-0643-4ECB-B70C-36F523410CE3}" name="peso">
      <calculatedColumnFormula>Dashboard!P8</calculatedColumnFormula>
    </tableColumn>
    <tableColumn id="3" xr3:uid="{DA18C454-4C98-49CD-9301-61B6A533D9E4}" name="objetivo"/>
    <tableColumn id="4" xr3:uid="{81D57E44-5A31-4B21-A2B0-486835990139}" name="prot">
      <calculatedColumnFormula>Dashboard!P11</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652B04B-6744-468F-8377-81A04C383FF3}" name="Table4" displayName="Table4" ref="A11:M12" totalsRowShown="0">
  <autoFilter ref="A11:M12" xr:uid="{3652B04B-6744-468F-8377-81A04C383FF3}"/>
  <tableColumns count="13">
    <tableColumn id="1" xr3:uid="{95363D19-9234-4452-9A6C-10219A3D7BCD}" name="weigth">
      <calculatedColumnFormula array="1">protein_set[peso]</calculatedColumnFormula>
    </tableColumn>
    <tableColumn id="2" xr3:uid="{3FB63273-D2D6-4788-8C70-3DC70E94610A}" name="heigth">
      <calculatedColumnFormula>Dashboard!P9</calculatedColumnFormula>
    </tableColumn>
    <tableColumn id="3" xr3:uid="{4A0DEBF3-0242-4D38-B0C4-8035FDE27C08}" name="fat">
      <calculatedColumnFormula>Dashboard!P10</calculatedColumnFormula>
    </tableColumn>
    <tableColumn id="4" xr3:uid="{9E0CDDB8-B2DD-496A-B840-C8FF8FF09FE2}" name="natural_mass_limit">
      <calculatedColumnFormula>E12*(1-C12)</calculatedColumnFormula>
    </tableColumn>
    <tableColumn id="5" xr3:uid="{F650D8E1-160B-44EF-AA29-214E2A1CF43C}" name="weight_goal">
      <calculatedColumnFormula>B12-100</calculatedColumnFormula>
    </tableColumn>
    <tableColumn id="6" xr3:uid="{727D9B85-5BDD-4E6C-8FB5-A1E99148A2C6}" name="FFMI_now">
      <calculatedColumnFormula>(A12*(1-$C$12))/($B$12/100)^2</calculatedColumnFormula>
    </tableColumn>
    <tableColumn id="7" xr3:uid="{C969650D-8D9A-4C16-A104-BD689FE3EAAF}" name="FFMI_goal">
      <calculatedColumnFormula>(E12*(1-$C$12))/($B$12/100)^2</calculatedColumnFormula>
    </tableColumn>
    <tableColumn id="8" xr3:uid="{596AD1EF-E092-4202-B361-9C2A3E459BE5}" name="FFMI_max"/>
    <tableColumn id="9" xr3:uid="{F633C7BB-A7C8-41CF-83D7-F499A2CB83F4}" name="min_range_weight">
      <calculatedColumnFormula array="1">Table4[[#This Row],[FFMI_min]]/((1-Table4[fat])/(Table4[heigth]/100)^2)</calculatedColumnFormula>
    </tableColumn>
    <tableColumn id="10" xr3:uid="{58F68A5A-7B59-49FD-AB0D-2FBD27BD6BA2}" name="max_range_weigth">
      <calculatedColumnFormula array="1">Table4[[#This Row],[FFMI_max]]/((1-Table4[fat])/(Table4[heigth]/100)^2)</calculatedColumnFormula>
    </tableColumn>
    <tableColumn id="11" xr3:uid="{BDAA5755-3C6C-4787-9869-BC3ACEDBD500}" name="FFMI_min"/>
    <tableColumn id="12" xr3:uid="{9FD78977-86A5-4DC6-AD5B-39EBC4FF56AD}" name="MM_min">
      <calculatedColumnFormula>Table4[[#This Row],[min_range_weight]]*(1-Table4[[#This Row],[fat]])</calculatedColumnFormula>
    </tableColumn>
    <tableColumn id="13" xr3:uid="{9F93AE22-FC48-45E0-8B77-DD0CDD88CB7B}" name="MM_max">
      <calculatedColumnFormula>Table4[[#This Row],[max_range_weigth]]*(1-Table4[[#This Row],[fat]])</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FAA567D-0267-451E-9B2D-42E95116907E}" name="Table5" displayName="Table5" ref="A16:F18" totalsRowShown="0">
  <autoFilter ref="A16:F18" xr:uid="{4FAA567D-0267-451E-9B2D-42E95116907E}"/>
  <tableColumns count="6">
    <tableColumn id="1" xr3:uid="{7D0E694B-6161-4930-95A2-C54576A10872}" name="sex"/>
    <tableColumn id="2" xr3:uid="{741B8328-6CBC-4ECD-94B2-9806BB0595F9}" name="age_min"/>
    <tableColumn id="3" xr3:uid="{CEE1572B-2AD8-48F9-B749-6F4AF833290C}" name="age_max"/>
    <tableColumn id="4" xr3:uid="{653B3735-E778-448B-A3DB-99917048327D}" name="min_musc_mass"/>
    <tableColumn id="5" xr3:uid="{B96CCAF1-430D-4252-BA6F-D2C64A20184A}" name="max_musc_mass"/>
    <tableColumn id="6" xr3:uid="{DAB84DC5-17E3-4F37-8752-45CBEF03D74A}" name="gener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11" dT="2023-11-05T14:11:12.91" personId="{5AF29EEE-5CF7-42FB-BFDF-0AB1CAF930B4}" id="{26EDDA3E-40A2-4CE9-8088-D2A18E810EEA}">
    <text>According to Martin Berkhan formula</text>
  </threadedComment>
  <threadedComment ref="E11" dT="2023-11-05T14:10:06.25" personId="{5AF29EEE-5CF7-42FB-BFDF-0AB1CAF930B4}" id="{03778301-C929-44E6-B10D-66A98DD6B0B5}">
    <text>According to Martin Berkhan formula</text>
  </threadedComment>
  <threadedComment ref="F11" dT="2023-11-05T14:11:51.00" personId="{5AF29EEE-5CF7-42FB-BFDF-0AB1CAF930B4}" id="{D289F288-589B-481B-8DCB-846A1A2D138D}">
    <text>Free Fat Mass Index (FFMI)</text>
  </threadedComment>
  <threadedComment ref="B16" dT="2023-11-05T14:42:10.42" personId="{5AF29EEE-5CF7-42FB-BFDF-0AB1CAF930B4}" id="{65EB55E6-135B-4137-ADAB-5977E2457AF2}">
    <text>Ranges according to OMS</text>
  </threadedComment>
  <threadedComment ref="F16" dT="2023-11-05T14:41:48.33" personId="{5AF29EEE-5CF7-42FB-BFDF-0AB1CAF930B4}" id="{5CAE4438-04D4-4730-91C9-397AC46F1455}">
    <text>General recommendation for everyone</text>
  </threadedComment>
</ThreadedComment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image" Target="../media/image1.jpeg"/><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7" Type="http://schemas.microsoft.com/office/2017/10/relationships/threadedComment" Target="../threadedComments/threadedComment1.xml"/><Relationship Id="rId2" Type="http://schemas.openxmlformats.org/officeDocument/2006/relationships/table" Target="../tables/table3.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2CB5D-886B-4E4A-85DE-74E0D67188C9}">
  <sheetPr>
    <tabColor rgb="FF00B050"/>
  </sheetPr>
  <dimension ref="A1:T11"/>
  <sheetViews>
    <sheetView showGridLines="0" zoomScaleNormal="100" workbookViewId="0">
      <selection activeCell="F7" sqref="F7"/>
    </sheetView>
  </sheetViews>
  <sheetFormatPr defaultRowHeight="14.5" x14ac:dyDescent="0.35"/>
  <sheetData>
    <row r="1" spans="1:20" ht="14.5" customHeight="1" x14ac:dyDescent="0.35">
      <c r="A1" s="16" t="s">
        <v>64</v>
      </c>
      <c r="B1" s="16"/>
      <c r="C1" s="16"/>
      <c r="D1" s="16"/>
      <c r="E1" s="16"/>
      <c r="F1" s="16"/>
      <c r="G1" s="16"/>
      <c r="H1" s="16"/>
      <c r="I1" s="16"/>
      <c r="J1" s="16"/>
      <c r="K1" s="16"/>
      <c r="L1" s="16"/>
      <c r="M1" s="16"/>
      <c r="N1" s="16"/>
      <c r="O1" s="16"/>
      <c r="P1" s="16"/>
      <c r="Q1" s="16"/>
      <c r="R1" s="16"/>
      <c r="S1" s="16"/>
      <c r="T1" s="16"/>
    </row>
    <row r="2" spans="1:20" x14ac:dyDescent="0.35">
      <c r="A2" s="16"/>
      <c r="B2" s="16"/>
      <c r="C2" s="16"/>
      <c r="D2" s="16"/>
      <c r="E2" s="16"/>
      <c r="F2" s="16"/>
      <c r="G2" s="16"/>
      <c r="H2" s="16"/>
      <c r="I2" s="16"/>
      <c r="J2" s="16"/>
      <c r="K2" s="16"/>
      <c r="L2" s="16"/>
      <c r="M2" s="16"/>
      <c r="N2" s="16"/>
      <c r="O2" s="16"/>
      <c r="P2" s="16"/>
      <c r="Q2" s="16"/>
      <c r="R2" s="16"/>
      <c r="S2" s="16"/>
      <c r="T2" s="16"/>
    </row>
    <row r="3" spans="1:20" x14ac:dyDescent="0.35">
      <c r="A3" s="16"/>
      <c r="B3" s="16"/>
      <c r="C3" s="16"/>
      <c r="D3" s="16"/>
      <c r="E3" s="16"/>
      <c r="F3" s="16"/>
      <c r="G3" s="16"/>
      <c r="H3" s="16"/>
      <c r="I3" s="16"/>
      <c r="J3" s="16"/>
      <c r="K3" s="16"/>
      <c r="L3" s="16"/>
      <c r="M3" s="16"/>
      <c r="N3" s="16"/>
      <c r="O3" s="16"/>
      <c r="P3" s="16"/>
      <c r="Q3" s="16"/>
      <c r="R3" s="16"/>
      <c r="S3" s="16"/>
      <c r="T3" s="16"/>
    </row>
    <row r="4" spans="1:20" x14ac:dyDescent="0.35">
      <c r="G4" s="17" t="s">
        <v>76</v>
      </c>
      <c r="H4" s="17"/>
      <c r="I4" s="17"/>
      <c r="J4" s="17"/>
      <c r="K4" s="17"/>
      <c r="L4" s="17"/>
      <c r="M4" s="17"/>
      <c r="O4" s="10"/>
      <c r="P4" s="10"/>
      <c r="Q4" s="6"/>
      <c r="R4" s="6"/>
      <c r="S4" s="6"/>
      <c r="T4" s="6"/>
    </row>
    <row r="5" spans="1:20" ht="16" x14ac:dyDescent="0.4">
      <c r="G5" s="18">
        <f>I5-L5</f>
        <v>1579.73</v>
      </c>
      <c r="H5" s="18"/>
      <c r="I5" s="19">
        <f>goals!D2</f>
        <v>2200</v>
      </c>
      <c r="J5" s="19"/>
      <c r="K5" s="19"/>
      <c r="L5" s="20">
        <f>GETPIVOTDATA("calsTotal",pivot_tables!$S$1)</f>
        <v>620.26999999999987</v>
      </c>
      <c r="M5" s="20"/>
      <c r="O5" s="23" t="s">
        <v>81</v>
      </c>
      <c r="P5" s="23"/>
      <c r="Q5" s="21" t="s">
        <v>82</v>
      </c>
      <c r="R5" s="21"/>
      <c r="S5" s="6"/>
      <c r="T5" s="6"/>
    </row>
    <row r="6" spans="1:20" x14ac:dyDescent="0.35">
      <c r="O6" s="8" t="s">
        <v>77</v>
      </c>
      <c r="P6" s="7" t="s">
        <v>78</v>
      </c>
      <c r="Q6" s="22" t="s">
        <v>83</v>
      </c>
      <c r="R6" s="22"/>
      <c r="S6" s="6"/>
      <c r="T6" s="6"/>
    </row>
    <row r="7" spans="1:20" x14ac:dyDescent="0.35">
      <c r="O7" s="8" t="s">
        <v>98</v>
      </c>
      <c r="P7" s="7">
        <v>36</v>
      </c>
      <c r="Q7" s="9" t="s">
        <v>84</v>
      </c>
      <c r="R7" s="7">
        <v>20</v>
      </c>
      <c r="S7" s="6"/>
      <c r="T7" s="6"/>
    </row>
    <row r="8" spans="1:20" x14ac:dyDescent="0.35">
      <c r="O8" s="8" t="s">
        <v>99</v>
      </c>
      <c r="P8" s="7">
        <v>66</v>
      </c>
      <c r="Q8" s="9" t="s">
        <v>85</v>
      </c>
      <c r="R8" s="7">
        <v>30</v>
      </c>
      <c r="S8" s="6"/>
      <c r="T8" s="6"/>
    </row>
    <row r="9" spans="1:20" x14ac:dyDescent="0.35">
      <c r="A9" s="13">
        <f>GETPIVOTDATA("prot_eaten",pivot_tables!$A$1)</f>
        <v>46.736399999999989</v>
      </c>
      <c r="B9" s="13"/>
      <c r="C9" s="13"/>
      <c r="D9" s="13"/>
      <c r="E9" s="13"/>
      <c r="F9" s="4" t="str">
        <f>_xlfn.CONCAT("PROTEINS(",goals[goalProt],"g)")</f>
        <v>PROTEINS(165g)</v>
      </c>
      <c r="O9" s="8" t="s">
        <v>100</v>
      </c>
      <c r="P9" s="7">
        <v>171</v>
      </c>
      <c r="Q9" s="9" t="s">
        <v>87</v>
      </c>
      <c r="R9" s="7">
        <v>50</v>
      </c>
      <c r="S9" s="6"/>
      <c r="T9" s="6"/>
    </row>
    <row r="10" spans="1:20" x14ac:dyDescent="0.35">
      <c r="A10" s="14">
        <f>GETPIVOTDATA("carb_eaten",pivot_tables!$D$1)</f>
        <v>84.58159999999998</v>
      </c>
      <c r="B10" s="14"/>
      <c r="C10" s="14"/>
      <c r="D10" s="14"/>
      <c r="E10" s="14"/>
      <c r="F10" s="4" t="str">
        <f>_xlfn.CONCAT("CARBS(",goals[goalCarbs],"g)")</f>
        <v>CARBS(275g)</v>
      </c>
      <c r="O10" s="8" t="s">
        <v>79</v>
      </c>
      <c r="P10" s="7">
        <v>0.15</v>
      </c>
      <c r="Q10" s="9" t="s">
        <v>86</v>
      </c>
      <c r="R10" s="7">
        <f>SUM(R7:R9)</f>
        <v>100</v>
      </c>
      <c r="S10" s="6"/>
      <c r="T10" s="6"/>
    </row>
    <row r="11" spans="1:20" x14ac:dyDescent="0.35">
      <c r="A11" s="15">
        <f>GETPIVOTDATA("fat_eaten",pivot_tables!$G$1)</f>
        <v>8.6820000000000004</v>
      </c>
      <c r="B11" s="15"/>
      <c r="C11" s="15"/>
      <c r="D11" s="15"/>
      <c r="E11" s="15"/>
      <c r="F11" s="4" t="str" cm="1">
        <f t="array" ref="F11">_xlfn.CONCAT("FAT(",TEXT(goals[goalFat],"0,00"),"g)")</f>
        <v>FAT(48,89g)</v>
      </c>
      <c r="O11" s="8" t="s">
        <v>80</v>
      </c>
      <c r="P11" s="7">
        <v>2.5</v>
      </c>
      <c r="Q11" s="9" t="s">
        <v>88</v>
      </c>
      <c r="R11" s="7">
        <v>2200</v>
      </c>
      <c r="S11" s="6"/>
      <c r="T11" s="6"/>
    </row>
  </sheetData>
  <mergeCells count="11">
    <mergeCell ref="A9:E9"/>
    <mergeCell ref="A10:E10"/>
    <mergeCell ref="A11:E11"/>
    <mergeCell ref="A1:T3"/>
    <mergeCell ref="G4:M4"/>
    <mergeCell ref="G5:H5"/>
    <mergeCell ref="I5:K5"/>
    <mergeCell ref="L5:M5"/>
    <mergeCell ref="Q5:R5"/>
    <mergeCell ref="Q6:R6"/>
    <mergeCell ref="O5:P5"/>
  </mergeCells>
  <pageMargins left="0.7" right="0.7" top="0.75" bottom="0.75" header="0.3" footer="0.3"/>
  <drawing r:id="rId1"/>
  <picture r:id="rId2"/>
  <extLst>
    <ext xmlns:x14="http://schemas.microsoft.com/office/spreadsheetml/2009/9/main" uri="{78C0D931-6437-407d-A8EE-F0AAD7539E65}">
      <x14:conditionalFormattings>
        <x14:conditionalFormatting xmlns:xm="http://schemas.microsoft.com/office/excel/2006/main">
          <x14:cfRule type="dataBar" priority="3" id="{A0956370-2441-4765-AA0D-952D02C10825}">
            <x14:dataBar minLength="0" maxLength="100" gradient="0">
              <x14:cfvo type="num">
                <xm:f>0</xm:f>
              </x14:cfvo>
              <x14:cfvo type="num">
                <xm:f>goals!$K$2</xm:f>
              </x14:cfvo>
              <x14:fillColor rgb="FFFFC000"/>
              <x14:negativeFillColor rgb="FFFF0000"/>
              <x14:axisColor rgb="FF000000"/>
            </x14:dataBar>
          </x14:cfRule>
          <xm:sqref>A9:E9</xm:sqref>
        </x14:conditionalFormatting>
        <x14:conditionalFormatting xmlns:xm="http://schemas.microsoft.com/office/excel/2006/main">
          <x14:cfRule type="dataBar" priority="2" id="{17E8A26B-28B9-4642-8654-A7AA156CCCC9}">
            <x14:dataBar minLength="0" maxLength="100" gradient="0">
              <x14:cfvo type="num">
                <xm:f>0</xm:f>
              </x14:cfvo>
              <x14:cfvo type="num">
                <xm:f>goals!$M$2</xm:f>
              </x14:cfvo>
              <x14:fillColor rgb="FF00B0F0"/>
              <x14:negativeFillColor rgb="FFFF0000"/>
              <x14:axisColor rgb="FF000000"/>
            </x14:dataBar>
          </x14:cfRule>
          <xm:sqref>A10:E10</xm:sqref>
        </x14:conditionalFormatting>
        <x14:conditionalFormatting xmlns:xm="http://schemas.microsoft.com/office/excel/2006/main">
          <x14:cfRule type="dataBar" priority="1" id="{09219785-4A9C-479A-8963-01471C2B01D4}">
            <x14:dataBar minLength="0" maxLength="100" gradient="0">
              <x14:cfvo type="num">
                <xm:f>0</xm:f>
              </x14:cfvo>
              <x14:cfvo type="num">
                <xm:f>goals!$L$2</xm:f>
              </x14:cfvo>
              <x14:fillColor rgb="FF7030A0"/>
              <x14:negativeFillColor rgb="FFFF0000"/>
              <x14:axisColor rgb="FF000000"/>
            </x14:dataBar>
          </x14:cfRule>
          <xm:sqref>A11:E11</xm:sqref>
        </x14:conditionalFormatting>
      </x14:conditionalFormatting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DAD16-81B9-4632-84D1-8D3DE696E957}">
  <sheetPr>
    <tabColor rgb="FFFFC000"/>
  </sheetPr>
  <dimension ref="A1:O88"/>
  <sheetViews>
    <sheetView tabSelected="1" topLeftCell="A83" workbookViewId="0">
      <selection activeCell="H91" sqref="H91"/>
    </sheetView>
  </sheetViews>
  <sheetFormatPr defaultRowHeight="14.5" x14ac:dyDescent="0.35"/>
  <cols>
    <col min="1" max="1" width="10.453125" style="1" bestFit="1" customWidth="1"/>
    <col min="2" max="2" width="12.26953125" customWidth="1"/>
    <col min="3" max="3" width="9.90625" customWidth="1"/>
    <col min="4" max="4" width="11.7265625" customWidth="1"/>
    <col min="5" max="5" width="12.26953125" customWidth="1"/>
    <col min="6" max="6" width="10.6328125" customWidth="1"/>
    <col min="7" max="7" width="10.36328125" customWidth="1"/>
    <col min="12" max="12" width="8.7265625" style="12"/>
  </cols>
  <sheetData>
    <row r="1" spans="1:15" x14ac:dyDescent="0.35">
      <c r="A1" s="1" t="s">
        <v>0</v>
      </c>
      <c r="B1" t="s">
        <v>1</v>
      </c>
      <c r="C1" t="s">
        <v>7</v>
      </c>
      <c r="D1" t="s">
        <v>8</v>
      </c>
      <c r="E1" t="s">
        <v>9</v>
      </c>
      <c r="F1" t="s">
        <v>10</v>
      </c>
      <c r="G1" t="s">
        <v>6</v>
      </c>
      <c r="H1" t="s">
        <v>68</v>
      </c>
      <c r="I1" t="s">
        <v>69</v>
      </c>
      <c r="J1" t="s">
        <v>70</v>
      </c>
      <c r="K1" t="s">
        <v>71</v>
      </c>
      <c r="L1" s="12" t="s">
        <v>72</v>
      </c>
      <c r="M1" t="s">
        <v>73</v>
      </c>
      <c r="N1" t="s">
        <v>74</v>
      </c>
      <c r="O1" t="s">
        <v>75</v>
      </c>
    </row>
    <row r="2" spans="1:15" x14ac:dyDescent="0.35">
      <c r="A2" s="1">
        <v>45241</v>
      </c>
      <c r="B2" t="s">
        <v>51</v>
      </c>
      <c r="C2">
        <v>3</v>
      </c>
      <c r="D2">
        <f>(VLOOKUP(registry[[#This Row],[food_name]],food_name[],2,FALSE)/VLOOKUP(registry[[#This Row],[food_name]],food_name[],5,FALSE))*$C2</f>
        <v>3.5999999999999999E-3</v>
      </c>
      <c r="E2">
        <f>(VLOOKUP(registry[[#This Row],[food_name]],food_name[],3,FALSE)/VLOOKUP(registry[[#This Row],[food_name]],food_name[],5,FALSE))*$C2</f>
        <v>1.2000000000000001E-3</v>
      </c>
      <c r="F2">
        <f>(VLOOKUP(registry[[#This Row],[food_name]],food_name[],4,FALSE)/VLOOKUP(registry[[#This Row],[food_name]],food_name[],5,FALSE))*$C2</f>
        <v>6.0000000000000006E-4</v>
      </c>
      <c r="G2">
        <f>($C2*(VLOOKUP(registry[[#This Row],[food_name]],food_name[],6,FALSE))/VLOOKUP(registry[[#This Row],[food_name]],food_name[],5,FALSE))</f>
        <v>0.03</v>
      </c>
      <c r="H2">
        <v>66</v>
      </c>
      <c r="I2" cm="1">
        <f t="array" ref="I2">Table4[min_range_weight]</f>
        <v>68.802352941176466</v>
      </c>
      <c r="J2" cm="1">
        <f t="array" ref="J2">Table4[max_range_weigth]</f>
        <v>86.002941176470586</v>
      </c>
      <c r="K2" cm="1">
        <f t="array" ref="K2">Table4[weight_goal]</f>
        <v>71</v>
      </c>
      <c r="L2" s="12">
        <v>51</v>
      </c>
      <c r="M2" cm="1">
        <f t="array" ref="M2">Table4[MM_min]</f>
        <v>58.481999999999992</v>
      </c>
      <c r="N2" cm="1">
        <f t="array" ref="N2">Table4[MM_max]</f>
        <v>73.102499999999992</v>
      </c>
      <c r="O2" cm="1">
        <f t="array" ref="O2">Table4[natural_mass_limit]</f>
        <v>60.35</v>
      </c>
    </row>
    <row r="3" spans="1:15" x14ac:dyDescent="0.35">
      <c r="A3" s="1">
        <v>45241</v>
      </c>
      <c r="B3" t="s">
        <v>51</v>
      </c>
      <c r="C3">
        <v>3</v>
      </c>
      <c r="D3">
        <f>(VLOOKUP(registry[[#This Row],[food_name]],food_name[],2,FALSE)/VLOOKUP(registry[[#This Row],[food_name]],food_name[],5,FALSE))*$C3</f>
        <v>3.5999999999999999E-3</v>
      </c>
      <c r="E3">
        <f>(VLOOKUP(registry[[#This Row],[food_name]],food_name[],3,FALSE)/VLOOKUP(registry[[#This Row],[food_name]],food_name[],5,FALSE))*$C3</f>
        <v>1.2000000000000001E-3</v>
      </c>
      <c r="F3">
        <f>(VLOOKUP(registry[[#This Row],[food_name]],food_name[],4,FALSE)/VLOOKUP(registry[[#This Row],[food_name]],food_name[],5,FALSE))*$C3</f>
        <v>6.0000000000000006E-4</v>
      </c>
      <c r="G3">
        <f>($C3*(VLOOKUP(registry[[#This Row],[food_name]],food_name[],6,FALSE))/VLOOKUP(registry[[#This Row],[food_name]],food_name[],5,FALSE))</f>
        <v>0.03</v>
      </c>
      <c r="H3">
        <v>66</v>
      </c>
      <c r="I3" cm="1">
        <f t="array" ref="I3">Table4[min_range_weight]</f>
        <v>68.802352941176466</v>
      </c>
      <c r="J3" cm="1">
        <f t="array" ref="J3">Table4[max_range_weigth]</f>
        <v>86.002941176470586</v>
      </c>
      <c r="K3" cm="1">
        <f t="array" ref="K3">Table4[weight_goal]</f>
        <v>71</v>
      </c>
      <c r="L3" s="12">
        <v>51</v>
      </c>
      <c r="M3" cm="1">
        <f t="array" ref="M3">Table4[MM_min]</f>
        <v>58.481999999999992</v>
      </c>
      <c r="N3" cm="1">
        <f t="array" ref="N3">Table4[MM_max]</f>
        <v>73.102499999999992</v>
      </c>
      <c r="O3" cm="1">
        <f t="array" ref="O3">Table4[natural_mass_limit]</f>
        <v>60.35</v>
      </c>
    </row>
    <row r="4" spans="1:15" x14ac:dyDescent="0.35">
      <c r="A4" s="1">
        <v>45241</v>
      </c>
      <c r="B4" t="s">
        <v>52</v>
      </c>
      <c r="C4">
        <v>240</v>
      </c>
      <c r="D4">
        <f>(VLOOKUP(registry[[#This Row],[food_name]],food_name[],2,FALSE)/VLOOKUP(registry[[#This Row],[food_name]],food_name[],5,FALSE))*$C4</f>
        <v>16.080000000000002</v>
      </c>
      <c r="E4">
        <f>(VLOOKUP(registry[[#This Row],[food_name]],food_name[],3,FALSE)/VLOOKUP(registry[[#This Row],[food_name]],food_name[],5,FALSE))*$C4</f>
        <v>32.64</v>
      </c>
      <c r="F4">
        <f>(VLOOKUP(registry[[#This Row],[food_name]],food_name[],4,FALSE)/VLOOKUP(registry[[#This Row],[food_name]],food_name[],5,FALSE))*$C4</f>
        <v>5.28</v>
      </c>
      <c r="G4">
        <f>($C4*(VLOOKUP(registry[[#This Row],[food_name]],food_name[],6,FALSE))/VLOOKUP(registry[[#This Row],[food_name]],food_name[],5,FALSE))</f>
        <v>276</v>
      </c>
      <c r="H4">
        <v>66</v>
      </c>
      <c r="I4" cm="1">
        <f t="array" ref="I4">Table4[min_range_weight]</f>
        <v>68.802352941176466</v>
      </c>
      <c r="J4" cm="1">
        <f t="array" ref="J4">Table4[max_range_weigth]</f>
        <v>86.002941176470586</v>
      </c>
      <c r="K4" cm="1">
        <f t="array" ref="K4">Table4[weight_goal]</f>
        <v>71</v>
      </c>
      <c r="L4" s="12">
        <v>51</v>
      </c>
      <c r="M4" cm="1">
        <f t="array" ref="M4">Table4[MM_min]</f>
        <v>58.481999999999992</v>
      </c>
      <c r="N4" cm="1">
        <f t="array" ref="N4">Table4[MM_max]</f>
        <v>73.102499999999992</v>
      </c>
      <c r="O4" cm="1">
        <f t="array" ref="O4">Table4[natural_mass_limit]</f>
        <v>60.35</v>
      </c>
    </row>
    <row r="5" spans="1:15" x14ac:dyDescent="0.35">
      <c r="A5" s="1">
        <v>45241</v>
      </c>
      <c r="B5" t="s">
        <v>52</v>
      </c>
      <c r="C5">
        <v>240</v>
      </c>
      <c r="D5">
        <f>(VLOOKUP(registry[[#This Row],[food_name]],food_name[],2,FALSE)/VLOOKUP(registry[[#This Row],[food_name]],food_name[],5,FALSE))*$C5</f>
        <v>16.080000000000002</v>
      </c>
      <c r="E5">
        <f>(VLOOKUP(registry[[#This Row],[food_name]],food_name[],3,FALSE)/VLOOKUP(registry[[#This Row],[food_name]],food_name[],5,FALSE))*$C5</f>
        <v>32.64</v>
      </c>
      <c r="F5">
        <f>(VLOOKUP(registry[[#This Row],[food_name]],food_name[],4,FALSE)/VLOOKUP(registry[[#This Row],[food_name]],food_name[],5,FALSE))*$C5</f>
        <v>5.28</v>
      </c>
      <c r="G5">
        <f>($C5*(VLOOKUP(registry[[#This Row],[food_name]],food_name[],6,FALSE))/VLOOKUP(registry[[#This Row],[food_name]],food_name[],5,FALSE))</f>
        <v>276</v>
      </c>
      <c r="H5">
        <v>66</v>
      </c>
      <c r="I5" cm="1">
        <f t="array" ref="I5">Table4[min_range_weight]</f>
        <v>68.802352941176466</v>
      </c>
      <c r="J5" cm="1">
        <f t="array" ref="J5">Table4[max_range_weigth]</f>
        <v>86.002941176470586</v>
      </c>
      <c r="K5" cm="1">
        <f t="array" ref="K5">Table4[weight_goal]</f>
        <v>71</v>
      </c>
      <c r="L5" s="12">
        <v>51</v>
      </c>
      <c r="M5" cm="1">
        <f t="array" ref="M5">Table4[MM_min]</f>
        <v>58.481999999999992</v>
      </c>
      <c r="N5" cm="1">
        <f t="array" ref="N5">Table4[MM_max]</f>
        <v>73.102499999999992</v>
      </c>
      <c r="O5" cm="1">
        <f t="array" ref="O5">Table4[natural_mass_limit]</f>
        <v>60.35</v>
      </c>
    </row>
    <row r="6" spans="1:15" x14ac:dyDescent="0.35">
      <c r="A6" s="1">
        <v>45241</v>
      </c>
      <c r="B6" t="s">
        <v>57</v>
      </c>
      <c r="C6">
        <v>76</v>
      </c>
      <c r="D6">
        <f>(VLOOKUP(registry[[#This Row],[food_name]],food_name[],2,FALSE)/VLOOKUP(registry[[#This Row],[food_name]],food_name[],5,FALSE))*$C6</f>
        <v>0.76</v>
      </c>
      <c r="E6">
        <f>(VLOOKUP(registry[[#This Row],[food_name]],food_name[],3,FALSE)/VLOOKUP(registry[[#This Row],[food_name]],food_name[],5,FALSE))*$C6</f>
        <v>7.7519999999999998</v>
      </c>
      <c r="F6">
        <f>(VLOOKUP(registry[[#This Row],[food_name]],food_name[],4,FALSE)/VLOOKUP(registry[[#This Row],[food_name]],food_name[],5,FALSE))*$C6</f>
        <v>0.152</v>
      </c>
      <c r="G6">
        <f>($C6*(VLOOKUP(registry[[#This Row],[food_name]],food_name[],6,FALSE))/VLOOKUP(registry[[#This Row],[food_name]],food_name[],5,FALSE))</f>
        <v>31.92</v>
      </c>
      <c r="H6">
        <v>66</v>
      </c>
      <c r="I6" cm="1">
        <f t="array" ref="I6">Table4[min_range_weight]</f>
        <v>68.802352941176466</v>
      </c>
      <c r="J6" cm="1">
        <f t="array" ref="J6">Table4[max_range_weigth]</f>
        <v>86.002941176470586</v>
      </c>
      <c r="K6" cm="1">
        <f t="array" ref="K6">Table4[weight_goal]</f>
        <v>71</v>
      </c>
      <c r="L6" s="12">
        <v>51</v>
      </c>
      <c r="M6" cm="1">
        <f t="array" ref="M6">Table4[MM_min]</f>
        <v>58.481999999999992</v>
      </c>
      <c r="N6" cm="1">
        <f t="array" ref="N6">Table4[MM_max]</f>
        <v>73.102499999999992</v>
      </c>
      <c r="O6" cm="1">
        <f t="array" ref="O6">Table4[natural_mass_limit]</f>
        <v>60.35</v>
      </c>
    </row>
    <row r="7" spans="1:15" x14ac:dyDescent="0.35">
      <c r="A7" s="1">
        <v>45241</v>
      </c>
      <c r="B7" t="s">
        <v>56</v>
      </c>
      <c r="C7">
        <f>309/4</f>
        <v>77.25</v>
      </c>
      <c r="D7">
        <f>(VLOOKUP(registry[[#This Row],[food_name]],food_name[],2,FALSE)/VLOOKUP(registry[[#This Row],[food_name]],food_name[],5,FALSE))*$C7</f>
        <v>0.69525000000000003</v>
      </c>
      <c r="E7">
        <f>(VLOOKUP(registry[[#This Row],[food_name]],food_name[],3,FALSE)/VLOOKUP(registry[[#This Row],[food_name]],food_name[],5,FALSE))*$C7</f>
        <v>2.7037500000000003</v>
      </c>
      <c r="F7">
        <f>(VLOOKUP(registry[[#This Row],[food_name]],food_name[],4,FALSE)/VLOOKUP(registry[[#This Row],[food_name]],food_name[],5,FALSE))*$C7</f>
        <v>0.1545</v>
      </c>
      <c r="G7">
        <f>($C7*(VLOOKUP(registry[[#This Row],[food_name]],food_name[],6,FALSE))/VLOOKUP(registry[[#This Row],[food_name]],food_name[],5,FALSE))</f>
        <v>15.45</v>
      </c>
      <c r="H7">
        <v>66</v>
      </c>
      <c r="I7" cm="1">
        <f t="array" ref="I7">Table4[min_range_weight]</f>
        <v>68.802352941176466</v>
      </c>
      <c r="J7" cm="1">
        <f t="array" ref="J7">Table4[max_range_weigth]</f>
        <v>86.002941176470586</v>
      </c>
      <c r="K7" cm="1">
        <f t="array" ref="K7">Table4[weight_goal]</f>
        <v>71</v>
      </c>
      <c r="L7" s="12">
        <v>51</v>
      </c>
      <c r="M7" cm="1">
        <f t="array" ref="M7">Table4[MM_min]</f>
        <v>58.481999999999992</v>
      </c>
      <c r="N7" cm="1">
        <f t="array" ref="N7">Table4[MM_max]</f>
        <v>73.102499999999992</v>
      </c>
      <c r="O7" cm="1">
        <f t="array" ref="O7">Table4[natural_mass_limit]</f>
        <v>60.35</v>
      </c>
    </row>
    <row r="8" spans="1:15" x14ac:dyDescent="0.35">
      <c r="A8" s="1">
        <v>45241</v>
      </c>
      <c r="B8" t="s">
        <v>90</v>
      </c>
      <c r="C8">
        <v>120</v>
      </c>
      <c r="D8">
        <f>(VLOOKUP(registry[[#This Row],[food_name]],food_name[],2,FALSE)/VLOOKUP(registry[[#This Row],[food_name]],food_name[],5,FALSE))*$C8</f>
        <v>28.2</v>
      </c>
      <c r="E8">
        <f>(VLOOKUP(registry[[#This Row],[food_name]],food_name[],3,FALSE)/VLOOKUP(registry[[#This Row],[food_name]],food_name[],5,FALSE))*$C8</f>
        <v>0</v>
      </c>
      <c r="F8">
        <f>(VLOOKUP(registry[[#This Row],[food_name]],food_name[],4,FALSE)/VLOOKUP(registry[[#This Row],[food_name]],food_name[],5,FALSE))*$C8</f>
        <v>0.72</v>
      </c>
      <c r="G8">
        <f>($C8*(VLOOKUP(registry[[#This Row],[food_name]],food_name[],6,FALSE))/VLOOKUP(registry[[#This Row],[food_name]],food_name[],5,FALSE))</f>
        <v>118.8</v>
      </c>
      <c r="H8">
        <v>66</v>
      </c>
      <c r="I8" cm="1">
        <f t="array" ref="I8">Table4[min_range_weight]</f>
        <v>68.802352941176466</v>
      </c>
      <c r="J8" cm="1">
        <f t="array" ref="J8">Table4[max_range_weigth]</f>
        <v>86.002941176470586</v>
      </c>
      <c r="K8" cm="1">
        <f t="array" ref="K8">Table4[weight_goal]</f>
        <v>71</v>
      </c>
      <c r="L8" s="12">
        <v>51</v>
      </c>
      <c r="M8" cm="1">
        <f t="array" ref="M8">Table4[MM_min]</f>
        <v>58.481999999999992</v>
      </c>
      <c r="N8" cm="1">
        <f t="array" ref="N8">Table4[MM_max]</f>
        <v>73.102499999999992</v>
      </c>
      <c r="O8" cm="1">
        <f t="array" ref="O8">Table4[natural_mass_limit]</f>
        <v>60.35</v>
      </c>
    </row>
    <row r="9" spans="1:15" x14ac:dyDescent="0.35">
      <c r="A9" s="1">
        <v>45241</v>
      </c>
      <c r="B9" t="s">
        <v>55</v>
      </c>
      <c r="C9">
        <v>71</v>
      </c>
      <c r="D9">
        <f>(VLOOKUP(registry[[#This Row],[food_name]],food_name[],2,FALSE)/VLOOKUP(registry[[#This Row],[food_name]],food_name[],5,FALSE))*$C9</f>
        <v>0.56800000000000006</v>
      </c>
      <c r="E9">
        <f>(VLOOKUP(registry[[#This Row],[food_name]],food_name[],3,FALSE)/VLOOKUP(registry[[#This Row],[food_name]],food_name[],5,FALSE))*$C9</f>
        <v>15.193999999999999</v>
      </c>
      <c r="F9">
        <f>(VLOOKUP(registry[[#This Row],[food_name]],food_name[],4,FALSE)/VLOOKUP(registry[[#This Row],[food_name]],food_name[],5,FALSE))*$C9</f>
        <v>0</v>
      </c>
      <c r="G9">
        <f>($C9*(VLOOKUP(registry[[#This Row],[food_name]],food_name[],6,FALSE))/VLOOKUP(registry[[#This Row],[food_name]],food_name[],5,FALSE))</f>
        <v>58.93</v>
      </c>
      <c r="H9" cm="1">
        <f t="array" ref="H9">Table4[weigth]</f>
        <v>66</v>
      </c>
      <c r="I9" cm="1">
        <f t="array" ref="I9">Table4[min_range_weight]</f>
        <v>68.802352941176466</v>
      </c>
      <c r="J9" cm="1">
        <f t="array" ref="J9">Table4[max_range_weigth]</f>
        <v>86.002941176470586</v>
      </c>
      <c r="K9" cm="1">
        <f t="array" ref="K9">Table4[weight_goal]</f>
        <v>71</v>
      </c>
      <c r="L9" s="12">
        <v>51</v>
      </c>
      <c r="M9" cm="1">
        <f t="array" ref="M9">Table4[MM_min]</f>
        <v>58.481999999999992</v>
      </c>
      <c r="N9" cm="1">
        <f t="array" ref="N9">Table4[MM_max]</f>
        <v>73.102499999999992</v>
      </c>
      <c r="O9" cm="1">
        <f t="array" ref="O9">Table4[natural_mass_limit]</f>
        <v>60.35</v>
      </c>
    </row>
    <row r="10" spans="1:15" x14ac:dyDescent="0.35">
      <c r="A10" s="1">
        <v>45241</v>
      </c>
      <c r="B10" t="s">
        <v>53</v>
      </c>
      <c r="C10">
        <v>191</v>
      </c>
      <c r="D10">
        <f>(VLOOKUP(registry[[#This Row],[food_name]],food_name[],2,FALSE)/VLOOKUP(registry[[#This Row],[food_name]],food_name[],5,FALSE))*$C10</f>
        <v>21.01</v>
      </c>
      <c r="E10">
        <f>(VLOOKUP(registry[[#This Row],[food_name]],food_name[],3,FALSE)/VLOOKUP(registry[[#This Row],[food_name]],food_name[],5,FALSE))*$C10</f>
        <v>115.36399999999999</v>
      </c>
      <c r="F10">
        <f>(VLOOKUP(registry[[#This Row],[food_name]],food_name[],4,FALSE)/VLOOKUP(registry[[#This Row],[food_name]],food_name[],5,FALSE))*$C10</f>
        <v>15.661999999999997</v>
      </c>
      <c r="G10">
        <f>($C10*(VLOOKUP(registry[[#This Row],[food_name]],food_name[],6,FALSE))/VLOOKUP(registry[[#This Row],[food_name]],food_name[],5,FALSE))</f>
        <v>718.16</v>
      </c>
      <c r="H10" cm="1">
        <f t="array" ref="H10">Table4[weigth]</f>
        <v>66</v>
      </c>
      <c r="I10" cm="1">
        <f t="array" ref="I10">Table4[min_range_weight]</f>
        <v>68.802352941176466</v>
      </c>
      <c r="J10" cm="1">
        <f t="array" ref="J10">Table4[max_range_weigth]</f>
        <v>86.002941176470586</v>
      </c>
      <c r="K10" cm="1">
        <f t="array" ref="K10">Table4[weight_goal]</f>
        <v>71</v>
      </c>
      <c r="L10" s="12">
        <v>51</v>
      </c>
      <c r="M10" cm="1">
        <f t="array" ref="M10">Table4[MM_min]</f>
        <v>58.481999999999992</v>
      </c>
      <c r="N10" cm="1">
        <f t="array" ref="N10">Table4[MM_max]</f>
        <v>73.102499999999992</v>
      </c>
      <c r="O10" cm="1">
        <f t="array" ref="O10">Table4[natural_mass_limit]</f>
        <v>60.35</v>
      </c>
    </row>
    <row r="11" spans="1:15" x14ac:dyDescent="0.35">
      <c r="A11" s="1">
        <v>45241</v>
      </c>
      <c r="B11" t="s">
        <v>54</v>
      </c>
      <c r="C11">
        <v>253</v>
      </c>
      <c r="D11">
        <f>(VLOOKUP(registry[[#This Row],[food_name]],food_name[],2,FALSE)/VLOOKUP(registry[[#This Row],[food_name]],food_name[],5,FALSE))*$C11</f>
        <v>8.6020000000000003</v>
      </c>
      <c r="E11">
        <f>(VLOOKUP(registry[[#This Row],[food_name]],food_name[],3,FALSE)/VLOOKUP(registry[[#This Row],[food_name]],food_name[],5,FALSE))*$C11</f>
        <v>6.5780000000000003</v>
      </c>
      <c r="F11">
        <f>(VLOOKUP(registry[[#This Row],[food_name]],food_name[],4,FALSE)/VLOOKUP(registry[[#This Row],[food_name]],food_name[],5,FALSE))*$C11</f>
        <v>4.8069999999999995</v>
      </c>
      <c r="G11">
        <f>($C11*(VLOOKUP(registry[[#This Row],[food_name]],food_name[],6,FALSE))/VLOOKUP(registry[[#This Row],[food_name]],food_name[],5,FALSE))</f>
        <v>106.26</v>
      </c>
      <c r="H11" cm="1">
        <f t="array" ref="H11">Table4[weigth]</f>
        <v>66</v>
      </c>
      <c r="I11" cm="1">
        <f t="array" ref="I11">Table4[min_range_weight]</f>
        <v>68.802352941176466</v>
      </c>
      <c r="J11" cm="1">
        <f t="array" ref="J11">Table4[max_range_weigth]</f>
        <v>86.002941176470586</v>
      </c>
      <c r="K11" cm="1">
        <f t="array" ref="K11">Table4[weight_goal]</f>
        <v>71</v>
      </c>
      <c r="L11" s="12">
        <v>51</v>
      </c>
      <c r="M11" cm="1">
        <f t="array" ref="M11">Table4[MM_min]</f>
        <v>58.481999999999992</v>
      </c>
      <c r="N11" cm="1">
        <f t="array" ref="N11">Table4[MM_max]</f>
        <v>73.102499999999992</v>
      </c>
      <c r="O11" cm="1">
        <f t="array" ref="O11">Table4[natural_mass_limit]</f>
        <v>60.35</v>
      </c>
    </row>
    <row r="12" spans="1:15" x14ac:dyDescent="0.35">
      <c r="A12" s="1">
        <v>45241</v>
      </c>
      <c r="B12" t="s">
        <v>93</v>
      </c>
      <c r="C12">
        <v>8</v>
      </c>
      <c r="D12">
        <f>(VLOOKUP(registry[[#This Row],[food_name]],food_name[],2,FALSE)/VLOOKUP(registry[[#This Row],[food_name]],food_name[],5,FALSE))*$C12</f>
        <v>2.16</v>
      </c>
      <c r="E12">
        <f>(VLOOKUP(registry[[#This Row],[food_name]],food_name[],3,FALSE)/VLOOKUP(registry[[#This Row],[food_name]],food_name[],5,FALSE))*$C12</f>
        <v>1.44</v>
      </c>
      <c r="F12">
        <f>(VLOOKUP(registry[[#This Row],[food_name]],food_name[],4,FALSE)/VLOOKUP(registry[[#This Row],[food_name]],food_name[],5,FALSE))*$C12</f>
        <v>0.88</v>
      </c>
      <c r="G12">
        <f>($C12*(VLOOKUP(registry[[#This Row],[food_name]],food_name[],6,FALSE))/VLOOKUP(registry[[#This Row],[food_name]],food_name[],5,FALSE))</f>
        <v>27.52</v>
      </c>
      <c r="H12" cm="1">
        <f t="array" ref="H12">Table4[weigth]</f>
        <v>66</v>
      </c>
      <c r="I12" cm="1">
        <f t="array" ref="I12">Table4[min_range_weight]</f>
        <v>68.802352941176466</v>
      </c>
      <c r="J12" cm="1">
        <f t="array" ref="J12">Table4[max_range_weigth]</f>
        <v>86.002941176470586</v>
      </c>
      <c r="K12" cm="1">
        <f t="array" ref="K12">Table4[weight_goal]</f>
        <v>71</v>
      </c>
      <c r="L12" s="12">
        <v>51</v>
      </c>
      <c r="M12" cm="1">
        <f t="array" ref="M12">Table4[MM_min]</f>
        <v>58.481999999999992</v>
      </c>
      <c r="N12" cm="1">
        <f t="array" ref="N12">Table4[MM_max]</f>
        <v>73.102499999999992</v>
      </c>
      <c r="O12" cm="1">
        <f t="array" ref="O12">Table4[natural_mass_limit]</f>
        <v>60.35</v>
      </c>
    </row>
    <row r="13" spans="1:15" x14ac:dyDescent="0.35">
      <c r="A13" s="1">
        <v>45241</v>
      </c>
      <c r="B13" t="s">
        <v>91</v>
      </c>
      <c r="C13">
        <v>147</v>
      </c>
      <c r="D13">
        <f>(VLOOKUP(registry[[#This Row],[food_name]],food_name[],2,FALSE)/VLOOKUP(registry[[#This Row],[food_name]],food_name[],5,FALSE))*$C13</f>
        <v>14.258999999999999</v>
      </c>
      <c r="E13">
        <f>(VLOOKUP(registry[[#This Row],[food_name]],food_name[],3,FALSE)/VLOOKUP(registry[[#This Row],[food_name]],food_name[],5,FALSE))*$C13</f>
        <v>58.800000000000004</v>
      </c>
      <c r="F13">
        <f>(VLOOKUP(registry[[#This Row],[food_name]],food_name[],4,FALSE)/VLOOKUP(registry[[#This Row],[food_name]],food_name[],5,FALSE))*$C13</f>
        <v>2.0579999999999998</v>
      </c>
      <c r="G13">
        <f>($C13*(VLOOKUP(registry[[#This Row],[food_name]],food_name[],6,FALSE))/VLOOKUP(registry[[#This Row],[food_name]],food_name[],5,FALSE))</f>
        <v>323.39999999999998</v>
      </c>
      <c r="H13" cm="1">
        <f t="array" ref="H13">Table4[weigth]</f>
        <v>66</v>
      </c>
      <c r="I13" cm="1">
        <f t="array" ref="I13">Table4[min_range_weight]</f>
        <v>68.802352941176466</v>
      </c>
      <c r="J13" cm="1">
        <f t="array" ref="J13">Table4[max_range_weigth]</f>
        <v>86.002941176470586</v>
      </c>
      <c r="K13" cm="1">
        <f t="array" ref="K13">Table4[weight_goal]</f>
        <v>71</v>
      </c>
      <c r="L13" s="12">
        <v>51</v>
      </c>
      <c r="M13" cm="1">
        <f t="array" ref="M13">Table4[MM_min]</f>
        <v>58.481999999999992</v>
      </c>
      <c r="N13" cm="1">
        <f t="array" ref="N13">Table4[MM_max]</f>
        <v>73.102499999999992</v>
      </c>
      <c r="O13" cm="1">
        <f t="array" ref="O13">Table4[natural_mass_limit]</f>
        <v>60.35</v>
      </c>
    </row>
    <row r="14" spans="1:15" x14ac:dyDescent="0.35">
      <c r="A14" s="1">
        <v>45241</v>
      </c>
      <c r="B14" t="s">
        <v>59</v>
      </c>
      <c r="C14">
        <v>100</v>
      </c>
      <c r="D14">
        <f>(VLOOKUP(registry[[#This Row],[food_name]],food_name[],2,FALSE)/VLOOKUP(registry[[#This Row],[food_name]],food_name[],5,FALSE))*$C14</f>
        <v>18.600000000000001</v>
      </c>
      <c r="E14">
        <f>(VLOOKUP(registry[[#This Row],[food_name]],food_name[],3,FALSE)/VLOOKUP(registry[[#This Row],[food_name]],food_name[],5,FALSE))*$C14</f>
        <v>0.5</v>
      </c>
      <c r="F14">
        <f>(VLOOKUP(registry[[#This Row],[food_name]],food_name[],4,FALSE)/VLOOKUP(registry[[#This Row],[food_name]],food_name[],5,FALSE))*$C14</f>
        <v>2.4</v>
      </c>
      <c r="G14">
        <f>($C14*(VLOOKUP(registry[[#This Row],[food_name]],food_name[],6,FALSE))/VLOOKUP(registry[[#This Row],[food_name]],food_name[],5,FALSE))</f>
        <v>100</v>
      </c>
      <c r="H14" cm="1">
        <f t="array" ref="H14">Table4[weigth]</f>
        <v>66</v>
      </c>
      <c r="I14" cm="1">
        <f t="array" ref="I14">Table4[min_range_weight]</f>
        <v>68.802352941176466</v>
      </c>
      <c r="J14" cm="1">
        <f t="array" ref="J14">Table4[max_range_weigth]</f>
        <v>86.002941176470586</v>
      </c>
      <c r="K14" cm="1">
        <f t="array" ref="K14">Table4[weight_goal]</f>
        <v>71</v>
      </c>
      <c r="L14" s="12">
        <v>51</v>
      </c>
      <c r="M14" cm="1">
        <f t="array" ref="M14">Table4[MM_min]</f>
        <v>58.481999999999992</v>
      </c>
      <c r="N14" cm="1">
        <f t="array" ref="N14">Table4[MM_max]</f>
        <v>73.102499999999992</v>
      </c>
      <c r="O14" cm="1">
        <f t="array" ref="O14">Table4[natural_mass_limit]</f>
        <v>60.35</v>
      </c>
    </row>
    <row r="15" spans="1:15" x14ac:dyDescent="0.35">
      <c r="A15" s="1">
        <v>45242</v>
      </c>
      <c r="B15" t="s">
        <v>59</v>
      </c>
      <c r="C15">
        <v>116</v>
      </c>
      <c r="D15">
        <f>(VLOOKUP(registry[[#This Row],[food_name]],food_name[],2,FALSE)/VLOOKUP(registry[[#This Row],[food_name]],food_name[],5,FALSE))*$C15</f>
        <v>21.576000000000004</v>
      </c>
      <c r="E15">
        <f>(VLOOKUP(registry[[#This Row],[food_name]],food_name[],3,FALSE)/VLOOKUP(registry[[#This Row],[food_name]],food_name[],5,FALSE))*$C15</f>
        <v>0.57999999999999996</v>
      </c>
      <c r="F15">
        <f>(VLOOKUP(registry[[#This Row],[food_name]],food_name[],4,FALSE)/VLOOKUP(registry[[#This Row],[food_name]],food_name[],5,FALSE))*$C15</f>
        <v>2.7840000000000003</v>
      </c>
      <c r="G15">
        <f>($C15*(VLOOKUP(registry[[#This Row],[food_name]],food_name[],6,FALSE))/VLOOKUP(registry[[#This Row],[food_name]],food_name[],5,FALSE))</f>
        <v>116</v>
      </c>
      <c r="H15" cm="1">
        <f t="array" ref="H15">Table4[weigth]</f>
        <v>66</v>
      </c>
      <c r="I15" cm="1">
        <f t="array" ref="I15">Table4[min_range_weight]</f>
        <v>68.802352941176466</v>
      </c>
      <c r="J15" cm="1">
        <f t="array" ref="J15">Table4[max_range_weigth]</f>
        <v>86.002941176470586</v>
      </c>
      <c r="K15" cm="1">
        <f t="array" ref="K15">Table4[weight_goal]</f>
        <v>71</v>
      </c>
      <c r="L15" s="12">
        <v>51</v>
      </c>
      <c r="M15" cm="1">
        <f t="array" ref="M15">Table4[MM_min]</f>
        <v>58.481999999999992</v>
      </c>
      <c r="N15" cm="1">
        <f t="array" ref="N15">Table4[MM_max]</f>
        <v>73.102499999999992</v>
      </c>
      <c r="O15" cm="1">
        <f t="array" ref="O15">Table4[natural_mass_limit]</f>
        <v>60.35</v>
      </c>
    </row>
    <row r="16" spans="1:15" x14ac:dyDescent="0.35">
      <c r="A16" s="1">
        <v>45242</v>
      </c>
      <c r="B16" t="s">
        <v>101</v>
      </c>
      <c r="C16">
        <v>98</v>
      </c>
      <c r="D16">
        <f>(VLOOKUP(registry[[#This Row],[food_name]],food_name[],2,FALSE)/VLOOKUP(registry[[#This Row],[food_name]],food_name[],5,FALSE))*$C16</f>
        <v>5.194</v>
      </c>
      <c r="E16">
        <f>(VLOOKUP(registry[[#This Row],[food_name]],food_name[],3,FALSE)/VLOOKUP(registry[[#This Row],[food_name]],food_name[],5,FALSE))*$C16</f>
        <v>11.76</v>
      </c>
      <c r="F16">
        <f>(VLOOKUP(registry[[#This Row],[food_name]],food_name[],4,FALSE)/VLOOKUP(registry[[#This Row],[food_name]],food_name[],5,FALSE))*$C16</f>
        <v>16.464000000000002</v>
      </c>
      <c r="G16">
        <f>($C16*(VLOOKUP(registry[[#This Row],[food_name]],food_name[],6,FALSE))/VLOOKUP(registry[[#This Row],[food_name]],food_name[],5,FALSE))</f>
        <v>224.42</v>
      </c>
      <c r="H16" cm="1">
        <f t="array" ref="H16">Table4[weigth]</f>
        <v>66</v>
      </c>
      <c r="I16" cm="1">
        <f t="array" ref="I16">Table4[min_range_weight]</f>
        <v>68.802352941176466</v>
      </c>
      <c r="J16" cm="1">
        <f t="array" ref="J16">Table4[max_range_weigth]</f>
        <v>86.002941176470586</v>
      </c>
      <c r="K16" cm="1">
        <f t="array" ref="K16">Table4[weight_goal]</f>
        <v>71</v>
      </c>
      <c r="L16" s="12">
        <v>51</v>
      </c>
      <c r="M16" cm="1">
        <f t="array" ref="M16">Table4[MM_min]</f>
        <v>58.481999999999992</v>
      </c>
      <c r="N16" cm="1">
        <f t="array" ref="N16">Table4[MM_max]</f>
        <v>73.102499999999992</v>
      </c>
      <c r="O16" cm="1">
        <f t="array" ref="O16">Table4[natural_mass_limit]</f>
        <v>60.35</v>
      </c>
    </row>
    <row r="17" spans="1:15" x14ac:dyDescent="0.35">
      <c r="A17" s="1">
        <v>45242</v>
      </c>
      <c r="B17" t="s">
        <v>91</v>
      </c>
      <c r="C17">
        <v>261</v>
      </c>
      <c r="D17">
        <f>(VLOOKUP(registry[[#This Row],[food_name]],food_name[],2,FALSE)/VLOOKUP(registry[[#This Row],[food_name]],food_name[],5,FALSE))*$C17</f>
        <v>25.316999999999997</v>
      </c>
      <c r="E17">
        <f>(VLOOKUP(registry[[#This Row],[food_name]],food_name[],3,FALSE)/VLOOKUP(registry[[#This Row],[food_name]],food_name[],5,FALSE))*$C17</f>
        <v>104.4</v>
      </c>
      <c r="F17">
        <f>(VLOOKUP(registry[[#This Row],[food_name]],food_name[],4,FALSE)/VLOOKUP(registry[[#This Row],[food_name]],food_name[],5,FALSE))*$C17</f>
        <v>3.6539999999999995</v>
      </c>
      <c r="G17">
        <f>($C17*(VLOOKUP(registry[[#This Row],[food_name]],food_name[],6,FALSE))/VLOOKUP(registry[[#This Row],[food_name]],food_name[],5,FALSE))</f>
        <v>574.20000000000005</v>
      </c>
      <c r="H17" cm="1">
        <f t="array" ref="H17">Table4[weigth]</f>
        <v>66</v>
      </c>
      <c r="I17" cm="1">
        <f t="array" ref="I17">Table4[min_range_weight]</f>
        <v>68.802352941176466</v>
      </c>
      <c r="J17" cm="1">
        <f t="array" ref="J17">Table4[max_range_weigth]</f>
        <v>86.002941176470586</v>
      </c>
      <c r="K17" cm="1">
        <f t="array" ref="K17">Table4[weight_goal]</f>
        <v>71</v>
      </c>
      <c r="L17" s="12">
        <v>51</v>
      </c>
      <c r="M17" cm="1">
        <f t="array" ref="M17">Table4[MM_min]</f>
        <v>58.481999999999992</v>
      </c>
      <c r="N17" cm="1">
        <f t="array" ref="N17">Table4[MM_max]</f>
        <v>73.102499999999992</v>
      </c>
      <c r="O17" cm="1">
        <f t="array" ref="O17">Table4[natural_mass_limit]</f>
        <v>60.35</v>
      </c>
    </row>
    <row r="18" spans="1:15" x14ac:dyDescent="0.35">
      <c r="A18" s="1">
        <v>45242</v>
      </c>
      <c r="B18" t="s">
        <v>51</v>
      </c>
      <c r="C18">
        <v>3</v>
      </c>
      <c r="D18">
        <f>(VLOOKUP(registry[[#This Row],[food_name]],food_name[],2,FALSE)/VLOOKUP(registry[[#This Row],[food_name]],food_name[],5,FALSE))*$C18</f>
        <v>3.5999999999999999E-3</v>
      </c>
      <c r="E18">
        <f>(VLOOKUP(registry[[#This Row],[food_name]],food_name[],3,FALSE)/VLOOKUP(registry[[#This Row],[food_name]],food_name[],5,FALSE))*$C18</f>
        <v>1.2000000000000001E-3</v>
      </c>
      <c r="F18">
        <f>(VLOOKUP(registry[[#This Row],[food_name]],food_name[],4,FALSE)/VLOOKUP(registry[[#This Row],[food_name]],food_name[],5,FALSE))*$C18</f>
        <v>6.0000000000000006E-4</v>
      </c>
      <c r="G18">
        <f>($C18*(VLOOKUP(registry[[#This Row],[food_name]],food_name[],6,FALSE))/VLOOKUP(registry[[#This Row],[food_name]],food_name[],5,FALSE))</f>
        <v>0.03</v>
      </c>
      <c r="H18" cm="1">
        <f t="array" ref="H18">Table4[weigth]</f>
        <v>66</v>
      </c>
      <c r="I18" cm="1">
        <f t="array" ref="I18">Table4[min_range_weight]</f>
        <v>68.802352941176466</v>
      </c>
      <c r="J18" cm="1">
        <f t="array" ref="J18">Table4[max_range_weigth]</f>
        <v>86.002941176470586</v>
      </c>
      <c r="K18" cm="1">
        <f t="array" ref="K18">Table4[weight_goal]</f>
        <v>71</v>
      </c>
      <c r="L18" s="12">
        <v>51</v>
      </c>
      <c r="M18" cm="1">
        <f t="array" ref="M18">Table4[MM_min]</f>
        <v>58.481999999999992</v>
      </c>
      <c r="N18" cm="1">
        <f t="array" ref="N18">Table4[MM_max]</f>
        <v>73.102499999999992</v>
      </c>
      <c r="O18" cm="1">
        <f t="array" ref="O18">Table4[natural_mass_limit]</f>
        <v>60.35</v>
      </c>
    </row>
    <row r="19" spans="1:15" x14ac:dyDescent="0.35">
      <c r="A19" s="1">
        <v>45242</v>
      </c>
      <c r="B19" t="s">
        <v>51</v>
      </c>
      <c r="C19">
        <v>3</v>
      </c>
      <c r="D19">
        <f>(VLOOKUP(registry[[#This Row],[food_name]],food_name[],2,FALSE)/VLOOKUP(registry[[#This Row],[food_name]],food_name[],5,FALSE))*$C19</f>
        <v>3.5999999999999999E-3</v>
      </c>
      <c r="E19">
        <f>(VLOOKUP(registry[[#This Row],[food_name]],food_name[],3,FALSE)/VLOOKUP(registry[[#This Row],[food_name]],food_name[],5,FALSE))*$C19</f>
        <v>1.2000000000000001E-3</v>
      </c>
      <c r="F19">
        <f>(VLOOKUP(registry[[#This Row],[food_name]],food_name[],4,FALSE)/VLOOKUP(registry[[#This Row],[food_name]],food_name[],5,FALSE))*$C19</f>
        <v>6.0000000000000006E-4</v>
      </c>
      <c r="G19">
        <f>($C19*(VLOOKUP(registry[[#This Row],[food_name]],food_name[],6,FALSE))/VLOOKUP(registry[[#This Row],[food_name]],food_name[],5,FALSE))</f>
        <v>0.03</v>
      </c>
      <c r="H19" cm="1">
        <f t="array" ref="H19">Table4[weigth]</f>
        <v>66</v>
      </c>
      <c r="I19" cm="1">
        <f t="array" ref="I19">Table4[min_range_weight]</f>
        <v>68.802352941176466</v>
      </c>
      <c r="J19" cm="1">
        <f t="array" ref="J19">Table4[max_range_weigth]</f>
        <v>86.002941176470586</v>
      </c>
      <c r="K19" cm="1">
        <f t="array" ref="K19">Table4[weight_goal]</f>
        <v>71</v>
      </c>
      <c r="L19" s="12">
        <v>51</v>
      </c>
      <c r="M19" cm="1">
        <f t="array" ref="M19">Table4[MM_min]</f>
        <v>58.481999999999992</v>
      </c>
      <c r="N19" cm="1">
        <f t="array" ref="N19">Table4[MM_max]</f>
        <v>73.102499999999992</v>
      </c>
      <c r="O19" cm="1">
        <f t="array" ref="O19">Table4[natural_mass_limit]</f>
        <v>60.35</v>
      </c>
    </row>
    <row r="20" spans="1:15" x14ac:dyDescent="0.35">
      <c r="A20" s="1">
        <v>45242</v>
      </c>
      <c r="B20" t="s">
        <v>51</v>
      </c>
      <c r="C20">
        <v>3</v>
      </c>
      <c r="D20">
        <f>(VLOOKUP(registry[[#This Row],[food_name]],food_name[],2,FALSE)/VLOOKUP(registry[[#This Row],[food_name]],food_name[],5,FALSE))*$C20</f>
        <v>3.5999999999999999E-3</v>
      </c>
      <c r="E20">
        <f>(VLOOKUP(registry[[#This Row],[food_name]],food_name[],3,FALSE)/VLOOKUP(registry[[#This Row],[food_name]],food_name[],5,FALSE))*$C20</f>
        <v>1.2000000000000001E-3</v>
      </c>
      <c r="F20">
        <f>(VLOOKUP(registry[[#This Row],[food_name]],food_name[],4,FALSE)/VLOOKUP(registry[[#This Row],[food_name]],food_name[],5,FALSE))*$C20</f>
        <v>6.0000000000000006E-4</v>
      </c>
      <c r="G20">
        <f>($C20*(VLOOKUP(registry[[#This Row],[food_name]],food_name[],6,FALSE))/VLOOKUP(registry[[#This Row],[food_name]],food_name[],5,FALSE))</f>
        <v>0.03</v>
      </c>
      <c r="H20" cm="1">
        <f t="array" ref="H20">Table4[weigth]</f>
        <v>66</v>
      </c>
      <c r="I20" cm="1">
        <f t="array" ref="I20">Table4[min_range_weight]</f>
        <v>68.802352941176466</v>
      </c>
      <c r="J20" cm="1">
        <f t="array" ref="J20">Table4[max_range_weigth]</f>
        <v>86.002941176470586</v>
      </c>
      <c r="K20" cm="1">
        <f t="array" ref="K20">Table4[weight_goal]</f>
        <v>71</v>
      </c>
      <c r="L20" s="12">
        <v>51</v>
      </c>
      <c r="M20" cm="1">
        <f t="array" ref="M20">Table4[MM_min]</f>
        <v>58.481999999999992</v>
      </c>
      <c r="N20" cm="1">
        <f t="array" ref="N20">Table4[MM_max]</f>
        <v>73.102499999999992</v>
      </c>
      <c r="O20" cm="1">
        <f t="array" ref="O20">Table4[natural_mass_limit]</f>
        <v>60.35</v>
      </c>
    </row>
    <row r="21" spans="1:15" x14ac:dyDescent="0.35">
      <c r="A21" s="1">
        <v>45242</v>
      </c>
      <c r="B21" t="s">
        <v>52</v>
      </c>
      <c r="C21">
        <v>240</v>
      </c>
      <c r="D21">
        <f>(VLOOKUP(registry[[#This Row],[food_name]],food_name[],2,FALSE)/VLOOKUP(registry[[#This Row],[food_name]],food_name[],5,FALSE))*$C21</f>
        <v>16.080000000000002</v>
      </c>
      <c r="E21">
        <f>(VLOOKUP(registry[[#This Row],[food_name]],food_name[],3,FALSE)/VLOOKUP(registry[[#This Row],[food_name]],food_name[],5,FALSE))*$C21</f>
        <v>32.64</v>
      </c>
      <c r="F21">
        <f>(VLOOKUP(registry[[#This Row],[food_name]],food_name[],4,FALSE)/VLOOKUP(registry[[#This Row],[food_name]],food_name[],5,FALSE))*$C21</f>
        <v>5.28</v>
      </c>
      <c r="G21">
        <f>($C21*(VLOOKUP(registry[[#This Row],[food_name]],food_name[],6,FALSE))/VLOOKUP(registry[[#This Row],[food_name]],food_name[],5,FALSE))</f>
        <v>276</v>
      </c>
      <c r="H21" cm="1">
        <f t="array" ref="H21">Table4[weigth]</f>
        <v>66</v>
      </c>
      <c r="I21" cm="1">
        <f t="array" ref="I21">Table4[min_range_weight]</f>
        <v>68.802352941176466</v>
      </c>
      <c r="J21" cm="1">
        <f t="array" ref="J21">Table4[max_range_weigth]</f>
        <v>86.002941176470586</v>
      </c>
      <c r="K21" cm="1">
        <f t="array" ref="K21">Table4[weight_goal]</f>
        <v>71</v>
      </c>
      <c r="L21" s="12">
        <v>51</v>
      </c>
      <c r="M21" cm="1">
        <f t="array" ref="M21">Table4[MM_min]</f>
        <v>58.481999999999992</v>
      </c>
      <c r="N21" cm="1">
        <f t="array" ref="N21">Table4[MM_max]</f>
        <v>73.102499999999992</v>
      </c>
      <c r="O21" cm="1">
        <f t="array" ref="O21">Table4[natural_mass_limit]</f>
        <v>60.35</v>
      </c>
    </row>
    <row r="22" spans="1:15" x14ac:dyDescent="0.35">
      <c r="A22" s="1">
        <v>45242</v>
      </c>
      <c r="B22" t="s">
        <v>52</v>
      </c>
      <c r="C22">
        <v>240</v>
      </c>
      <c r="D22">
        <f>(VLOOKUP(registry[[#This Row],[food_name]],food_name[],2,FALSE)/VLOOKUP(registry[[#This Row],[food_name]],food_name[],5,FALSE))*$C22</f>
        <v>16.080000000000002</v>
      </c>
      <c r="E22">
        <f>(VLOOKUP(registry[[#This Row],[food_name]],food_name[],3,FALSE)/VLOOKUP(registry[[#This Row],[food_name]],food_name[],5,FALSE))*$C22</f>
        <v>32.64</v>
      </c>
      <c r="F22">
        <f>(VLOOKUP(registry[[#This Row],[food_name]],food_name[],4,FALSE)/VLOOKUP(registry[[#This Row],[food_name]],food_name[],5,FALSE))*$C22</f>
        <v>5.28</v>
      </c>
      <c r="G22">
        <f>($C22*(VLOOKUP(registry[[#This Row],[food_name]],food_name[],6,FALSE))/VLOOKUP(registry[[#This Row],[food_name]],food_name[],5,FALSE))</f>
        <v>276</v>
      </c>
      <c r="H22" cm="1">
        <f t="array" ref="H22">Table4[weigth]</f>
        <v>66</v>
      </c>
      <c r="I22" cm="1">
        <f t="array" ref="I22">Table4[min_range_weight]</f>
        <v>68.802352941176466</v>
      </c>
      <c r="J22" cm="1">
        <f t="array" ref="J22">Table4[max_range_weigth]</f>
        <v>86.002941176470586</v>
      </c>
      <c r="K22" cm="1">
        <f t="array" ref="K22">Table4[weight_goal]</f>
        <v>71</v>
      </c>
      <c r="L22" s="12">
        <v>51</v>
      </c>
      <c r="M22" cm="1">
        <f t="array" ref="M22">Table4[MM_min]</f>
        <v>58.481999999999992</v>
      </c>
      <c r="N22" cm="1">
        <f t="array" ref="N22">Table4[MM_max]</f>
        <v>73.102499999999992</v>
      </c>
      <c r="O22" cm="1">
        <f t="array" ref="O22">Table4[natural_mass_limit]</f>
        <v>60.35</v>
      </c>
    </row>
    <row r="23" spans="1:15" x14ac:dyDescent="0.35">
      <c r="A23" s="1">
        <v>45242</v>
      </c>
      <c r="B23" t="s">
        <v>57</v>
      </c>
      <c r="C23">
        <v>70</v>
      </c>
      <c r="D23">
        <f>(VLOOKUP(registry[[#This Row],[food_name]],food_name[],2,FALSE)/VLOOKUP(registry[[#This Row],[food_name]],food_name[],5,FALSE))*$C23</f>
        <v>0.70000000000000007</v>
      </c>
      <c r="E23">
        <f>(VLOOKUP(registry[[#This Row],[food_name]],food_name[],3,FALSE)/VLOOKUP(registry[[#This Row],[food_name]],food_name[],5,FALSE))*$C23</f>
        <v>7.14</v>
      </c>
      <c r="F23">
        <f>(VLOOKUP(registry[[#This Row],[food_name]],food_name[],4,FALSE)/VLOOKUP(registry[[#This Row],[food_name]],food_name[],5,FALSE))*$C23</f>
        <v>0.14000000000000001</v>
      </c>
      <c r="G23">
        <f>($C23*(VLOOKUP(registry[[#This Row],[food_name]],food_name[],6,FALSE))/VLOOKUP(registry[[#This Row],[food_name]],food_name[],5,FALSE))</f>
        <v>29.4</v>
      </c>
      <c r="H23" cm="1">
        <f t="array" ref="H23">Table4[weigth]</f>
        <v>66</v>
      </c>
      <c r="I23" cm="1">
        <f t="array" ref="I23">Table4[min_range_weight]</f>
        <v>68.802352941176466</v>
      </c>
      <c r="J23" cm="1">
        <f t="array" ref="J23">Table4[max_range_weigth]</f>
        <v>86.002941176470586</v>
      </c>
      <c r="K23" cm="1">
        <f t="array" ref="K23">Table4[weight_goal]</f>
        <v>71</v>
      </c>
      <c r="L23" s="12">
        <v>51</v>
      </c>
      <c r="M23" cm="1">
        <f t="array" ref="M23">Table4[MM_min]</f>
        <v>58.481999999999992</v>
      </c>
      <c r="N23" cm="1">
        <f t="array" ref="N23">Table4[MM_max]</f>
        <v>73.102499999999992</v>
      </c>
      <c r="O23" cm="1">
        <f t="array" ref="O23">Table4[natural_mass_limit]</f>
        <v>60.35</v>
      </c>
    </row>
    <row r="24" spans="1:15" x14ac:dyDescent="0.35">
      <c r="A24" s="1">
        <v>45242</v>
      </c>
      <c r="B24" t="s">
        <v>91</v>
      </c>
      <c r="C24">
        <v>132</v>
      </c>
      <c r="D24">
        <f>(VLOOKUP(registry[[#This Row],[food_name]],food_name[],2,FALSE)/VLOOKUP(registry[[#This Row],[food_name]],food_name[],5,FALSE))*$C24</f>
        <v>12.803999999999998</v>
      </c>
      <c r="E24">
        <f>(VLOOKUP(registry[[#This Row],[food_name]],food_name[],3,FALSE)/VLOOKUP(registry[[#This Row],[food_name]],food_name[],5,FALSE))*$C24</f>
        <v>52.800000000000004</v>
      </c>
      <c r="F24">
        <f>(VLOOKUP(registry[[#This Row],[food_name]],food_name[],4,FALSE)/VLOOKUP(registry[[#This Row],[food_name]],food_name[],5,FALSE))*$C24</f>
        <v>1.8479999999999999</v>
      </c>
      <c r="G24">
        <f>($C24*(VLOOKUP(registry[[#This Row],[food_name]],food_name[],6,FALSE))/VLOOKUP(registry[[#This Row],[food_name]],food_name[],5,FALSE))</f>
        <v>290.39999999999998</v>
      </c>
      <c r="H24" cm="1">
        <f t="array" ref="H24">Table4[weigth]</f>
        <v>66</v>
      </c>
      <c r="I24" cm="1">
        <f t="array" ref="I24">Table4[min_range_weight]</f>
        <v>68.802352941176466</v>
      </c>
      <c r="J24" cm="1">
        <f t="array" ref="J24">Table4[max_range_weigth]</f>
        <v>86.002941176470586</v>
      </c>
      <c r="K24" cm="1">
        <f t="array" ref="K24">Table4[weight_goal]</f>
        <v>71</v>
      </c>
      <c r="L24" s="12">
        <v>51</v>
      </c>
      <c r="M24" cm="1">
        <f t="array" ref="M24">Table4[MM_min]</f>
        <v>58.481999999999992</v>
      </c>
      <c r="N24" cm="1">
        <f t="array" ref="N24">Table4[MM_max]</f>
        <v>73.102499999999992</v>
      </c>
      <c r="O24" cm="1">
        <f t="array" ref="O24">Table4[natural_mass_limit]</f>
        <v>60.35</v>
      </c>
    </row>
    <row r="25" spans="1:15" x14ac:dyDescent="0.35">
      <c r="A25" s="1">
        <v>45242</v>
      </c>
      <c r="B25" t="s">
        <v>55</v>
      </c>
      <c r="C25">
        <v>71</v>
      </c>
      <c r="D25">
        <f>(VLOOKUP(registry[[#This Row],[food_name]],food_name[],2,FALSE)/VLOOKUP(registry[[#This Row],[food_name]],food_name[],5,FALSE))*$C25</f>
        <v>0.56800000000000006</v>
      </c>
      <c r="E25">
        <f>(VLOOKUP(registry[[#This Row],[food_name]],food_name[],3,FALSE)/VLOOKUP(registry[[#This Row],[food_name]],food_name[],5,FALSE))*$C25</f>
        <v>15.193999999999999</v>
      </c>
      <c r="F25">
        <f>(VLOOKUP(registry[[#This Row],[food_name]],food_name[],4,FALSE)/VLOOKUP(registry[[#This Row],[food_name]],food_name[],5,FALSE))*$C25</f>
        <v>0</v>
      </c>
      <c r="G25">
        <f>($C25*(VLOOKUP(registry[[#This Row],[food_name]],food_name[],6,FALSE))/VLOOKUP(registry[[#This Row],[food_name]],food_name[],5,FALSE))</f>
        <v>58.93</v>
      </c>
      <c r="H25" cm="1">
        <f t="array" ref="H25">Table4[weigth]</f>
        <v>66</v>
      </c>
      <c r="I25" cm="1">
        <f t="array" ref="I25">Table4[min_range_weight]</f>
        <v>68.802352941176466</v>
      </c>
      <c r="J25" cm="1">
        <f t="array" ref="J25">Table4[max_range_weigth]</f>
        <v>86.002941176470586</v>
      </c>
      <c r="K25" cm="1">
        <f t="array" ref="K25">Table4[weight_goal]</f>
        <v>71</v>
      </c>
      <c r="L25" s="12">
        <v>51</v>
      </c>
      <c r="M25" cm="1">
        <f t="array" ref="M25">Table4[MM_min]</f>
        <v>58.481999999999992</v>
      </c>
      <c r="N25" cm="1">
        <f t="array" ref="N25">Table4[MM_max]</f>
        <v>73.102499999999992</v>
      </c>
      <c r="O25" cm="1">
        <f t="array" ref="O25">Table4[natural_mass_limit]</f>
        <v>60.35</v>
      </c>
    </row>
    <row r="26" spans="1:15" x14ac:dyDescent="0.35">
      <c r="A26" s="1">
        <v>45242</v>
      </c>
      <c r="B26" t="s">
        <v>53</v>
      </c>
      <c r="C26">
        <v>180</v>
      </c>
      <c r="D26">
        <f>(VLOOKUP(registry[[#This Row],[food_name]],food_name[],2,FALSE)/VLOOKUP(registry[[#This Row],[food_name]],food_name[],5,FALSE))*$C26</f>
        <v>19.8</v>
      </c>
      <c r="E26">
        <f>(VLOOKUP(registry[[#This Row],[food_name]],food_name[],3,FALSE)/VLOOKUP(registry[[#This Row],[food_name]],food_name[],5,FALSE))*$C26</f>
        <v>108.72</v>
      </c>
      <c r="F26">
        <f>(VLOOKUP(registry[[#This Row],[food_name]],food_name[],4,FALSE)/VLOOKUP(registry[[#This Row],[food_name]],food_name[],5,FALSE))*$C26</f>
        <v>14.759999999999998</v>
      </c>
      <c r="G26">
        <f>($C26*(VLOOKUP(registry[[#This Row],[food_name]],food_name[],6,FALSE))/VLOOKUP(registry[[#This Row],[food_name]],food_name[],5,FALSE))</f>
        <v>676.8</v>
      </c>
      <c r="H26" cm="1">
        <f t="array" ref="H26">Table4[weigth]</f>
        <v>66</v>
      </c>
      <c r="I26" cm="1">
        <f t="array" ref="I26">Table4[min_range_weight]</f>
        <v>68.802352941176466</v>
      </c>
      <c r="J26" cm="1">
        <f t="array" ref="J26">Table4[max_range_weigth]</f>
        <v>86.002941176470586</v>
      </c>
      <c r="K26" cm="1">
        <f t="array" ref="K26">Table4[weight_goal]</f>
        <v>71</v>
      </c>
      <c r="L26" s="12">
        <v>51</v>
      </c>
      <c r="M26" cm="1">
        <f t="array" ref="M26">Table4[MM_min]</f>
        <v>58.481999999999992</v>
      </c>
      <c r="N26" cm="1">
        <f t="array" ref="N26">Table4[MM_max]</f>
        <v>73.102499999999992</v>
      </c>
      <c r="O26" cm="1">
        <f t="array" ref="O26">Table4[natural_mass_limit]</f>
        <v>60.35</v>
      </c>
    </row>
    <row r="27" spans="1:15" x14ac:dyDescent="0.35">
      <c r="A27" s="1">
        <v>45242</v>
      </c>
      <c r="B27" t="s">
        <v>54</v>
      </c>
      <c r="C27">
        <v>180</v>
      </c>
      <c r="D27">
        <f>(VLOOKUP(registry[[#This Row],[food_name]],food_name[],2,FALSE)/VLOOKUP(registry[[#This Row],[food_name]],food_name[],5,FALSE))*$C27</f>
        <v>6.12</v>
      </c>
      <c r="E27">
        <f>(VLOOKUP(registry[[#This Row],[food_name]],food_name[],3,FALSE)/VLOOKUP(registry[[#This Row],[food_name]],food_name[],5,FALSE))*$C27</f>
        <v>4.6800000000000006</v>
      </c>
      <c r="F27">
        <f>(VLOOKUP(registry[[#This Row],[food_name]],food_name[],4,FALSE)/VLOOKUP(registry[[#This Row],[food_name]],food_name[],5,FALSE))*$C27</f>
        <v>3.42</v>
      </c>
      <c r="G27">
        <f>($C27*(VLOOKUP(registry[[#This Row],[food_name]],food_name[],6,FALSE))/VLOOKUP(registry[[#This Row],[food_name]],food_name[],5,FALSE))</f>
        <v>75.599999999999994</v>
      </c>
      <c r="H27" cm="1">
        <f t="array" ref="H27">Table4[weigth]</f>
        <v>66</v>
      </c>
      <c r="I27" cm="1">
        <f t="array" ref="I27">Table4[min_range_weight]</f>
        <v>68.802352941176466</v>
      </c>
      <c r="J27" cm="1">
        <f t="array" ref="J27">Table4[max_range_weigth]</f>
        <v>86.002941176470586</v>
      </c>
      <c r="K27" cm="1">
        <f t="array" ref="K27">Table4[weight_goal]</f>
        <v>71</v>
      </c>
      <c r="L27" s="12">
        <v>51</v>
      </c>
      <c r="M27" cm="1">
        <f t="array" ref="M27">Table4[MM_min]</f>
        <v>58.481999999999992</v>
      </c>
      <c r="N27" cm="1">
        <f t="array" ref="N27">Table4[MM_max]</f>
        <v>73.102499999999992</v>
      </c>
      <c r="O27" cm="1">
        <f t="array" ref="O27">Table4[natural_mass_limit]</f>
        <v>60.35</v>
      </c>
    </row>
    <row r="28" spans="1:15" x14ac:dyDescent="0.35">
      <c r="A28" s="1">
        <v>45243</v>
      </c>
      <c r="B28" t="s">
        <v>92</v>
      </c>
      <c r="C28">
        <v>200</v>
      </c>
      <c r="D28">
        <f>(VLOOKUP(registry[[#This Row],[food_name]],food_name[],2,FALSE)/VLOOKUP(registry[[#This Row],[food_name]],food_name[],5,FALSE))*$C28</f>
        <v>10.8</v>
      </c>
      <c r="E28">
        <f>(VLOOKUP(registry[[#This Row],[food_name]],food_name[],3,FALSE)/VLOOKUP(registry[[#This Row],[food_name]],food_name[],5,FALSE))*$C28</f>
        <v>65.8</v>
      </c>
      <c r="F28">
        <f>(VLOOKUP(registry[[#This Row],[food_name]],food_name[],4,FALSE)/VLOOKUP(registry[[#This Row],[food_name]],food_name[],5,FALSE))*$C28</f>
        <v>0.4</v>
      </c>
      <c r="G28">
        <f>($C28*(VLOOKUP(registry[[#This Row],[food_name]],food_name[],6,FALSE))/VLOOKUP(registry[[#This Row],[food_name]],food_name[],5,FALSE))</f>
        <v>336</v>
      </c>
      <c r="H28" cm="1">
        <f t="array" ref="H28">Table4[weigth]</f>
        <v>66</v>
      </c>
      <c r="I28" cm="1">
        <f t="array" ref="I28">Table4[min_range_weight]</f>
        <v>68.802352941176466</v>
      </c>
      <c r="J28" cm="1">
        <f t="array" ref="J28">Table4[max_range_weigth]</f>
        <v>86.002941176470586</v>
      </c>
      <c r="K28" cm="1">
        <f t="array" ref="K28">Table4[weight_goal]</f>
        <v>71</v>
      </c>
      <c r="L28" s="12">
        <v>51</v>
      </c>
      <c r="M28" cm="1">
        <f t="array" ref="M28">Table4[MM_min]</f>
        <v>58.481999999999992</v>
      </c>
      <c r="N28" cm="1">
        <f t="array" ref="N28">Table4[MM_max]</f>
        <v>73.102499999999992</v>
      </c>
      <c r="O28" cm="1">
        <f t="array" ref="O28">Table4[natural_mass_limit]</f>
        <v>60.35</v>
      </c>
    </row>
    <row r="29" spans="1:15" x14ac:dyDescent="0.35">
      <c r="A29" s="1">
        <v>45243</v>
      </c>
      <c r="B29" t="s">
        <v>101</v>
      </c>
      <c r="C29">
        <v>95</v>
      </c>
      <c r="D29">
        <f>(VLOOKUP(registry[[#This Row],[food_name]],food_name[],2,FALSE)/VLOOKUP(registry[[#This Row],[food_name]],food_name[],5,FALSE))*$C29</f>
        <v>5.0350000000000001</v>
      </c>
      <c r="E29">
        <f>(VLOOKUP(registry[[#This Row],[food_name]],food_name[],3,FALSE)/VLOOKUP(registry[[#This Row],[food_name]],food_name[],5,FALSE))*$C29</f>
        <v>11.4</v>
      </c>
      <c r="F29">
        <f>(VLOOKUP(registry[[#This Row],[food_name]],food_name[],4,FALSE)/VLOOKUP(registry[[#This Row],[food_name]],food_name[],5,FALSE))*$C29</f>
        <v>15.96</v>
      </c>
      <c r="G29">
        <f>($C29*(VLOOKUP(registry[[#This Row],[food_name]],food_name[],6,FALSE))/VLOOKUP(registry[[#This Row],[food_name]],food_name[],5,FALSE))</f>
        <v>217.55</v>
      </c>
      <c r="H29" cm="1">
        <f t="array" ref="H29">Table4[weigth]</f>
        <v>66</v>
      </c>
      <c r="I29" cm="1">
        <f t="array" ref="I29">Table4[min_range_weight]</f>
        <v>68.802352941176466</v>
      </c>
      <c r="J29" cm="1">
        <f t="array" ref="J29">Table4[max_range_weigth]</f>
        <v>86.002941176470586</v>
      </c>
      <c r="K29" cm="1">
        <f t="array" ref="K29">Table4[weight_goal]</f>
        <v>71</v>
      </c>
      <c r="L29" s="12">
        <v>51</v>
      </c>
      <c r="M29" cm="1">
        <f t="array" ref="M29">Table4[MM_min]</f>
        <v>58.481999999999992</v>
      </c>
      <c r="N29" cm="1">
        <f t="array" ref="N29">Table4[MM_max]</f>
        <v>73.102499999999992</v>
      </c>
      <c r="O29" cm="1">
        <f t="array" ref="O29">Table4[natural_mass_limit]</f>
        <v>60.35</v>
      </c>
    </row>
    <row r="30" spans="1:15" x14ac:dyDescent="0.35">
      <c r="A30" s="1">
        <v>45243</v>
      </c>
      <c r="B30" t="s">
        <v>51</v>
      </c>
      <c r="C30">
        <v>3</v>
      </c>
      <c r="D30">
        <f>(VLOOKUP(registry[[#This Row],[food_name]],food_name[],2,FALSE)/VLOOKUP(registry[[#This Row],[food_name]],food_name[],5,FALSE))*$C30</f>
        <v>3.5999999999999999E-3</v>
      </c>
      <c r="E30">
        <f>(VLOOKUP(registry[[#This Row],[food_name]],food_name[],3,FALSE)/VLOOKUP(registry[[#This Row],[food_name]],food_name[],5,FALSE))*$C30</f>
        <v>1.2000000000000001E-3</v>
      </c>
      <c r="F30">
        <f>(VLOOKUP(registry[[#This Row],[food_name]],food_name[],4,FALSE)/VLOOKUP(registry[[#This Row],[food_name]],food_name[],5,FALSE))*$C30</f>
        <v>6.0000000000000006E-4</v>
      </c>
      <c r="G30">
        <f>($C30*(VLOOKUP(registry[[#This Row],[food_name]],food_name[],6,FALSE))/VLOOKUP(registry[[#This Row],[food_name]],food_name[],5,FALSE))</f>
        <v>0.03</v>
      </c>
      <c r="H30" cm="1">
        <f t="array" ref="H30">Table4[weigth]</f>
        <v>66</v>
      </c>
      <c r="I30" cm="1">
        <f t="array" ref="I30">Table4[min_range_weight]</f>
        <v>68.802352941176466</v>
      </c>
      <c r="J30" cm="1">
        <f t="array" ref="J30">Table4[max_range_weigth]</f>
        <v>86.002941176470586</v>
      </c>
      <c r="K30" cm="1">
        <f t="array" ref="K30">Table4[weight_goal]</f>
        <v>71</v>
      </c>
      <c r="L30" s="12">
        <v>51</v>
      </c>
      <c r="M30" cm="1">
        <f t="array" ref="M30">Table4[MM_min]</f>
        <v>58.481999999999992</v>
      </c>
      <c r="N30" cm="1">
        <f t="array" ref="N30">Table4[MM_max]</f>
        <v>73.102499999999992</v>
      </c>
      <c r="O30" cm="1">
        <f t="array" ref="O30">Table4[natural_mass_limit]</f>
        <v>60.35</v>
      </c>
    </row>
    <row r="31" spans="1:15" x14ac:dyDescent="0.35">
      <c r="A31" s="1">
        <v>45243</v>
      </c>
      <c r="B31" t="s">
        <v>51</v>
      </c>
      <c r="C31">
        <v>3</v>
      </c>
      <c r="D31">
        <f>(VLOOKUP(registry[[#This Row],[food_name]],food_name[],2,FALSE)/VLOOKUP(registry[[#This Row],[food_name]],food_name[],5,FALSE))*$C31</f>
        <v>3.5999999999999999E-3</v>
      </c>
      <c r="E31">
        <f>(VLOOKUP(registry[[#This Row],[food_name]],food_name[],3,FALSE)/VLOOKUP(registry[[#This Row],[food_name]],food_name[],5,FALSE))*$C31</f>
        <v>1.2000000000000001E-3</v>
      </c>
      <c r="F31">
        <f>(VLOOKUP(registry[[#This Row],[food_name]],food_name[],4,FALSE)/VLOOKUP(registry[[#This Row],[food_name]],food_name[],5,FALSE))*$C31</f>
        <v>6.0000000000000006E-4</v>
      </c>
      <c r="G31">
        <f>($C31*(VLOOKUP(registry[[#This Row],[food_name]],food_name[],6,FALSE))/VLOOKUP(registry[[#This Row],[food_name]],food_name[],5,FALSE))</f>
        <v>0.03</v>
      </c>
      <c r="H31" cm="1">
        <f t="array" ref="H31">Table4[weigth]</f>
        <v>66</v>
      </c>
      <c r="I31" cm="1">
        <f t="array" ref="I31">Table4[min_range_weight]</f>
        <v>68.802352941176466</v>
      </c>
      <c r="J31" cm="1">
        <f t="array" ref="J31">Table4[max_range_weigth]</f>
        <v>86.002941176470586</v>
      </c>
      <c r="K31" cm="1">
        <f t="array" ref="K31">Table4[weight_goal]</f>
        <v>71</v>
      </c>
      <c r="L31" s="12">
        <v>51</v>
      </c>
      <c r="M31" cm="1">
        <f t="array" ref="M31">Table4[MM_min]</f>
        <v>58.481999999999992</v>
      </c>
      <c r="N31" cm="1">
        <f t="array" ref="N31">Table4[MM_max]</f>
        <v>73.102499999999992</v>
      </c>
      <c r="O31" cm="1">
        <f t="array" ref="O31">Table4[natural_mass_limit]</f>
        <v>60.35</v>
      </c>
    </row>
    <row r="32" spans="1:15" x14ac:dyDescent="0.35">
      <c r="A32" s="1">
        <v>45243</v>
      </c>
      <c r="B32" t="s">
        <v>51</v>
      </c>
      <c r="C32">
        <v>3</v>
      </c>
      <c r="D32">
        <f>(VLOOKUP(registry[[#This Row],[food_name]],food_name[],2,FALSE)/VLOOKUP(registry[[#This Row],[food_name]],food_name[],5,FALSE))*$C32</f>
        <v>3.5999999999999999E-3</v>
      </c>
      <c r="E32">
        <f>(VLOOKUP(registry[[#This Row],[food_name]],food_name[],3,FALSE)/VLOOKUP(registry[[#This Row],[food_name]],food_name[],5,FALSE))*$C32</f>
        <v>1.2000000000000001E-3</v>
      </c>
      <c r="F32">
        <f>(VLOOKUP(registry[[#This Row],[food_name]],food_name[],4,FALSE)/VLOOKUP(registry[[#This Row],[food_name]],food_name[],5,FALSE))*$C32</f>
        <v>6.0000000000000006E-4</v>
      </c>
      <c r="G32">
        <f>($C32*(VLOOKUP(registry[[#This Row],[food_name]],food_name[],6,FALSE))/VLOOKUP(registry[[#This Row],[food_name]],food_name[],5,FALSE))</f>
        <v>0.03</v>
      </c>
      <c r="H32" cm="1">
        <f t="array" ref="H32">Table4[weigth]</f>
        <v>66</v>
      </c>
      <c r="I32" cm="1">
        <f t="array" ref="I32">Table4[min_range_weight]</f>
        <v>68.802352941176466</v>
      </c>
      <c r="J32" cm="1">
        <f t="array" ref="J32">Table4[max_range_weigth]</f>
        <v>86.002941176470586</v>
      </c>
      <c r="K32" cm="1">
        <f t="array" ref="K32">Table4[weight_goal]</f>
        <v>71</v>
      </c>
      <c r="L32" s="12">
        <v>51</v>
      </c>
      <c r="M32" cm="1">
        <f t="array" ref="M32">Table4[MM_min]</f>
        <v>58.481999999999992</v>
      </c>
      <c r="N32" cm="1">
        <f t="array" ref="N32">Table4[MM_max]</f>
        <v>73.102499999999992</v>
      </c>
      <c r="O32" cm="1">
        <f t="array" ref="O32">Table4[natural_mass_limit]</f>
        <v>60.35</v>
      </c>
    </row>
    <row r="33" spans="1:15" x14ac:dyDescent="0.35">
      <c r="A33" s="1">
        <v>45243</v>
      </c>
      <c r="B33" t="s">
        <v>91</v>
      </c>
      <c r="C33">
        <v>261</v>
      </c>
      <c r="D33">
        <f>(VLOOKUP(registry[[#This Row],[food_name]],food_name[],2,FALSE)/VLOOKUP(registry[[#This Row],[food_name]],food_name[],5,FALSE))*$C33</f>
        <v>25.316999999999997</v>
      </c>
      <c r="E33">
        <f>(VLOOKUP(registry[[#This Row],[food_name]],food_name[],3,FALSE)/VLOOKUP(registry[[#This Row],[food_name]],food_name[],5,FALSE))*$C33</f>
        <v>104.4</v>
      </c>
      <c r="F33">
        <f>(VLOOKUP(registry[[#This Row],[food_name]],food_name[],4,FALSE)/VLOOKUP(registry[[#This Row],[food_name]],food_name[],5,FALSE))*$C33</f>
        <v>3.6539999999999995</v>
      </c>
      <c r="G33">
        <f>($C33*(VLOOKUP(registry[[#This Row],[food_name]],food_name[],6,FALSE))/VLOOKUP(registry[[#This Row],[food_name]],food_name[],5,FALSE))</f>
        <v>574.20000000000005</v>
      </c>
      <c r="H33" cm="1">
        <f t="array" ref="H33">Table4[weigth]</f>
        <v>66</v>
      </c>
      <c r="I33" cm="1">
        <f t="array" ref="I33">Table4[min_range_weight]</f>
        <v>68.802352941176466</v>
      </c>
      <c r="J33" cm="1">
        <f t="array" ref="J33">Table4[max_range_weigth]</f>
        <v>86.002941176470586</v>
      </c>
      <c r="K33" cm="1">
        <f t="array" ref="K33">Table4[weight_goal]</f>
        <v>71</v>
      </c>
      <c r="L33" s="12">
        <v>51</v>
      </c>
      <c r="M33" cm="1">
        <f t="array" ref="M33">Table4[MM_min]</f>
        <v>58.481999999999992</v>
      </c>
      <c r="N33" cm="1">
        <f t="array" ref="N33">Table4[MM_max]</f>
        <v>73.102499999999992</v>
      </c>
      <c r="O33" cm="1">
        <f t="array" ref="O33">Table4[natural_mass_limit]</f>
        <v>60.35</v>
      </c>
    </row>
    <row r="34" spans="1:15" x14ac:dyDescent="0.35">
      <c r="A34" s="1">
        <v>45243</v>
      </c>
      <c r="B34" t="s">
        <v>53</v>
      </c>
      <c r="C34">
        <v>200</v>
      </c>
      <c r="D34">
        <f>(VLOOKUP(registry[[#This Row],[food_name]],food_name[],2,FALSE)/VLOOKUP(registry[[#This Row],[food_name]],food_name[],5,FALSE))*$C34</f>
        <v>22</v>
      </c>
      <c r="E34">
        <f>(VLOOKUP(registry[[#This Row],[food_name]],food_name[],3,FALSE)/VLOOKUP(registry[[#This Row],[food_name]],food_name[],5,FALSE))*$C34</f>
        <v>120.8</v>
      </c>
      <c r="F34">
        <f>(VLOOKUP(registry[[#This Row],[food_name]],food_name[],4,FALSE)/VLOOKUP(registry[[#This Row],[food_name]],food_name[],5,FALSE))*$C34</f>
        <v>16.399999999999999</v>
      </c>
      <c r="G34">
        <f>($C34*(VLOOKUP(registry[[#This Row],[food_name]],food_name[],6,FALSE))/VLOOKUP(registry[[#This Row],[food_name]],food_name[],5,FALSE))</f>
        <v>752</v>
      </c>
      <c r="H34" cm="1">
        <f t="array" ref="H34">Table4[weigth]</f>
        <v>66</v>
      </c>
      <c r="I34" cm="1">
        <f t="array" ref="I34">Table4[min_range_weight]</f>
        <v>68.802352941176466</v>
      </c>
      <c r="J34" cm="1">
        <f t="array" ref="J34">Table4[max_range_weigth]</f>
        <v>86.002941176470586</v>
      </c>
      <c r="K34" cm="1">
        <f t="array" ref="K34">Table4[weight_goal]</f>
        <v>71</v>
      </c>
      <c r="L34" s="12">
        <v>51</v>
      </c>
      <c r="M34" cm="1">
        <f t="array" ref="M34">Table4[MM_min]</f>
        <v>58.481999999999992</v>
      </c>
      <c r="N34" cm="1">
        <f t="array" ref="N34">Table4[MM_max]</f>
        <v>73.102499999999992</v>
      </c>
      <c r="O34" cm="1">
        <f t="array" ref="O34">Table4[natural_mass_limit]</f>
        <v>60.35</v>
      </c>
    </row>
    <row r="35" spans="1:15" x14ac:dyDescent="0.35">
      <c r="A35" s="1">
        <v>45243</v>
      </c>
      <c r="B35" t="s">
        <v>55</v>
      </c>
      <c r="C35">
        <v>81</v>
      </c>
      <c r="D35">
        <f>(VLOOKUP(registry[[#This Row],[food_name]],food_name[],2,FALSE)/VLOOKUP(registry[[#This Row],[food_name]],food_name[],5,FALSE))*$C35</f>
        <v>0.64800000000000002</v>
      </c>
      <c r="E35">
        <f>(VLOOKUP(registry[[#This Row],[food_name]],food_name[],3,FALSE)/VLOOKUP(registry[[#This Row],[food_name]],food_name[],5,FALSE))*$C35</f>
        <v>17.334</v>
      </c>
      <c r="F35">
        <f>(VLOOKUP(registry[[#This Row],[food_name]],food_name[],4,FALSE)/VLOOKUP(registry[[#This Row],[food_name]],food_name[],5,FALSE))*$C35</f>
        <v>0</v>
      </c>
      <c r="G35">
        <f>($C35*(VLOOKUP(registry[[#This Row],[food_name]],food_name[],6,FALSE))/VLOOKUP(registry[[#This Row],[food_name]],food_name[],5,FALSE))</f>
        <v>67.23</v>
      </c>
      <c r="H35" cm="1">
        <f t="array" ref="H35">Table4[weigth]</f>
        <v>66</v>
      </c>
      <c r="I35" cm="1">
        <f t="array" ref="I35">Table4[min_range_weight]</f>
        <v>68.802352941176466</v>
      </c>
      <c r="J35" cm="1">
        <f t="array" ref="J35">Table4[max_range_weigth]</f>
        <v>86.002941176470586</v>
      </c>
      <c r="K35" cm="1">
        <f t="array" ref="K35">Table4[weight_goal]</f>
        <v>71</v>
      </c>
      <c r="L35" s="12">
        <v>51</v>
      </c>
      <c r="M35" cm="1">
        <f t="array" ref="M35">Table4[MM_min]</f>
        <v>58.481999999999992</v>
      </c>
      <c r="N35" cm="1">
        <f t="array" ref="N35">Table4[MM_max]</f>
        <v>73.102499999999992</v>
      </c>
      <c r="O35" cm="1">
        <f t="array" ref="O35">Table4[natural_mass_limit]</f>
        <v>60.35</v>
      </c>
    </row>
    <row r="36" spans="1:15" x14ac:dyDescent="0.35">
      <c r="A36" s="1">
        <v>45243</v>
      </c>
      <c r="B36" t="s">
        <v>54</v>
      </c>
      <c r="C36">
        <v>312</v>
      </c>
      <c r="D36">
        <f>(VLOOKUP(registry[[#This Row],[food_name]],food_name[],2,FALSE)/VLOOKUP(registry[[#This Row],[food_name]],food_name[],5,FALSE))*$C36</f>
        <v>10.608000000000001</v>
      </c>
      <c r="E36">
        <f>(VLOOKUP(registry[[#This Row],[food_name]],food_name[],3,FALSE)/VLOOKUP(registry[[#This Row],[food_name]],food_name[],5,FALSE))*$C36</f>
        <v>8.1120000000000001</v>
      </c>
      <c r="F36">
        <f>(VLOOKUP(registry[[#This Row],[food_name]],food_name[],4,FALSE)/VLOOKUP(registry[[#This Row],[food_name]],food_name[],5,FALSE))*$C36</f>
        <v>5.9279999999999999</v>
      </c>
      <c r="G36">
        <f>($C36*(VLOOKUP(registry[[#This Row],[food_name]],food_name[],6,FALSE))/VLOOKUP(registry[[#This Row],[food_name]],food_name[],5,FALSE))</f>
        <v>131.04</v>
      </c>
      <c r="H36" cm="1">
        <f t="array" ref="H36">Table4[weigth]</f>
        <v>66</v>
      </c>
      <c r="I36" cm="1">
        <f t="array" ref="I36">Table4[min_range_weight]</f>
        <v>68.802352941176466</v>
      </c>
      <c r="J36" cm="1">
        <f t="array" ref="J36">Table4[max_range_weigth]</f>
        <v>86.002941176470586</v>
      </c>
      <c r="K36" cm="1">
        <f t="array" ref="K36">Table4[weight_goal]</f>
        <v>71</v>
      </c>
      <c r="L36" s="12">
        <v>51</v>
      </c>
      <c r="M36" cm="1">
        <f t="array" ref="M36">Table4[MM_min]</f>
        <v>58.481999999999992</v>
      </c>
      <c r="N36" cm="1">
        <f t="array" ref="N36">Table4[MM_max]</f>
        <v>73.102499999999992</v>
      </c>
      <c r="O36" cm="1">
        <f t="array" ref="O36">Table4[natural_mass_limit]</f>
        <v>60.35</v>
      </c>
    </row>
    <row r="37" spans="1:15" x14ac:dyDescent="0.35">
      <c r="A37" s="1">
        <v>45243</v>
      </c>
      <c r="B37" t="s">
        <v>93</v>
      </c>
      <c r="C37">
        <v>7</v>
      </c>
      <c r="D37">
        <f>(VLOOKUP(registry[[#This Row],[food_name]],food_name[],2,FALSE)/VLOOKUP(registry[[#This Row],[food_name]],food_name[],5,FALSE))*$C37</f>
        <v>1.8900000000000001</v>
      </c>
      <c r="E37">
        <f>(VLOOKUP(registry[[#This Row],[food_name]],food_name[],3,FALSE)/VLOOKUP(registry[[#This Row],[food_name]],food_name[],5,FALSE))*$C37</f>
        <v>1.26</v>
      </c>
      <c r="F37">
        <f>(VLOOKUP(registry[[#This Row],[food_name]],food_name[],4,FALSE)/VLOOKUP(registry[[#This Row],[food_name]],food_name[],5,FALSE))*$C37</f>
        <v>0.77</v>
      </c>
      <c r="G37">
        <f>($C37*(VLOOKUP(registry[[#This Row],[food_name]],food_name[],6,FALSE))/VLOOKUP(registry[[#This Row],[food_name]],food_name[],5,FALSE))</f>
        <v>24.08</v>
      </c>
      <c r="H37" cm="1">
        <f t="array" ref="H37">Table4[weigth]</f>
        <v>66</v>
      </c>
      <c r="I37" cm="1">
        <f t="array" ref="I37">Table4[min_range_weight]</f>
        <v>68.802352941176466</v>
      </c>
      <c r="J37" cm="1">
        <f t="array" ref="J37">Table4[max_range_weigth]</f>
        <v>86.002941176470586</v>
      </c>
      <c r="K37" cm="1">
        <f t="array" ref="K37">Table4[weight_goal]</f>
        <v>71</v>
      </c>
      <c r="L37" s="12">
        <v>51</v>
      </c>
      <c r="M37" cm="1">
        <f t="array" ref="M37">Table4[MM_min]</f>
        <v>58.481999999999992</v>
      </c>
      <c r="N37" cm="1">
        <f t="array" ref="N37">Table4[MM_max]</f>
        <v>73.102499999999992</v>
      </c>
      <c r="O37" cm="1">
        <f t="array" ref="O37">Table4[natural_mass_limit]</f>
        <v>60.35</v>
      </c>
    </row>
    <row r="38" spans="1:15" x14ac:dyDescent="0.35">
      <c r="A38" s="1">
        <v>45244</v>
      </c>
      <c r="B38" t="s">
        <v>51</v>
      </c>
      <c r="C38">
        <v>3</v>
      </c>
      <c r="D38">
        <f>(VLOOKUP(registry[[#This Row],[food_name]],food_name[],2,FALSE)/VLOOKUP(registry[[#This Row],[food_name]],food_name[],5,FALSE))*$C38</f>
        <v>3.5999999999999999E-3</v>
      </c>
      <c r="E38">
        <f>(VLOOKUP(registry[[#This Row],[food_name]],food_name[],3,FALSE)/VLOOKUP(registry[[#This Row],[food_name]],food_name[],5,FALSE))*$C38</f>
        <v>1.2000000000000001E-3</v>
      </c>
      <c r="F38">
        <f>(VLOOKUP(registry[[#This Row],[food_name]],food_name[],4,FALSE)/VLOOKUP(registry[[#This Row],[food_name]],food_name[],5,FALSE))*$C38</f>
        <v>6.0000000000000006E-4</v>
      </c>
      <c r="G38">
        <f>($C38*(VLOOKUP(registry[[#This Row],[food_name]],food_name[],6,FALSE))/VLOOKUP(registry[[#This Row],[food_name]],food_name[],5,FALSE))</f>
        <v>0.03</v>
      </c>
      <c r="H38" cm="1">
        <f t="array" ref="H38">Table4[weigth]</f>
        <v>66</v>
      </c>
      <c r="I38" cm="1">
        <f t="array" ref="I38">Table4[min_range_weight]</f>
        <v>68.802352941176466</v>
      </c>
      <c r="J38" cm="1">
        <f t="array" ref="J38">Table4[max_range_weigth]</f>
        <v>86.002941176470586</v>
      </c>
      <c r="K38" cm="1">
        <f t="array" ref="K38">Table4[weight_goal]</f>
        <v>71</v>
      </c>
      <c r="L38" s="12">
        <v>51</v>
      </c>
      <c r="M38" cm="1">
        <f t="array" ref="M38">Table4[MM_min]</f>
        <v>58.481999999999992</v>
      </c>
      <c r="N38" cm="1">
        <f t="array" ref="N38">Table4[MM_max]</f>
        <v>73.102499999999992</v>
      </c>
      <c r="O38" cm="1">
        <f t="array" ref="O38">Table4[natural_mass_limit]</f>
        <v>60.35</v>
      </c>
    </row>
    <row r="39" spans="1:15" x14ac:dyDescent="0.35">
      <c r="A39" s="1">
        <v>45244</v>
      </c>
      <c r="B39" t="s">
        <v>51</v>
      </c>
      <c r="C39">
        <v>3</v>
      </c>
      <c r="D39">
        <f>(VLOOKUP(registry[[#This Row],[food_name]],food_name[],2,FALSE)/VLOOKUP(registry[[#This Row],[food_name]],food_name[],5,FALSE))*$C39</f>
        <v>3.5999999999999999E-3</v>
      </c>
      <c r="E39">
        <f>(VLOOKUP(registry[[#This Row],[food_name]],food_name[],3,FALSE)/VLOOKUP(registry[[#This Row],[food_name]],food_name[],5,FALSE))*$C39</f>
        <v>1.2000000000000001E-3</v>
      </c>
      <c r="F39">
        <f>(VLOOKUP(registry[[#This Row],[food_name]],food_name[],4,FALSE)/VLOOKUP(registry[[#This Row],[food_name]],food_name[],5,FALSE))*$C39</f>
        <v>6.0000000000000006E-4</v>
      </c>
      <c r="G39">
        <f>($C39*(VLOOKUP(registry[[#This Row],[food_name]],food_name[],6,FALSE))/VLOOKUP(registry[[#This Row],[food_name]],food_name[],5,FALSE))</f>
        <v>0.03</v>
      </c>
      <c r="H39" cm="1">
        <f t="array" ref="H39">Table4[weigth]</f>
        <v>66</v>
      </c>
      <c r="I39" cm="1">
        <f t="array" ref="I39">Table4[min_range_weight]</f>
        <v>68.802352941176466</v>
      </c>
      <c r="J39" cm="1">
        <f t="array" ref="J39">Table4[max_range_weigth]</f>
        <v>86.002941176470586</v>
      </c>
      <c r="K39" cm="1">
        <f t="array" ref="K39">Table4[weight_goal]</f>
        <v>71</v>
      </c>
      <c r="L39" s="12">
        <v>51</v>
      </c>
      <c r="M39" cm="1">
        <f t="array" ref="M39">Table4[MM_min]</f>
        <v>58.481999999999992</v>
      </c>
      <c r="N39" cm="1">
        <f t="array" ref="N39">Table4[MM_max]</f>
        <v>73.102499999999992</v>
      </c>
      <c r="O39" cm="1">
        <f t="array" ref="O39">Table4[natural_mass_limit]</f>
        <v>60.35</v>
      </c>
    </row>
    <row r="40" spans="1:15" x14ac:dyDescent="0.35">
      <c r="A40" s="1">
        <v>45244</v>
      </c>
      <c r="B40" t="s">
        <v>51</v>
      </c>
      <c r="C40">
        <v>3</v>
      </c>
      <c r="D40">
        <f>(VLOOKUP(registry[[#This Row],[food_name]],food_name[],2,FALSE)/VLOOKUP(registry[[#This Row],[food_name]],food_name[],5,FALSE))*$C40</f>
        <v>3.5999999999999999E-3</v>
      </c>
      <c r="E40">
        <f>(VLOOKUP(registry[[#This Row],[food_name]],food_name[],3,FALSE)/VLOOKUP(registry[[#This Row],[food_name]],food_name[],5,FALSE))*$C40</f>
        <v>1.2000000000000001E-3</v>
      </c>
      <c r="F40">
        <f>(VLOOKUP(registry[[#This Row],[food_name]],food_name[],4,FALSE)/VLOOKUP(registry[[#This Row],[food_name]],food_name[],5,FALSE))*$C40</f>
        <v>6.0000000000000006E-4</v>
      </c>
      <c r="G40">
        <f>($C40*(VLOOKUP(registry[[#This Row],[food_name]],food_name[],6,FALSE))/VLOOKUP(registry[[#This Row],[food_name]],food_name[],5,FALSE))</f>
        <v>0.03</v>
      </c>
      <c r="H40" cm="1">
        <f t="array" ref="H40">Table4[weigth]</f>
        <v>66</v>
      </c>
      <c r="I40" cm="1">
        <f t="array" ref="I40">Table4[min_range_weight]</f>
        <v>68.802352941176466</v>
      </c>
      <c r="J40" cm="1">
        <f t="array" ref="J40">Table4[max_range_weigth]</f>
        <v>86.002941176470586</v>
      </c>
      <c r="K40" cm="1">
        <f t="array" ref="K40">Table4[weight_goal]</f>
        <v>71</v>
      </c>
      <c r="L40" s="12">
        <v>51</v>
      </c>
      <c r="M40" cm="1">
        <f t="array" ref="M40">Table4[MM_min]</f>
        <v>58.481999999999992</v>
      </c>
      <c r="N40" cm="1">
        <f t="array" ref="N40">Table4[MM_max]</f>
        <v>73.102499999999992</v>
      </c>
      <c r="O40" cm="1">
        <f t="array" ref="O40">Table4[natural_mass_limit]</f>
        <v>60.35</v>
      </c>
    </row>
    <row r="41" spans="1:15" x14ac:dyDescent="0.35">
      <c r="A41" s="1">
        <v>45244</v>
      </c>
      <c r="B41" t="s">
        <v>102</v>
      </c>
      <c r="C41">
        <v>226</v>
      </c>
      <c r="D41">
        <f>(VLOOKUP(registry[[#This Row],[food_name]],food_name[],2,FALSE)/VLOOKUP(registry[[#This Row],[food_name]],food_name[],5,FALSE))*$C41</f>
        <v>24.634</v>
      </c>
      <c r="E41">
        <f>(VLOOKUP(registry[[#This Row],[food_name]],food_name[],3,FALSE)/VLOOKUP(registry[[#This Row],[food_name]],food_name[],5,FALSE))*$C41</f>
        <v>94.694000000000003</v>
      </c>
      <c r="F41">
        <f>(VLOOKUP(registry[[#This Row],[food_name]],food_name[],4,FALSE)/VLOOKUP(registry[[#This Row],[food_name]],food_name[],5,FALSE))*$C41</f>
        <v>2.9380000000000002</v>
      </c>
      <c r="G41">
        <f>($C41*(VLOOKUP(registry[[#This Row],[food_name]],food_name[],6,FALSE))/VLOOKUP(registry[[#This Row],[food_name]],food_name[],5,FALSE))</f>
        <v>526.58000000000004</v>
      </c>
      <c r="H41" cm="1">
        <f t="array" ref="H41">Table4[weigth]</f>
        <v>66</v>
      </c>
      <c r="I41" cm="1">
        <f t="array" ref="I41">Table4[min_range_weight]</f>
        <v>68.802352941176466</v>
      </c>
      <c r="J41" cm="1">
        <f t="array" ref="J41">Table4[max_range_weigth]</f>
        <v>86.002941176470586</v>
      </c>
      <c r="K41" cm="1">
        <f t="array" ref="K41">Table4[weight_goal]</f>
        <v>71</v>
      </c>
      <c r="L41" s="12">
        <v>51</v>
      </c>
      <c r="M41" cm="1">
        <f t="array" ref="M41">Table4[MM_min]</f>
        <v>58.481999999999992</v>
      </c>
      <c r="N41" cm="1">
        <f t="array" ref="N41">Table4[MM_max]</f>
        <v>73.102499999999992</v>
      </c>
      <c r="O41" cm="1">
        <f t="array" ref="O41">Table4[natural_mass_limit]</f>
        <v>60.35</v>
      </c>
    </row>
    <row r="42" spans="1:15" x14ac:dyDescent="0.35">
      <c r="A42" s="1">
        <v>45244</v>
      </c>
      <c r="B42" t="s">
        <v>59</v>
      </c>
      <c r="C42">
        <v>47</v>
      </c>
      <c r="D42">
        <f>(VLOOKUP(registry[[#This Row],[food_name]],food_name[],2,FALSE)/VLOOKUP(registry[[#This Row],[food_name]],food_name[],5,FALSE))*$C42</f>
        <v>8.7420000000000009</v>
      </c>
      <c r="E42">
        <f>(VLOOKUP(registry[[#This Row],[food_name]],food_name[],3,FALSE)/VLOOKUP(registry[[#This Row],[food_name]],food_name[],5,FALSE))*$C42</f>
        <v>0.23500000000000001</v>
      </c>
      <c r="F42">
        <f>(VLOOKUP(registry[[#This Row],[food_name]],food_name[],4,FALSE)/VLOOKUP(registry[[#This Row],[food_name]],food_name[],5,FALSE))*$C42</f>
        <v>1.1280000000000001</v>
      </c>
      <c r="G42">
        <f>($C42*(VLOOKUP(registry[[#This Row],[food_name]],food_name[],6,FALSE))/VLOOKUP(registry[[#This Row],[food_name]],food_name[],5,FALSE))</f>
        <v>47</v>
      </c>
      <c r="H42" cm="1">
        <f t="array" ref="H42">Table4[weigth]</f>
        <v>66</v>
      </c>
      <c r="I42" cm="1">
        <f t="array" ref="I42">Table4[min_range_weight]</f>
        <v>68.802352941176466</v>
      </c>
      <c r="J42" cm="1">
        <f t="array" ref="J42">Table4[max_range_weigth]</f>
        <v>86.002941176470586</v>
      </c>
      <c r="K42" cm="1">
        <f t="array" ref="K42">Table4[weight_goal]</f>
        <v>71</v>
      </c>
      <c r="L42" s="12">
        <v>51</v>
      </c>
      <c r="M42" cm="1">
        <f t="array" ref="M42">Table4[MM_min]</f>
        <v>58.481999999999992</v>
      </c>
      <c r="N42" cm="1">
        <f t="array" ref="N42">Table4[MM_max]</f>
        <v>73.102499999999992</v>
      </c>
      <c r="O42" cm="1">
        <f t="array" ref="O42">Table4[natural_mass_limit]</f>
        <v>60.35</v>
      </c>
    </row>
    <row r="43" spans="1:15" x14ac:dyDescent="0.35">
      <c r="A43" s="1">
        <v>45246</v>
      </c>
      <c r="B43" t="s">
        <v>51</v>
      </c>
      <c r="C43">
        <v>3</v>
      </c>
      <c r="D43">
        <f>(VLOOKUP(registry[[#This Row],[food_name]],food_name[],2,FALSE)/VLOOKUP(registry[[#This Row],[food_name]],food_name[],5,FALSE))*$C43</f>
        <v>3.5999999999999999E-3</v>
      </c>
      <c r="E43">
        <f>(VLOOKUP(registry[[#This Row],[food_name]],food_name[],3,FALSE)/VLOOKUP(registry[[#This Row],[food_name]],food_name[],5,FALSE))*$C43</f>
        <v>1.2000000000000001E-3</v>
      </c>
      <c r="F43">
        <f>(VLOOKUP(registry[[#This Row],[food_name]],food_name[],4,FALSE)/VLOOKUP(registry[[#This Row],[food_name]],food_name[],5,FALSE))*$C43</f>
        <v>6.0000000000000006E-4</v>
      </c>
      <c r="G43">
        <f>($C43*(VLOOKUP(registry[[#This Row],[food_name]],food_name[],6,FALSE))/VLOOKUP(registry[[#This Row],[food_name]],food_name[],5,FALSE))</f>
        <v>0.03</v>
      </c>
      <c r="H43" cm="1">
        <f t="array" ref="H43">Table4[weigth]</f>
        <v>66</v>
      </c>
      <c r="I43" cm="1">
        <f t="array" ref="I43">Table4[min_range_weight]</f>
        <v>68.802352941176466</v>
      </c>
      <c r="J43" cm="1">
        <f t="array" ref="J43">Table4[max_range_weigth]</f>
        <v>86.002941176470586</v>
      </c>
      <c r="K43" cm="1">
        <f t="array" ref="K43">Table4[weight_goal]</f>
        <v>71</v>
      </c>
      <c r="L43" s="12">
        <v>51</v>
      </c>
      <c r="M43" cm="1">
        <f t="array" ref="M43">Table4[MM_min]</f>
        <v>58.481999999999992</v>
      </c>
      <c r="N43" cm="1">
        <f t="array" ref="N43">Table4[MM_max]</f>
        <v>73.102499999999992</v>
      </c>
      <c r="O43" cm="1">
        <f t="array" ref="O43">Table4[natural_mass_limit]</f>
        <v>60.35</v>
      </c>
    </row>
    <row r="44" spans="1:15" x14ac:dyDescent="0.35">
      <c r="A44" s="1">
        <v>45246</v>
      </c>
      <c r="B44" t="s">
        <v>51</v>
      </c>
      <c r="C44">
        <v>3</v>
      </c>
      <c r="D44">
        <f>(VLOOKUP(registry[[#This Row],[food_name]],food_name[],2,FALSE)/VLOOKUP(registry[[#This Row],[food_name]],food_name[],5,FALSE))*$C44</f>
        <v>3.5999999999999999E-3</v>
      </c>
      <c r="E44">
        <f>(VLOOKUP(registry[[#This Row],[food_name]],food_name[],3,FALSE)/VLOOKUP(registry[[#This Row],[food_name]],food_name[],5,FALSE))*$C44</f>
        <v>1.2000000000000001E-3</v>
      </c>
      <c r="F44">
        <f>(VLOOKUP(registry[[#This Row],[food_name]],food_name[],4,FALSE)/VLOOKUP(registry[[#This Row],[food_name]],food_name[],5,FALSE))*$C44</f>
        <v>6.0000000000000006E-4</v>
      </c>
      <c r="G44">
        <f>($C44*(VLOOKUP(registry[[#This Row],[food_name]],food_name[],6,FALSE))/VLOOKUP(registry[[#This Row],[food_name]],food_name[],5,FALSE))</f>
        <v>0.03</v>
      </c>
      <c r="H44" cm="1">
        <f t="array" ref="H44">Table4[weigth]</f>
        <v>66</v>
      </c>
      <c r="I44" cm="1">
        <f t="array" ref="I44">Table4[min_range_weight]</f>
        <v>68.802352941176466</v>
      </c>
      <c r="J44" cm="1">
        <f t="array" ref="J44">Table4[max_range_weigth]</f>
        <v>86.002941176470586</v>
      </c>
      <c r="K44" cm="1">
        <f t="array" ref="K44">Table4[weight_goal]</f>
        <v>71</v>
      </c>
      <c r="L44" s="12">
        <v>51</v>
      </c>
      <c r="M44" cm="1">
        <f t="array" ref="M44">Table4[MM_min]</f>
        <v>58.481999999999992</v>
      </c>
      <c r="N44" cm="1">
        <f t="array" ref="N44">Table4[MM_max]</f>
        <v>73.102499999999992</v>
      </c>
      <c r="O44" cm="1">
        <f t="array" ref="O44">Table4[natural_mass_limit]</f>
        <v>60.35</v>
      </c>
    </row>
    <row r="45" spans="1:15" x14ac:dyDescent="0.35">
      <c r="A45" s="1">
        <v>45246</v>
      </c>
      <c r="B45" t="s">
        <v>51</v>
      </c>
      <c r="C45">
        <v>3</v>
      </c>
      <c r="D45">
        <f>(VLOOKUP(registry[[#This Row],[food_name]],food_name[],2,FALSE)/VLOOKUP(registry[[#This Row],[food_name]],food_name[],5,FALSE))*$C45</f>
        <v>3.5999999999999999E-3</v>
      </c>
      <c r="E45">
        <f>(VLOOKUP(registry[[#This Row],[food_name]],food_name[],3,FALSE)/VLOOKUP(registry[[#This Row],[food_name]],food_name[],5,FALSE))*$C45</f>
        <v>1.2000000000000001E-3</v>
      </c>
      <c r="F45">
        <f>(VLOOKUP(registry[[#This Row],[food_name]],food_name[],4,FALSE)/VLOOKUP(registry[[#This Row],[food_name]],food_name[],5,FALSE))*$C45</f>
        <v>6.0000000000000006E-4</v>
      </c>
      <c r="G45">
        <f>($C45*(VLOOKUP(registry[[#This Row],[food_name]],food_name[],6,FALSE))/VLOOKUP(registry[[#This Row],[food_name]],food_name[],5,FALSE))</f>
        <v>0.03</v>
      </c>
      <c r="H45" cm="1">
        <f t="array" ref="H45">Table4[weigth]</f>
        <v>66</v>
      </c>
      <c r="I45" cm="1">
        <f t="array" ref="I45">Table4[min_range_weight]</f>
        <v>68.802352941176466</v>
      </c>
      <c r="J45" cm="1">
        <f t="array" ref="J45">Table4[max_range_weigth]</f>
        <v>86.002941176470586</v>
      </c>
      <c r="K45" cm="1">
        <f t="array" ref="K45">Table4[weight_goal]</f>
        <v>71</v>
      </c>
      <c r="L45" s="12">
        <v>51</v>
      </c>
      <c r="M45" cm="1">
        <f t="array" ref="M45">Table4[MM_min]</f>
        <v>58.481999999999992</v>
      </c>
      <c r="N45" cm="1">
        <f t="array" ref="N45">Table4[MM_max]</f>
        <v>73.102499999999992</v>
      </c>
      <c r="O45" cm="1">
        <f t="array" ref="O45">Table4[natural_mass_limit]</f>
        <v>60.35</v>
      </c>
    </row>
    <row r="46" spans="1:15" x14ac:dyDescent="0.35">
      <c r="A46" s="1">
        <v>45246</v>
      </c>
      <c r="B46" t="s">
        <v>102</v>
      </c>
      <c r="C46">
        <v>300</v>
      </c>
      <c r="D46">
        <f>(VLOOKUP(registry[[#This Row],[food_name]],food_name[],2,FALSE)/VLOOKUP(registry[[#This Row],[food_name]],food_name[],5,FALSE))*$C46</f>
        <v>32.700000000000003</v>
      </c>
      <c r="E46">
        <f>(VLOOKUP(registry[[#This Row],[food_name]],food_name[],3,FALSE)/VLOOKUP(registry[[#This Row],[food_name]],food_name[],5,FALSE))*$C46</f>
        <v>125.69999999999999</v>
      </c>
      <c r="F46">
        <f>(VLOOKUP(registry[[#This Row],[food_name]],food_name[],4,FALSE)/VLOOKUP(registry[[#This Row],[food_name]],food_name[],5,FALSE))*$C46</f>
        <v>3.9000000000000004</v>
      </c>
      <c r="G46">
        <f>($C46*(VLOOKUP(registry[[#This Row],[food_name]],food_name[],6,FALSE))/VLOOKUP(registry[[#This Row],[food_name]],food_name[],5,FALSE))</f>
        <v>699</v>
      </c>
      <c r="H46" cm="1">
        <f t="array" ref="H46">Table4[weigth]</f>
        <v>66</v>
      </c>
      <c r="I46" cm="1">
        <f t="array" ref="I46">Table4[min_range_weight]</f>
        <v>68.802352941176466</v>
      </c>
      <c r="J46" cm="1">
        <f t="array" ref="J46">Table4[max_range_weigth]</f>
        <v>86.002941176470586</v>
      </c>
      <c r="K46" cm="1">
        <f t="array" ref="K46">Table4[weight_goal]</f>
        <v>71</v>
      </c>
      <c r="L46" s="12">
        <v>51</v>
      </c>
      <c r="M46" cm="1">
        <f t="array" ref="M46">Table4[MM_min]</f>
        <v>58.481999999999992</v>
      </c>
      <c r="N46" cm="1">
        <f t="array" ref="N46">Table4[MM_max]</f>
        <v>73.102499999999992</v>
      </c>
      <c r="O46" cm="1">
        <f t="array" ref="O46">Table4[natural_mass_limit]</f>
        <v>60.35</v>
      </c>
    </row>
    <row r="47" spans="1:15" x14ac:dyDescent="0.35">
      <c r="A47" s="1">
        <v>45246</v>
      </c>
      <c r="B47" t="s">
        <v>105</v>
      </c>
      <c r="C47">
        <v>300</v>
      </c>
      <c r="D47">
        <f>(VLOOKUP(registry[[#This Row],[food_name]],food_name[],2,FALSE)/VLOOKUP(registry[[#This Row],[food_name]],food_name[],5,FALSE))*$C47</f>
        <v>66.900000000000006</v>
      </c>
      <c r="E47">
        <f>(VLOOKUP(registry[[#This Row],[food_name]],food_name[],3,FALSE)/VLOOKUP(registry[[#This Row],[food_name]],food_name[],5,FALSE))*$C47</f>
        <v>0</v>
      </c>
      <c r="F47">
        <f>(VLOOKUP(registry[[#This Row],[food_name]],food_name[],4,FALSE)/VLOOKUP(registry[[#This Row],[food_name]],food_name[],5,FALSE))*$C47</f>
        <v>9</v>
      </c>
      <c r="G47">
        <f>($C47*(VLOOKUP(registry[[#This Row],[food_name]],food_name[],6,FALSE))/VLOOKUP(registry[[#This Row],[food_name]],food_name[],5,FALSE))</f>
        <v>351</v>
      </c>
      <c r="H47" cm="1">
        <f t="array" ref="H47">Table4[weigth]</f>
        <v>66</v>
      </c>
      <c r="I47" cm="1">
        <f t="array" ref="I47">Table4[min_range_weight]</f>
        <v>68.802352941176466</v>
      </c>
      <c r="J47" cm="1">
        <f t="array" ref="J47">Table4[max_range_weigth]</f>
        <v>86.002941176470586</v>
      </c>
      <c r="K47" cm="1">
        <f t="array" ref="K47">Table4[weight_goal]</f>
        <v>71</v>
      </c>
      <c r="L47" s="12">
        <v>51</v>
      </c>
      <c r="M47" cm="1">
        <f t="array" ref="M47">Table4[MM_min]</f>
        <v>58.481999999999992</v>
      </c>
      <c r="N47" cm="1">
        <f t="array" ref="N47">Table4[MM_max]</f>
        <v>73.102499999999992</v>
      </c>
      <c r="O47" cm="1">
        <f t="array" ref="O47">Table4[natural_mass_limit]</f>
        <v>60.35</v>
      </c>
    </row>
    <row r="48" spans="1:15" x14ac:dyDescent="0.35">
      <c r="A48" s="1">
        <v>45246</v>
      </c>
      <c r="B48" t="s">
        <v>55</v>
      </c>
      <c r="C48">
        <v>110</v>
      </c>
      <c r="D48">
        <f>(VLOOKUP(registry[[#This Row],[food_name]],food_name[],2,FALSE)/VLOOKUP(registry[[#This Row],[food_name]],food_name[],5,FALSE))*$C48</f>
        <v>0.88</v>
      </c>
      <c r="E48">
        <f>(VLOOKUP(registry[[#This Row],[food_name]],food_name[],3,FALSE)/VLOOKUP(registry[[#This Row],[food_name]],food_name[],5,FALSE))*$C48</f>
        <v>23.54</v>
      </c>
      <c r="F48">
        <f>(VLOOKUP(registry[[#This Row],[food_name]],food_name[],4,FALSE)/VLOOKUP(registry[[#This Row],[food_name]],food_name[],5,FALSE))*$C48</f>
        <v>0</v>
      </c>
      <c r="G48">
        <f>($C48*(VLOOKUP(registry[[#This Row],[food_name]],food_name[],6,FALSE))/VLOOKUP(registry[[#This Row],[food_name]],food_name[],5,FALSE))</f>
        <v>91.3</v>
      </c>
      <c r="H48" cm="1">
        <f t="array" ref="H48">Table4[weigth]</f>
        <v>66</v>
      </c>
      <c r="I48" cm="1">
        <f t="array" ref="I48">Table4[min_range_weight]</f>
        <v>68.802352941176466</v>
      </c>
      <c r="J48" cm="1">
        <f t="array" ref="J48">Table4[max_range_weigth]</f>
        <v>86.002941176470586</v>
      </c>
      <c r="K48" cm="1">
        <f t="array" ref="K48">Table4[weight_goal]</f>
        <v>71</v>
      </c>
      <c r="L48" s="12">
        <v>51</v>
      </c>
      <c r="M48" cm="1">
        <f t="array" ref="M48">Table4[MM_min]</f>
        <v>58.481999999999992</v>
      </c>
      <c r="N48" cm="1">
        <f t="array" ref="N48">Table4[MM_max]</f>
        <v>73.102499999999992</v>
      </c>
      <c r="O48" cm="1">
        <f t="array" ref="O48">Table4[natural_mass_limit]</f>
        <v>60.35</v>
      </c>
    </row>
    <row r="49" spans="1:15" x14ac:dyDescent="0.35">
      <c r="A49" s="1">
        <v>45246</v>
      </c>
      <c r="B49" t="s">
        <v>103</v>
      </c>
      <c r="C49">
        <v>5</v>
      </c>
      <c r="D49">
        <f>(VLOOKUP(registry[[#This Row],[food_name]],food_name[],2,FALSE)/VLOOKUP(registry[[#This Row],[food_name]],food_name[],5,FALSE))*$C49</f>
        <v>3.35</v>
      </c>
      <c r="E49">
        <f>(VLOOKUP(registry[[#This Row],[food_name]],food_name[],3,FALSE)/VLOOKUP(registry[[#This Row],[food_name]],food_name[],5,FALSE))*$C49</f>
        <v>0.75</v>
      </c>
      <c r="F49">
        <f>(VLOOKUP(registry[[#This Row],[food_name]],food_name[],4,FALSE)/VLOOKUP(registry[[#This Row],[food_name]],food_name[],5,FALSE))*$C49</f>
        <v>4.5000000000000005E-2</v>
      </c>
      <c r="G49">
        <f>($C49*(VLOOKUP(registry[[#This Row],[food_name]],food_name[],6,FALSE))/VLOOKUP(registry[[#This Row],[food_name]],food_name[],5,FALSE))</f>
        <v>17.25</v>
      </c>
      <c r="H49" cm="1">
        <f t="array" ref="H49">Table4[weigth]</f>
        <v>66</v>
      </c>
      <c r="I49" cm="1">
        <f t="array" ref="I49">Table4[min_range_weight]</f>
        <v>68.802352941176466</v>
      </c>
      <c r="J49" cm="1">
        <f t="array" ref="J49">Table4[max_range_weigth]</f>
        <v>86.002941176470586</v>
      </c>
      <c r="K49" cm="1">
        <f t="array" ref="K49">Table4[weight_goal]</f>
        <v>71</v>
      </c>
      <c r="L49" s="12">
        <v>51</v>
      </c>
      <c r="M49" cm="1">
        <f t="array" ref="M49">Table4[MM_min]</f>
        <v>58.481999999999992</v>
      </c>
      <c r="N49" cm="1">
        <f t="array" ref="N49">Table4[MM_max]</f>
        <v>73.102499999999992</v>
      </c>
      <c r="O49" cm="1">
        <f t="array" ref="O49">Table4[natural_mass_limit]</f>
        <v>60.35</v>
      </c>
    </row>
    <row r="50" spans="1:15" x14ac:dyDescent="0.35">
      <c r="A50" s="1">
        <v>45246</v>
      </c>
      <c r="B50" t="s">
        <v>104</v>
      </c>
      <c r="C50">
        <v>30</v>
      </c>
      <c r="D50">
        <f>(VLOOKUP(registry[[#This Row],[food_name]],food_name[],2,FALSE)/VLOOKUP(registry[[#This Row],[food_name]],food_name[],5,FALSE))*$C50</f>
        <v>20.7</v>
      </c>
      <c r="E50">
        <f>(VLOOKUP(registry[[#This Row],[food_name]],food_name[],3,FALSE)/VLOOKUP(registry[[#This Row],[food_name]],food_name[],5,FALSE))*$C50</f>
        <v>1.3499999999999999</v>
      </c>
      <c r="F50">
        <f>(VLOOKUP(registry[[#This Row],[food_name]],food_name[],4,FALSE)/VLOOKUP(registry[[#This Row],[food_name]],food_name[],5,FALSE))*$C50</f>
        <v>1.08</v>
      </c>
      <c r="G50">
        <f>($C50*(VLOOKUP(registry[[#This Row],[food_name]],food_name[],6,FALSE))/VLOOKUP(registry[[#This Row],[food_name]],food_name[],5,FALSE))</f>
        <v>98.4</v>
      </c>
      <c r="H50" cm="1">
        <f t="array" ref="H50">Table4[weigth]</f>
        <v>66</v>
      </c>
      <c r="I50" cm="1">
        <f t="array" ref="I50">Table4[min_range_weight]</f>
        <v>68.802352941176466</v>
      </c>
      <c r="J50" cm="1">
        <f t="array" ref="J50">Table4[max_range_weigth]</f>
        <v>86.002941176470586</v>
      </c>
      <c r="K50" cm="1">
        <f t="array" ref="K50">Table4[weight_goal]</f>
        <v>71</v>
      </c>
      <c r="L50" s="12">
        <v>51</v>
      </c>
      <c r="M50" cm="1">
        <f t="array" ref="M50">Table4[MM_min]</f>
        <v>58.481999999999992</v>
      </c>
      <c r="N50" cm="1">
        <f t="array" ref="N50">Table4[MM_max]</f>
        <v>73.102499999999992</v>
      </c>
      <c r="O50" cm="1">
        <f t="array" ref="O50">Table4[natural_mass_limit]</f>
        <v>60.35</v>
      </c>
    </row>
    <row r="51" spans="1:15" x14ac:dyDescent="0.35">
      <c r="A51" s="1">
        <v>45246</v>
      </c>
      <c r="B51" t="s">
        <v>53</v>
      </c>
      <c r="C51">
        <v>180</v>
      </c>
      <c r="D51">
        <f>(VLOOKUP(registry[[#This Row],[food_name]],food_name[],2,FALSE)/VLOOKUP(registry[[#This Row],[food_name]],food_name[],5,FALSE))*$C51</f>
        <v>19.8</v>
      </c>
      <c r="E51">
        <f>(VLOOKUP(registry[[#This Row],[food_name]],food_name[],3,FALSE)/VLOOKUP(registry[[#This Row],[food_name]],food_name[],5,FALSE))*$C51</f>
        <v>108.72</v>
      </c>
      <c r="F51">
        <f>(VLOOKUP(registry[[#This Row],[food_name]],food_name[],4,FALSE)/VLOOKUP(registry[[#This Row],[food_name]],food_name[],5,FALSE))*$C51</f>
        <v>14.759999999999998</v>
      </c>
      <c r="G51">
        <f>($C51*(VLOOKUP(registry[[#This Row],[food_name]],food_name[],6,FALSE))/VLOOKUP(registry[[#This Row],[food_name]],food_name[],5,FALSE))</f>
        <v>676.8</v>
      </c>
      <c r="H51" cm="1">
        <f t="array" ref="H51">Table4[weigth]</f>
        <v>66</v>
      </c>
      <c r="I51" cm="1">
        <f t="array" ref="I51">Table4[min_range_weight]</f>
        <v>68.802352941176466</v>
      </c>
      <c r="J51" cm="1">
        <f t="array" ref="J51">Table4[max_range_weigth]</f>
        <v>86.002941176470586</v>
      </c>
      <c r="K51" cm="1">
        <f t="array" ref="K51">Table4[weight_goal]</f>
        <v>71</v>
      </c>
      <c r="L51" s="12">
        <v>51</v>
      </c>
      <c r="M51" cm="1">
        <f t="array" ref="M51">Table4[MM_min]</f>
        <v>58.481999999999992</v>
      </c>
      <c r="N51" cm="1">
        <f t="array" ref="N51">Table4[MM_max]</f>
        <v>73.102499999999992</v>
      </c>
      <c r="O51" cm="1">
        <f t="array" ref="O51">Table4[natural_mass_limit]</f>
        <v>60.35</v>
      </c>
    </row>
    <row r="52" spans="1:15" x14ac:dyDescent="0.35">
      <c r="A52" s="1">
        <v>45246</v>
      </c>
      <c r="B52" t="s">
        <v>55</v>
      </c>
      <c r="C52">
        <v>110</v>
      </c>
      <c r="D52">
        <f>(VLOOKUP(registry[[#This Row],[food_name]],food_name[],2,FALSE)/VLOOKUP(registry[[#This Row],[food_name]],food_name[],5,FALSE))*$C52</f>
        <v>0.88</v>
      </c>
      <c r="E52">
        <f>(VLOOKUP(registry[[#This Row],[food_name]],food_name[],3,FALSE)/VLOOKUP(registry[[#This Row],[food_name]],food_name[],5,FALSE))*$C52</f>
        <v>23.54</v>
      </c>
      <c r="F52">
        <f>(VLOOKUP(registry[[#This Row],[food_name]],food_name[],4,FALSE)/VLOOKUP(registry[[#This Row],[food_name]],food_name[],5,FALSE))*$C52</f>
        <v>0</v>
      </c>
      <c r="G52">
        <f>($C52*(VLOOKUP(registry[[#This Row],[food_name]],food_name[],6,FALSE))/VLOOKUP(registry[[#This Row],[food_name]],food_name[],5,FALSE))</f>
        <v>91.3</v>
      </c>
      <c r="H52" cm="1">
        <f t="array" ref="H52">Table4[weigth]</f>
        <v>66</v>
      </c>
      <c r="I52" cm="1">
        <f t="array" ref="I52">Table4[min_range_weight]</f>
        <v>68.802352941176466</v>
      </c>
      <c r="J52" cm="1">
        <f t="array" ref="J52">Table4[max_range_weigth]</f>
        <v>86.002941176470586</v>
      </c>
      <c r="K52" cm="1">
        <f t="array" ref="K52">Table4[weight_goal]</f>
        <v>71</v>
      </c>
      <c r="L52" s="12">
        <v>51</v>
      </c>
      <c r="M52" cm="1">
        <f t="array" ref="M52">Table4[MM_min]</f>
        <v>58.481999999999992</v>
      </c>
      <c r="N52" cm="1">
        <f t="array" ref="N52">Table4[MM_max]</f>
        <v>73.102499999999992</v>
      </c>
      <c r="O52" cm="1">
        <f t="array" ref="O52">Table4[natural_mass_limit]</f>
        <v>60.35</v>
      </c>
    </row>
    <row r="53" spans="1:15" x14ac:dyDescent="0.35">
      <c r="A53" s="1">
        <v>45246</v>
      </c>
      <c r="B53" t="s">
        <v>61</v>
      </c>
      <c r="C53">
        <v>110</v>
      </c>
      <c r="D53">
        <f>(VLOOKUP(registry[[#This Row],[food_name]],food_name[],2,FALSE)/VLOOKUP(registry[[#This Row],[food_name]],food_name[],5,FALSE))*$C53</f>
        <v>1.1000000000000001</v>
      </c>
      <c r="E53">
        <f>(VLOOKUP(registry[[#This Row],[food_name]],food_name[],3,FALSE)/VLOOKUP(registry[[#This Row],[food_name]],food_name[],5,FALSE))*$C53</f>
        <v>5.94</v>
      </c>
      <c r="F53">
        <f>(VLOOKUP(registry[[#This Row],[food_name]],food_name[],4,FALSE)/VLOOKUP(registry[[#This Row],[food_name]],food_name[],5,FALSE))*$C53</f>
        <v>0</v>
      </c>
      <c r="G53">
        <f>($C53*(VLOOKUP(registry[[#This Row],[food_name]],food_name[],6,FALSE))/VLOOKUP(registry[[#This Row],[food_name]],food_name[],5,FALSE))</f>
        <v>41.8</v>
      </c>
      <c r="H53" cm="1">
        <f t="array" ref="H53">Table4[weigth]</f>
        <v>66</v>
      </c>
      <c r="I53" cm="1">
        <f t="array" ref="I53">Table4[min_range_weight]</f>
        <v>68.802352941176466</v>
      </c>
      <c r="J53" cm="1">
        <f t="array" ref="J53">Table4[max_range_weigth]</f>
        <v>86.002941176470586</v>
      </c>
      <c r="K53" cm="1">
        <f t="array" ref="K53">Table4[weight_goal]</f>
        <v>71</v>
      </c>
      <c r="L53" s="12">
        <v>51</v>
      </c>
      <c r="M53" cm="1">
        <f t="array" ref="M53">Table4[MM_min]</f>
        <v>58.481999999999992</v>
      </c>
      <c r="N53" cm="1">
        <f t="array" ref="N53">Table4[MM_max]</f>
        <v>73.102499999999992</v>
      </c>
      <c r="O53" cm="1">
        <f t="array" ref="O53">Table4[natural_mass_limit]</f>
        <v>60.35</v>
      </c>
    </row>
    <row r="54" spans="1:15" x14ac:dyDescent="0.35">
      <c r="A54" s="1">
        <v>45246</v>
      </c>
      <c r="B54" t="s">
        <v>54</v>
      </c>
      <c r="C54">
        <v>200</v>
      </c>
      <c r="D54">
        <f>(VLOOKUP(registry[[#This Row],[food_name]],food_name[],2,FALSE)/VLOOKUP(registry[[#This Row],[food_name]],food_name[],5,FALSE))*$C54</f>
        <v>6.8000000000000007</v>
      </c>
      <c r="E54">
        <f>(VLOOKUP(registry[[#This Row],[food_name]],food_name[],3,FALSE)/VLOOKUP(registry[[#This Row],[food_name]],food_name[],5,FALSE))*$C54</f>
        <v>5.2</v>
      </c>
      <c r="F54">
        <f>(VLOOKUP(registry[[#This Row],[food_name]],food_name[],4,FALSE)/VLOOKUP(registry[[#This Row],[food_name]],food_name[],5,FALSE))*$C54</f>
        <v>3.8</v>
      </c>
      <c r="G54">
        <f>($C54*(VLOOKUP(registry[[#This Row],[food_name]],food_name[],6,FALSE))/VLOOKUP(registry[[#This Row],[food_name]],food_name[],5,FALSE))</f>
        <v>84</v>
      </c>
      <c r="H54" cm="1">
        <f t="array" ref="H54">Table4[weigth]</f>
        <v>66</v>
      </c>
      <c r="I54" cm="1">
        <f t="array" ref="I54">Table4[min_range_weight]</f>
        <v>68.802352941176466</v>
      </c>
      <c r="J54" cm="1">
        <f t="array" ref="J54">Table4[max_range_weigth]</f>
        <v>86.002941176470586</v>
      </c>
      <c r="K54" cm="1">
        <f t="array" ref="K54">Table4[weight_goal]</f>
        <v>71</v>
      </c>
      <c r="L54" s="12">
        <v>51</v>
      </c>
      <c r="M54" cm="1">
        <f t="array" ref="M54">Table4[MM_min]</f>
        <v>58.481999999999992</v>
      </c>
      <c r="N54" cm="1">
        <f t="array" ref="N54">Table4[MM_max]</f>
        <v>73.102499999999992</v>
      </c>
      <c r="O54" cm="1">
        <f t="array" ref="O54">Table4[natural_mass_limit]</f>
        <v>60.35</v>
      </c>
    </row>
    <row r="55" spans="1:15" x14ac:dyDescent="0.35">
      <c r="A55" s="1">
        <v>45247</v>
      </c>
      <c r="B55" t="s">
        <v>51</v>
      </c>
      <c r="C55">
        <v>3</v>
      </c>
      <c r="D55">
        <f>(VLOOKUP(registry[[#This Row],[food_name]],food_name[],2,FALSE)/VLOOKUP(registry[[#This Row],[food_name]],food_name[],5,FALSE))*$C55</f>
        <v>3.5999999999999999E-3</v>
      </c>
      <c r="E55">
        <f>(VLOOKUP(registry[[#This Row],[food_name]],food_name[],3,FALSE)/VLOOKUP(registry[[#This Row],[food_name]],food_name[],5,FALSE))*$C55</f>
        <v>1.2000000000000001E-3</v>
      </c>
      <c r="F55">
        <f>(VLOOKUP(registry[[#This Row],[food_name]],food_name[],4,FALSE)/VLOOKUP(registry[[#This Row],[food_name]],food_name[],5,FALSE))*$C55</f>
        <v>6.0000000000000006E-4</v>
      </c>
      <c r="G55">
        <f>($C55*(VLOOKUP(registry[[#This Row],[food_name]],food_name[],6,FALSE))/VLOOKUP(registry[[#This Row],[food_name]],food_name[],5,FALSE))</f>
        <v>0.03</v>
      </c>
      <c r="H55" cm="1">
        <f t="array" ref="H55">Table4[weigth]</f>
        <v>66</v>
      </c>
      <c r="I55" cm="1">
        <f t="array" ref="I55">Table4[min_range_weight]</f>
        <v>68.802352941176466</v>
      </c>
      <c r="J55" cm="1">
        <f t="array" ref="J55">Table4[max_range_weigth]</f>
        <v>86.002941176470586</v>
      </c>
      <c r="K55" cm="1">
        <f t="array" ref="K55">Table4[weight_goal]</f>
        <v>71</v>
      </c>
      <c r="L55" s="12">
        <v>51</v>
      </c>
      <c r="M55" cm="1">
        <f t="array" ref="M55">Table4[MM_min]</f>
        <v>58.481999999999992</v>
      </c>
      <c r="N55" cm="1">
        <f t="array" ref="N55">Table4[MM_max]</f>
        <v>73.102499999999992</v>
      </c>
      <c r="O55" cm="1">
        <f t="array" ref="O55">Table4[natural_mass_limit]</f>
        <v>60.35</v>
      </c>
    </row>
    <row r="56" spans="1:15" x14ac:dyDescent="0.35">
      <c r="A56" s="1">
        <v>45247</v>
      </c>
      <c r="B56" t="s">
        <v>51</v>
      </c>
      <c r="C56">
        <v>3</v>
      </c>
      <c r="D56">
        <f>(VLOOKUP(registry[[#This Row],[food_name]],food_name[],2,FALSE)/VLOOKUP(registry[[#This Row],[food_name]],food_name[],5,FALSE))*$C56</f>
        <v>3.5999999999999999E-3</v>
      </c>
      <c r="E56">
        <f>(VLOOKUP(registry[[#This Row],[food_name]],food_name[],3,FALSE)/VLOOKUP(registry[[#This Row],[food_name]],food_name[],5,FALSE))*$C56</f>
        <v>1.2000000000000001E-3</v>
      </c>
      <c r="F56">
        <f>(VLOOKUP(registry[[#This Row],[food_name]],food_name[],4,FALSE)/VLOOKUP(registry[[#This Row],[food_name]],food_name[],5,FALSE))*$C56</f>
        <v>6.0000000000000006E-4</v>
      </c>
      <c r="G56">
        <f>($C56*(VLOOKUP(registry[[#This Row],[food_name]],food_name[],6,FALSE))/VLOOKUP(registry[[#This Row],[food_name]],food_name[],5,FALSE))</f>
        <v>0.03</v>
      </c>
      <c r="H56" cm="1">
        <f t="array" ref="H56">Table4[weigth]</f>
        <v>66</v>
      </c>
      <c r="I56" cm="1">
        <f t="array" ref="I56">Table4[min_range_weight]</f>
        <v>68.802352941176466</v>
      </c>
      <c r="J56" cm="1">
        <f t="array" ref="J56">Table4[max_range_weigth]</f>
        <v>86.002941176470586</v>
      </c>
      <c r="K56" cm="1">
        <f t="array" ref="K56">Table4[weight_goal]</f>
        <v>71</v>
      </c>
      <c r="L56" s="12">
        <v>51</v>
      </c>
      <c r="M56" cm="1">
        <f t="array" ref="M56">Table4[MM_min]</f>
        <v>58.481999999999992</v>
      </c>
      <c r="N56" cm="1">
        <f t="array" ref="N56">Table4[MM_max]</f>
        <v>73.102499999999992</v>
      </c>
      <c r="O56" cm="1">
        <f t="array" ref="O56">Table4[natural_mass_limit]</f>
        <v>60.35</v>
      </c>
    </row>
    <row r="57" spans="1:15" x14ac:dyDescent="0.35">
      <c r="A57" s="1">
        <v>45247</v>
      </c>
      <c r="B57" t="s">
        <v>51</v>
      </c>
      <c r="C57">
        <v>3</v>
      </c>
      <c r="D57">
        <f>(VLOOKUP(registry[[#This Row],[food_name]],food_name[],2,FALSE)/VLOOKUP(registry[[#This Row],[food_name]],food_name[],5,FALSE))*$C57</f>
        <v>3.5999999999999999E-3</v>
      </c>
      <c r="E57">
        <f>(VLOOKUP(registry[[#This Row],[food_name]],food_name[],3,FALSE)/VLOOKUP(registry[[#This Row],[food_name]],food_name[],5,FALSE))*$C57</f>
        <v>1.2000000000000001E-3</v>
      </c>
      <c r="F57">
        <f>(VLOOKUP(registry[[#This Row],[food_name]],food_name[],4,FALSE)/VLOOKUP(registry[[#This Row],[food_name]],food_name[],5,FALSE))*$C57</f>
        <v>6.0000000000000006E-4</v>
      </c>
      <c r="G57">
        <f>($C57*(VLOOKUP(registry[[#This Row],[food_name]],food_name[],6,FALSE))/VLOOKUP(registry[[#This Row],[food_name]],food_name[],5,FALSE))</f>
        <v>0.03</v>
      </c>
      <c r="H57" cm="1">
        <f t="array" ref="H57">Table4[weigth]</f>
        <v>66</v>
      </c>
      <c r="I57" cm="1">
        <f t="array" ref="I57">Table4[min_range_weight]</f>
        <v>68.802352941176466</v>
      </c>
      <c r="J57" cm="1">
        <f t="array" ref="J57">Table4[max_range_weigth]</f>
        <v>86.002941176470586</v>
      </c>
      <c r="K57" cm="1">
        <f t="array" ref="K57">Table4[weight_goal]</f>
        <v>71</v>
      </c>
      <c r="L57" s="12">
        <v>51</v>
      </c>
      <c r="M57" cm="1">
        <f t="array" ref="M57">Table4[MM_min]</f>
        <v>58.481999999999992</v>
      </c>
      <c r="N57" cm="1">
        <f t="array" ref="N57">Table4[MM_max]</f>
        <v>73.102499999999992</v>
      </c>
      <c r="O57" cm="1">
        <f t="array" ref="O57">Table4[natural_mass_limit]</f>
        <v>60.35</v>
      </c>
    </row>
    <row r="58" spans="1:15" x14ac:dyDescent="0.35">
      <c r="A58" s="1">
        <v>45247</v>
      </c>
      <c r="B58" t="s">
        <v>52</v>
      </c>
      <c r="C58">
        <v>480</v>
      </c>
      <c r="D58">
        <f>(VLOOKUP(registry[[#This Row],[food_name]],food_name[],2,FALSE)/VLOOKUP(registry[[#This Row],[food_name]],food_name[],5,FALSE))*$C58</f>
        <v>32.160000000000004</v>
      </c>
      <c r="E58">
        <f>(VLOOKUP(registry[[#This Row],[food_name]],food_name[],3,FALSE)/VLOOKUP(registry[[#This Row],[food_name]],food_name[],5,FALSE))*$C58</f>
        <v>65.28</v>
      </c>
      <c r="F58">
        <f>(VLOOKUP(registry[[#This Row],[food_name]],food_name[],4,FALSE)/VLOOKUP(registry[[#This Row],[food_name]],food_name[],5,FALSE))*$C58</f>
        <v>10.56</v>
      </c>
      <c r="G58">
        <f>($C58*(VLOOKUP(registry[[#This Row],[food_name]],food_name[],6,FALSE))/VLOOKUP(registry[[#This Row],[food_name]],food_name[],5,FALSE))</f>
        <v>552</v>
      </c>
      <c r="H58" cm="1">
        <f t="array" ref="H58">Table4[weigth]</f>
        <v>66</v>
      </c>
      <c r="I58" cm="1">
        <f t="array" ref="I58">Table4[min_range_weight]</f>
        <v>68.802352941176466</v>
      </c>
      <c r="J58" cm="1">
        <f t="array" ref="J58">Table4[max_range_weigth]</f>
        <v>86.002941176470586</v>
      </c>
      <c r="K58" cm="1">
        <f t="array" ref="K58">Table4[weight_goal]</f>
        <v>71</v>
      </c>
      <c r="L58" s="12">
        <v>51</v>
      </c>
      <c r="M58" cm="1">
        <f t="array" ref="M58">Table4[MM_min]</f>
        <v>58.481999999999992</v>
      </c>
      <c r="N58" cm="1">
        <f t="array" ref="N58">Table4[MM_max]</f>
        <v>73.102499999999992</v>
      </c>
      <c r="O58" cm="1">
        <f t="array" ref="O58">Table4[natural_mass_limit]</f>
        <v>60.35</v>
      </c>
    </row>
    <row r="59" spans="1:15" x14ac:dyDescent="0.35">
      <c r="A59" s="1">
        <v>45247</v>
      </c>
      <c r="B59" t="s">
        <v>56</v>
      </c>
      <c r="C59">
        <v>140</v>
      </c>
      <c r="D59">
        <f>(VLOOKUP(registry[[#This Row],[food_name]],food_name[],2,FALSE)/VLOOKUP(registry[[#This Row],[food_name]],food_name[],5,FALSE))*$C59</f>
        <v>1.2600000000000002</v>
      </c>
      <c r="E59">
        <f>(VLOOKUP(registry[[#This Row],[food_name]],food_name[],3,FALSE)/VLOOKUP(registry[[#This Row],[food_name]],food_name[],5,FALSE))*$C59</f>
        <v>4.9000000000000004</v>
      </c>
      <c r="F59">
        <f>(VLOOKUP(registry[[#This Row],[food_name]],food_name[],4,FALSE)/VLOOKUP(registry[[#This Row],[food_name]],food_name[],5,FALSE))*$C59</f>
        <v>0.28000000000000003</v>
      </c>
      <c r="G59">
        <f>($C59*(VLOOKUP(registry[[#This Row],[food_name]],food_name[],6,FALSE))/VLOOKUP(registry[[#This Row],[food_name]],food_name[],5,FALSE))</f>
        <v>28</v>
      </c>
      <c r="H59" cm="1">
        <f t="array" ref="H59">Table4[weigth]</f>
        <v>66</v>
      </c>
      <c r="I59" cm="1">
        <f t="array" ref="I59">Table4[min_range_weight]</f>
        <v>68.802352941176466</v>
      </c>
      <c r="J59" cm="1">
        <f t="array" ref="J59">Table4[max_range_weigth]</f>
        <v>86.002941176470586</v>
      </c>
      <c r="K59" cm="1">
        <f t="array" ref="K59">Table4[weight_goal]</f>
        <v>71</v>
      </c>
      <c r="L59" s="12">
        <v>51</v>
      </c>
      <c r="M59" cm="1">
        <f t="array" ref="M59">Table4[MM_min]</f>
        <v>58.481999999999992</v>
      </c>
      <c r="N59" cm="1">
        <f t="array" ref="N59">Table4[MM_max]</f>
        <v>73.102499999999992</v>
      </c>
      <c r="O59" cm="1">
        <f t="array" ref="O59">Table4[natural_mass_limit]</f>
        <v>60.35</v>
      </c>
    </row>
    <row r="60" spans="1:15" x14ac:dyDescent="0.35">
      <c r="A60" s="1">
        <v>45247</v>
      </c>
      <c r="B60" t="s">
        <v>90</v>
      </c>
      <c r="C60">
        <v>102</v>
      </c>
      <c r="D60">
        <f>(VLOOKUP(registry[[#This Row],[food_name]],food_name[],2,FALSE)/VLOOKUP(registry[[#This Row],[food_name]],food_name[],5,FALSE))*$C60</f>
        <v>23.97</v>
      </c>
      <c r="E60">
        <f>(VLOOKUP(registry[[#This Row],[food_name]],food_name[],3,FALSE)/VLOOKUP(registry[[#This Row],[food_name]],food_name[],5,FALSE))*$C60</f>
        <v>0</v>
      </c>
      <c r="F60">
        <f>(VLOOKUP(registry[[#This Row],[food_name]],food_name[],4,FALSE)/VLOOKUP(registry[[#This Row],[food_name]],food_name[],5,FALSE))*$C60</f>
        <v>0.61199999999999999</v>
      </c>
      <c r="G60">
        <f>($C60*(VLOOKUP(registry[[#This Row],[food_name]],food_name[],6,FALSE))/VLOOKUP(registry[[#This Row],[food_name]],food_name[],5,FALSE))</f>
        <v>100.98</v>
      </c>
      <c r="H60" cm="1">
        <f t="array" ref="H60">Table4[weigth]</f>
        <v>66</v>
      </c>
      <c r="I60" cm="1">
        <f t="array" ref="I60">Table4[min_range_weight]</f>
        <v>68.802352941176466</v>
      </c>
      <c r="J60" cm="1">
        <f t="array" ref="J60">Table4[max_range_weigth]</f>
        <v>86.002941176470586</v>
      </c>
      <c r="K60" cm="1">
        <f t="array" ref="K60">Table4[weight_goal]</f>
        <v>71</v>
      </c>
      <c r="L60" s="12">
        <v>51</v>
      </c>
      <c r="M60" cm="1">
        <f t="array" ref="M60">Table4[MM_min]</f>
        <v>58.481999999999992</v>
      </c>
      <c r="N60" cm="1">
        <f t="array" ref="N60">Table4[MM_max]</f>
        <v>73.102499999999992</v>
      </c>
      <c r="O60" cm="1">
        <f t="array" ref="O60">Table4[natural_mass_limit]</f>
        <v>60.35</v>
      </c>
    </row>
    <row r="61" spans="1:15" x14ac:dyDescent="0.35">
      <c r="A61" s="1">
        <v>45247</v>
      </c>
      <c r="B61" t="s">
        <v>57</v>
      </c>
      <c r="C61">
        <v>35</v>
      </c>
      <c r="D61">
        <f>(VLOOKUP(registry[[#This Row],[food_name]],food_name[],2,FALSE)/VLOOKUP(registry[[#This Row],[food_name]],food_name[],5,FALSE))*$C61</f>
        <v>0.35000000000000003</v>
      </c>
      <c r="E61">
        <f>(VLOOKUP(registry[[#This Row],[food_name]],food_name[],3,FALSE)/VLOOKUP(registry[[#This Row],[food_name]],food_name[],5,FALSE))*$C61</f>
        <v>3.57</v>
      </c>
      <c r="F61">
        <f>(VLOOKUP(registry[[#This Row],[food_name]],food_name[],4,FALSE)/VLOOKUP(registry[[#This Row],[food_name]],food_name[],5,FALSE))*$C61</f>
        <v>7.0000000000000007E-2</v>
      </c>
      <c r="G61">
        <f>($C61*(VLOOKUP(registry[[#This Row],[food_name]],food_name[],6,FALSE))/VLOOKUP(registry[[#This Row],[food_name]],food_name[],5,FALSE))</f>
        <v>14.7</v>
      </c>
      <c r="H61" cm="1">
        <f t="array" ref="H61">Table4[weigth]</f>
        <v>66</v>
      </c>
      <c r="I61" cm="1">
        <f t="array" ref="I61">Table4[min_range_weight]</f>
        <v>68.802352941176466</v>
      </c>
      <c r="J61" cm="1">
        <f t="array" ref="J61">Table4[max_range_weigth]</f>
        <v>86.002941176470586</v>
      </c>
      <c r="K61" cm="1">
        <f t="array" ref="K61">Table4[weight_goal]</f>
        <v>71</v>
      </c>
      <c r="L61" s="12">
        <v>51</v>
      </c>
      <c r="M61" cm="1">
        <f t="array" ref="M61">Table4[MM_min]</f>
        <v>58.481999999999992</v>
      </c>
      <c r="N61" cm="1">
        <f t="array" ref="N61">Table4[MM_max]</f>
        <v>73.102499999999992</v>
      </c>
      <c r="O61" cm="1">
        <f t="array" ref="O61">Table4[natural_mass_limit]</f>
        <v>60.35</v>
      </c>
    </row>
    <row r="62" spans="1:15" x14ac:dyDescent="0.35">
      <c r="A62" s="1">
        <v>45247</v>
      </c>
      <c r="B62" t="s">
        <v>103</v>
      </c>
      <c r="C62">
        <v>7</v>
      </c>
      <c r="D62">
        <f>(VLOOKUP(registry[[#This Row],[food_name]],food_name[],2,FALSE)/VLOOKUP(registry[[#This Row],[food_name]],food_name[],5,FALSE))*$C62</f>
        <v>4.6900000000000004</v>
      </c>
      <c r="E62">
        <f>(VLOOKUP(registry[[#This Row],[food_name]],food_name[],3,FALSE)/VLOOKUP(registry[[#This Row],[food_name]],food_name[],5,FALSE))*$C62</f>
        <v>1.05</v>
      </c>
      <c r="F62">
        <f>(VLOOKUP(registry[[#This Row],[food_name]],food_name[],4,FALSE)/VLOOKUP(registry[[#This Row],[food_name]],food_name[],5,FALSE))*$C62</f>
        <v>6.3E-2</v>
      </c>
      <c r="G62">
        <f>($C62*(VLOOKUP(registry[[#This Row],[food_name]],food_name[],6,FALSE))/VLOOKUP(registry[[#This Row],[food_name]],food_name[],5,FALSE))</f>
        <v>24.15</v>
      </c>
      <c r="H62" cm="1">
        <f t="array" ref="H62">Table4[weigth]</f>
        <v>66</v>
      </c>
      <c r="I62" cm="1">
        <f t="array" ref="I62">Table4[min_range_weight]</f>
        <v>68.802352941176466</v>
      </c>
      <c r="J62" cm="1">
        <f t="array" ref="J62">Table4[max_range_weigth]</f>
        <v>86.002941176470586</v>
      </c>
      <c r="K62" cm="1">
        <f t="array" ref="K62">Table4[weight_goal]</f>
        <v>71</v>
      </c>
      <c r="L62" s="12">
        <v>51</v>
      </c>
      <c r="M62" cm="1">
        <f t="array" ref="M62">Table4[MM_min]</f>
        <v>58.481999999999992</v>
      </c>
      <c r="N62" cm="1">
        <f t="array" ref="N62">Table4[MM_max]</f>
        <v>73.102499999999992</v>
      </c>
      <c r="O62" cm="1">
        <f t="array" ref="O62">Table4[natural_mass_limit]</f>
        <v>60.35</v>
      </c>
    </row>
    <row r="63" spans="1:15" x14ac:dyDescent="0.35">
      <c r="A63" s="1">
        <v>45247</v>
      </c>
      <c r="B63" t="s">
        <v>104</v>
      </c>
      <c r="C63">
        <v>60</v>
      </c>
      <c r="D63">
        <f>(VLOOKUP(registry[[#This Row],[food_name]],food_name[],2,FALSE)/VLOOKUP(registry[[#This Row],[food_name]],food_name[],5,FALSE))*$C63</f>
        <v>41.4</v>
      </c>
      <c r="E63">
        <f>(VLOOKUP(registry[[#This Row],[food_name]],food_name[],3,FALSE)/VLOOKUP(registry[[#This Row],[food_name]],food_name[],5,FALSE))*$C63</f>
        <v>2.6999999999999997</v>
      </c>
      <c r="F63">
        <f>(VLOOKUP(registry[[#This Row],[food_name]],food_name[],4,FALSE)/VLOOKUP(registry[[#This Row],[food_name]],food_name[],5,FALSE))*$C63</f>
        <v>2.16</v>
      </c>
      <c r="G63">
        <f>($C63*(VLOOKUP(registry[[#This Row],[food_name]],food_name[],6,FALSE))/VLOOKUP(registry[[#This Row],[food_name]],food_name[],5,FALSE))</f>
        <v>196.8</v>
      </c>
      <c r="H63" cm="1">
        <f t="array" ref="H63">Table4[weigth]</f>
        <v>66</v>
      </c>
      <c r="I63" cm="1">
        <f t="array" ref="I63">Table4[min_range_weight]</f>
        <v>68.802352941176466</v>
      </c>
      <c r="J63" cm="1">
        <f t="array" ref="J63">Table4[max_range_weigth]</f>
        <v>86.002941176470586</v>
      </c>
      <c r="K63" cm="1">
        <f t="array" ref="K63">Table4[weight_goal]</f>
        <v>71</v>
      </c>
      <c r="L63" s="12">
        <v>51</v>
      </c>
      <c r="M63" cm="1">
        <f t="array" ref="M63">Table4[MM_min]</f>
        <v>58.481999999999992</v>
      </c>
      <c r="N63" cm="1">
        <f t="array" ref="N63">Table4[MM_max]</f>
        <v>73.102499999999992</v>
      </c>
      <c r="O63" cm="1">
        <f t="array" ref="O63">Table4[natural_mass_limit]</f>
        <v>60.35</v>
      </c>
    </row>
    <row r="64" spans="1:15" x14ac:dyDescent="0.35">
      <c r="A64" s="1">
        <v>45247</v>
      </c>
      <c r="B64" t="s">
        <v>61</v>
      </c>
      <c r="C64">
        <v>60</v>
      </c>
      <c r="D64">
        <f>(VLOOKUP(registry[[#This Row],[food_name]],food_name[],2,FALSE)/VLOOKUP(registry[[#This Row],[food_name]],food_name[],5,FALSE))*$C64</f>
        <v>0.6</v>
      </c>
      <c r="E64">
        <f>(VLOOKUP(registry[[#This Row],[food_name]],food_name[],3,FALSE)/VLOOKUP(registry[[#This Row],[food_name]],food_name[],5,FALSE))*$C64</f>
        <v>3.24</v>
      </c>
      <c r="F64">
        <f>(VLOOKUP(registry[[#This Row],[food_name]],food_name[],4,FALSE)/VLOOKUP(registry[[#This Row],[food_name]],food_name[],5,FALSE))*$C64</f>
        <v>0</v>
      </c>
      <c r="G64">
        <f>($C64*(VLOOKUP(registry[[#This Row],[food_name]],food_name[],6,FALSE))/VLOOKUP(registry[[#This Row],[food_name]],food_name[],5,FALSE))</f>
        <v>22.8</v>
      </c>
      <c r="H64" cm="1">
        <f t="array" ref="H64">Table4[weigth]</f>
        <v>66</v>
      </c>
      <c r="I64" cm="1">
        <f t="array" ref="I64">Table4[min_range_weight]</f>
        <v>68.802352941176466</v>
      </c>
      <c r="J64" cm="1">
        <f t="array" ref="J64">Table4[max_range_weigth]</f>
        <v>86.002941176470586</v>
      </c>
      <c r="K64" cm="1">
        <f t="array" ref="K64">Table4[weight_goal]</f>
        <v>71</v>
      </c>
      <c r="L64" s="12">
        <v>51</v>
      </c>
      <c r="M64" cm="1">
        <f t="array" ref="M64">Table4[MM_min]</f>
        <v>58.481999999999992</v>
      </c>
      <c r="N64" cm="1">
        <f t="array" ref="N64">Table4[MM_max]</f>
        <v>73.102499999999992</v>
      </c>
      <c r="O64" cm="1">
        <f t="array" ref="O64">Table4[natural_mass_limit]</f>
        <v>60.35</v>
      </c>
    </row>
    <row r="65" spans="1:15" x14ac:dyDescent="0.35">
      <c r="A65" s="1">
        <v>45247</v>
      </c>
      <c r="B65" t="s">
        <v>55</v>
      </c>
      <c r="C65">
        <v>118</v>
      </c>
      <c r="D65">
        <f>(VLOOKUP(registry[[#This Row],[food_name]],food_name[],2,FALSE)/VLOOKUP(registry[[#This Row],[food_name]],food_name[],5,FALSE))*$C65</f>
        <v>0.94400000000000006</v>
      </c>
      <c r="E65">
        <f>(VLOOKUP(registry[[#This Row],[food_name]],food_name[],3,FALSE)/VLOOKUP(registry[[#This Row],[food_name]],food_name[],5,FALSE))*$C65</f>
        <v>25.251999999999999</v>
      </c>
      <c r="F65">
        <f>(VLOOKUP(registry[[#This Row],[food_name]],food_name[],4,FALSE)/VLOOKUP(registry[[#This Row],[food_name]],food_name[],5,FALSE))*$C65</f>
        <v>0</v>
      </c>
      <c r="G65">
        <f>($C65*(VLOOKUP(registry[[#This Row],[food_name]],food_name[],6,FALSE))/VLOOKUP(registry[[#This Row],[food_name]],food_name[],5,FALSE))</f>
        <v>97.94</v>
      </c>
      <c r="H65" cm="1">
        <f t="array" ref="H65">Table4[weigth]</f>
        <v>66</v>
      </c>
      <c r="I65" cm="1">
        <f t="array" ref="I65">Table4[min_range_weight]</f>
        <v>68.802352941176466</v>
      </c>
      <c r="J65" cm="1">
        <f t="array" ref="J65">Table4[max_range_weigth]</f>
        <v>86.002941176470586</v>
      </c>
      <c r="K65" cm="1">
        <f t="array" ref="K65">Table4[weight_goal]</f>
        <v>71</v>
      </c>
      <c r="L65" s="12">
        <v>51</v>
      </c>
      <c r="M65" cm="1">
        <f t="array" ref="M65">Table4[MM_min]</f>
        <v>58.481999999999992</v>
      </c>
      <c r="N65" cm="1">
        <f t="array" ref="N65">Table4[MM_max]</f>
        <v>73.102499999999992</v>
      </c>
      <c r="O65" cm="1">
        <f t="array" ref="O65">Table4[natural_mass_limit]</f>
        <v>60.35</v>
      </c>
    </row>
    <row r="66" spans="1:15" x14ac:dyDescent="0.35">
      <c r="A66" s="1">
        <v>45247</v>
      </c>
      <c r="B66" t="s">
        <v>54</v>
      </c>
      <c r="C66">
        <v>136</v>
      </c>
      <c r="D66">
        <f>(VLOOKUP(registry[[#This Row],[food_name]],food_name[],2,FALSE)/VLOOKUP(registry[[#This Row],[food_name]],food_name[],5,FALSE))*$C66</f>
        <v>4.6240000000000006</v>
      </c>
      <c r="E66">
        <f>(VLOOKUP(registry[[#This Row],[food_name]],food_name[],3,FALSE)/VLOOKUP(registry[[#This Row],[food_name]],food_name[],5,FALSE))*$C66</f>
        <v>3.5360000000000005</v>
      </c>
      <c r="F66">
        <f>(VLOOKUP(registry[[#This Row],[food_name]],food_name[],4,FALSE)/VLOOKUP(registry[[#This Row],[food_name]],food_name[],5,FALSE))*$C66</f>
        <v>2.5840000000000001</v>
      </c>
      <c r="G66">
        <f>($C66*(VLOOKUP(registry[[#This Row],[food_name]],food_name[],6,FALSE))/VLOOKUP(registry[[#This Row],[food_name]],food_name[],5,FALSE))</f>
        <v>57.12</v>
      </c>
      <c r="H66" cm="1">
        <f t="array" ref="H66">Table4[weigth]</f>
        <v>66</v>
      </c>
      <c r="I66" cm="1">
        <f t="array" ref="I66">Table4[min_range_weight]</f>
        <v>68.802352941176466</v>
      </c>
      <c r="J66" cm="1">
        <f t="array" ref="J66">Table4[max_range_weigth]</f>
        <v>86.002941176470586</v>
      </c>
      <c r="K66" cm="1">
        <f t="array" ref="K66">Table4[weight_goal]</f>
        <v>71</v>
      </c>
      <c r="L66" s="12">
        <v>51</v>
      </c>
      <c r="M66" cm="1">
        <f t="array" ref="M66">Table4[MM_min]</f>
        <v>58.481999999999992</v>
      </c>
      <c r="N66" cm="1">
        <f t="array" ref="N66">Table4[MM_max]</f>
        <v>73.102499999999992</v>
      </c>
      <c r="O66" cm="1">
        <f t="array" ref="O66">Table4[natural_mass_limit]</f>
        <v>60.35</v>
      </c>
    </row>
    <row r="67" spans="1:15" x14ac:dyDescent="0.35">
      <c r="A67" s="1">
        <v>45247</v>
      </c>
      <c r="B67" t="s">
        <v>102</v>
      </c>
      <c r="C67">
        <v>67</v>
      </c>
      <c r="D67">
        <f>(VLOOKUP(registry[[#This Row],[food_name]],food_name[],2,FALSE)/VLOOKUP(registry[[#This Row],[food_name]],food_name[],5,FALSE))*$C67</f>
        <v>7.3029999999999999</v>
      </c>
      <c r="E67">
        <f>(VLOOKUP(registry[[#This Row],[food_name]],food_name[],3,FALSE)/VLOOKUP(registry[[#This Row],[food_name]],food_name[],5,FALSE))*$C67</f>
        <v>28.073</v>
      </c>
      <c r="F67">
        <f>(VLOOKUP(registry[[#This Row],[food_name]],food_name[],4,FALSE)/VLOOKUP(registry[[#This Row],[food_name]],food_name[],5,FALSE))*$C67</f>
        <v>0.87100000000000011</v>
      </c>
      <c r="G67">
        <f>($C67*(VLOOKUP(registry[[#This Row],[food_name]],food_name[],6,FALSE))/VLOOKUP(registry[[#This Row],[food_name]],food_name[],5,FALSE))</f>
        <v>156.11000000000001</v>
      </c>
      <c r="H67" cm="1">
        <f t="array" ref="H67">Table4[weigth]</f>
        <v>66</v>
      </c>
      <c r="I67" cm="1">
        <f t="array" ref="I67">Table4[min_range_weight]</f>
        <v>68.802352941176466</v>
      </c>
      <c r="J67" cm="1">
        <f t="array" ref="J67">Table4[max_range_weigth]</f>
        <v>86.002941176470586</v>
      </c>
      <c r="K67" cm="1">
        <f t="array" ref="K67">Table4[weight_goal]</f>
        <v>71</v>
      </c>
      <c r="L67" s="12">
        <v>51</v>
      </c>
      <c r="M67" cm="1">
        <f t="array" ref="M67">Table4[MM_min]</f>
        <v>58.481999999999992</v>
      </c>
      <c r="N67" cm="1">
        <f t="array" ref="N67">Table4[MM_max]</f>
        <v>73.102499999999992</v>
      </c>
      <c r="O67" cm="1">
        <f t="array" ref="O67">Table4[natural_mass_limit]</f>
        <v>60.35</v>
      </c>
    </row>
    <row r="68" spans="1:15" x14ac:dyDescent="0.35">
      <c r="A68" s="1">
        <v>45247</v>
      </c>
      <c r="B68" t="s">
        <v>52</v>
      </c>
      <c r="C68">
        <v>240</v>
      </c>
      <c r="D68">
        <f>(VLOOKUP(registry[[#This Row],[food_name]],food_name[],2,FALSE)/VLOOKUP(registry[[#This Row],[food_name]],food_name[],5,FALSE))*$C68</f>
        <v>16.080000000000002</v>
      </c>
      <c r="E68">
        <f>(VLOOKUP(registry[[#This Row],[food_name]],food_name[],3,FALSE)/VLOOKUP(registry[[#This Row],[food_name]],food_name[],5,FALSE))*$C68</f>
        <v>32.64</v>
      </c>
      <c r="F68">
        <f>(VLOOKUP(registry[[#This Row],[food_name]],food_name[],4,FALSE)/VLOOKUP(registry[[#This Row],[food_name]],food_name[],5,FALSE))*$C68</f>
        <v>5.28</v>
      </c>
      <c r="G68">
        <f>($C68*(VLOOKUP(registry[[#This Row],[food_name]],food_name[],6,FALSE))/VLOOKUP(registry[[#This Row],[food_name]],food_name[],5,FALSE))</f>
        <v>276</v>
      </c>
      <c r="H68" cm="1">
        <f t="array" ref="H68">Table4[weigth]</f>
        <v>66</v>
      </c>
      <c r="I68" cm="1">
        <f t="array" ref="I68">Table4[min_range_weight]</f>
        <v>68.802352941176466</v>
      </c>
      <c r="J68" cm="1">
        <f t="array" ref="J68">Table4[max_range_weigth]</f>
        <v>86.002941176470586</v>
      </c>
      <c r="K68" cm="1">
        <f t="array" ref="K68">Table4[weight_goal]</f>
        <v>71</v>
      </c>
      <c r="L68" s="12">
        <v>51</v>
      </c>
      <c r="M68" cm="1">
        <f t="array" ref="M68">Table4[MM_min]</f>
        <v>58.481999999999992</v>
      </c>
      <c r="N68" cm="1">
        <f t="array" ref="N68">Table4[MM_max]</f>
        <v>73.102499999999992</v>
      </c>
      <c r="O68" cm="1">
        <f t="array" ref="O68">Table4[natural_mass_limit]</f>
        <v>60.35</v>
      </c>
    </row>
    <row r="69" spans="1:15" x14ac:dyDescent="0.35">
      <c r="A69" s="1">
        <v>45247</v>
      </c>
      <c r="B69" t="s">
        <v>57</v>
      </c>
      <c r="C69">
        <v>35</v>
      </c>
      <c r="D69">
        <f>(VLOOKUP(registry[[#This Row],[food_name]],food_name[],2,FALSE)/VLOOKUP(registry[[#This Row],[food_name]],food_name[],5,FALSE))*$C69</f>
        <v>0.35000000000000003</v>
      </c>
      <c r="E69">
        <f>(VLOOKUP(registry[[#This Row],[food_name]],food_name[],3,FALSE)/VLOOKUP(registry[[#This Row],[food_name]],food_name[],5,FALSE))*$C69</f>
        <v>3.57</v>
      </c>
      <c r="F69">
        <f>(VLOOKUP(registry[[#This Row],[food_name]],food_name[],4,FALSE)/VLOOKUP(registry[[#This Row],[food_name]],food_name[],5,FALSE))*$C69</f>
        <v>7.0000000000000007E-2</v>
      </c>
      <c r="G69">
        <f>($C69*(VLOOKUP(registry[[#This Row],[food_name]],food_name[],6,FALSE))/VLOOKUP(registry[[#This Row],[food_name]],food_name[],5,FALSE))</f>
        <v>14.7</v>
      </c>
      <c r="H69" cm="1">
        <f t="array" ref="H69">Table4[weigth]</f>
        <v>66</v>
      </c>
      <c r="I69" cm="1">
        <f t="array" ref="I69">Table4[min_range_weight]</f>
        <v>68.802352941176466</v>
      </c>
      <c r="J69" cm="1">
        <f t="array" ref="J69">Table4[max_range_weigth]</f>
        <v>86.002941176470586</v>
      </c>
      <c r="K69" cm="1">
        <f t="array" ref="K69">Table4[weight_goal]</f>
        <v>71</v>
      </c>
      <c r="L69" s="12">
        <v>51</v>
      </c>
      <c r="M69" cm="1">
        <f t="array" ref="M69">Table4[MM_min]</f>
        <v>58.481999999999992</v>
      </c>
      <c r="N69" cm="1">
        <f t="array" ref="N69">Table4[MM_max]</f>
        <v>73.102499999999992</v>
      </c>
      <c r="O69" cm="1">
        <f t="array" ref="O69">Table4[natural_mass_limit]</f>
        <v>60.35</v>
      </c>
    </row>
    <row r="70" spans="1:15" x14ac:dyDescent="0.35">
      <c r="A70" s="1">
        <v>45247</v>
      </c>
      <c r="B70" t="s">
        <v>56</v>
      </c>
      <c r="C70">
        <v>140</v>
      </c>
      <c r="D70">
        <f>(VLOOKUP(registry[[#This Row],[food_name]],food_name[],2,FALSE)/VLOOKUP(registry[[#This Row],[food_name]],food_name[],5,FALSE))*$C70</f>
        <v>1.2600000000000002</v>
      </c>
      <c r="E70">
        <f>(VLOOKUP(registry[[#This Row],[food_name]],food_name[],3,FALSE)/VLOOKUP(registry[[#This Row],[food_name]],food_name[],5,FALSE))*$C70</f>
        <v>4.9000000000000004</v>
      </c>
      <c r="F70">
        <f>(VLOOKUP(registry[[#This Row],[food_name]],food_name[],4,FALSE)/VLOOKUP(registry[[#This Row],[food_name]],food_name[],5,FALSE))*$C70</f>
        <v>0.28000000000000003</v>
      </c>
      <c r="G70">
        <f>($C70*(VLOOKUP(registry[[#This Row],[food_name]],food_name[],6,FALSE))/VLOOKUP(registry[[#This Row],[food_name]],food_name[],5,FALSE))</f>
        <v>28</v>
      </c>
      <c r="H70" cm="1">
        <f t="array" ref="H70">Table4[weigth]</f>
        <v>66</v>
      </c>
      <c r="I70" cm="1">
        <f t="array" ref="I70">Table4[min_range_weight]</f>
        <v>68.802352941176466</v>
      </c>
      <c r="J70" cm="1">
        <f t="array" ref="J70">Table4[max_range_weigth]</f>
        <v>86.002941176470586</v>
      </c>
      <c r="K70" cm="1">
        <f t="array" ref="K70">Table4[weight_goal]</f>
        <v>71</v>
      </c>
      <c r="L70" s="12">
        <v>51</v>
      </c>
      <c r="M70" cm="1">
        <f t="array" ref="M70">Table4[MM_min]</f>
        <v>58.481999999999992</v>
      </c>
      <c r="N70" cm="1">
        <f t="array" ref="N70">Table4[MM_max]</f>
        <v>73.102499999999992</v>
      </c>
      <c r="O70" cm="1">
        <f t="array" ref="O70">Table4[natural_mass_limit]</f>
        <v>60.35</v>
      </c>
    </row>
    <row r="71" spans="1:15" x14ac:dyDescent="0.35">
      <c r="A71" s="1">
        <v>45248</v>
      </c>
      <c r="B71" t="s">
        <v>61</v>
      </c>
      <c r="C71">
        <v>40</v>
      </c>
      <c r="D71">
        <f>(VLOOKUP(registry[[#This Row],[food_name]],food_name[],2,FALSE)/VLOOKUP(registry[[#This Row],[food_name]],food_name[],5,FALSE))*$C71</f>
        <v>0.4</v>
      </c>
      <c r="E71">
        <f>(VLOOKUP(registry[[#This Row],[food_name]],food_name[],3,FALSE)/VLOOKUP(registry[[#This Row],[food_name]],food_name[],5,FALSE))*$C71</f>
        <v>2.16</v>
      </c>
      <c r="F71">
        <f>(VLOOKUP(registry[[#This Row],[food_name]],food_name[],4,FALSE)/VLOOKUP(registry[[#This Row],[food_name]],food_name[],5,FALSE))*$C71</f>
        <v>0</v>
      </c>
      <c r="G71">
        <f>($C71*(VLOOKUP(registry[[#This Row],[food_name]],food_name[],6,FALSE))/VLOOKUP(registry[[#This Row],[food_name]],food_name[],5,FALSE))</f>
        <v>15.2</v>
      </c>
      <c r="H71" cm="1">
        <f t="array" ref="H71">Table4[weigth]</f>
        <v>66</v>
      </c>
      <c r="I71" cm="1">
        <f t="array" ref="I71">Table4[min_range_weight]</f>
        <v>68.802352941176466</v>
      </c>
      <c r="J71" cm="1">
        <f t="array" ref="J71">Table4[max_range_weigth]</f>
        <v>86.002941176470586</v>
      </c>
      <c r="K71" cm="1">
        <f t="array" ref="K71">Table4[weight_goal]</f>
        <v>71</v>
      </c>
      <c r="L71" s="12">
        <v>51</v>
      </c>
      <c r="M71" cm="1">
        <f t="array" ref="M71">Table4[MM_min]</f>
        <v>58.481999999999992</v>
      </c>
      <c r="N71" cm="1">
        <f t="array" ref="N71">Table4[MM_max]</f>
        <v>73.102499999999992</v>
      </c>
      <c r="O71" cm="1">
        <f t="array" ref="O71">Table4[natural_mass_limit]</f>
        <v>60.35</v>
      </c>
    </row>
    <row r="72" spans="1:15" x14ac:dyDescent="0.35">
      <c r="A72" s="1">
        <v>45248</v>
      </c>
      <c r="B72" t="s">
        <v>103</v>
      </c>
      <c r="C72">
        <v>15</v>
      </c>
      <c r="D72">
        <f>(VLOOKUP(registry[[#This Row],[food_name]],food_name[],2,FALSE)/VLOOKUP(registry[[#This Row],[food_name]],food_name[],5,FALSE))*$C72</f>
        <v>10.050000000000001</v>
      </c>
      <c r="E72">
        <f>(VLOOKUP(registry[[#This Row],[food_name]],food_name[],3,FALSE)/VLOOKUP(registry[[#This Row],[food_name]],food_name[],5,FALSE))*$C72</f>
        <v>2.25</v>
      </c>
      <c r="F72">
        <f>(VLOOKUP(registry[[#This Row],[food_name]],food_name[],4,FALSE)/VLOOKUP(registry[[#This Row],[food_name]],food_name[],5,FALSE))*$C72</f>
        <v>0.13500000000000001</v>
      </c>
      <c r="G72">
        <f>($C72*(VLOOKUP(registry[[#This Row],[food_name]],food_name[],6,FALSE))/VLOOKUP(registry[[#This Row],[food_name]],food_name[],5,FALSE))</f>
        <v>51.75</v>
      </c>
      <c r="H72" cm="1">
        <f t="array" ref="H72">Table4[weigth]</f>
        <v>66</v>
      </c>
      <c r="I72" cm="1">
        <f t="array" ref="I72">Table4[min_range_weight]</f>
        <v>68.802352941176466</v>
      </c>
      <c r="J72" cm="1">
        <f t="array" ref="J72">Table4[max_range_weigth]</f>
        <v>86.002941176470586</v>
      </c>
      <c r="K72" cm="1">
        <f t="array" ref="K72">Table4[weight_goal]</f>
        <v>71</v>
      </c>
      <c r="L72" s="12">
        <v>51</v>
      </c>
      <c r="M72" cm="1">
        <f t="array" ref="M72">Table4[MM_min]</f>
        <v>58.481999999999992</v>
      </c>
      <c r="N72" cm="1">
        <f t="array" ref="N72">Table4[MM_max]</f>
        <v>73.102499999999992</v>
      </c>
      <c r="O72" cm="1">
        <f t="array" ref="O72">Table4[natural_mass_limit]</f>
        <v>60.35</v>
      </c>
    </row>
    <row r="73" spans="1:15" x14ac:dyDescent="0.35">
      <c r="A73" s="1">
        <v>45248</v>
      </c>
      <c r="B73" t="s">
        <v>104</v>
      </c>
      <c r="C73">
        <v>32</v>
      </c>
      <c r="D73">
        <f>(VLOOKUP(registry[[#This Row],[food_name]],food_name[],2,FALSE)/VLOOKUP(registry[[#This Row],[food_name]],food_name[],5,FALSE))*$C73</f>
        <v>22.08</v>
      </c>
      <c r="E73">
        <f>(VLOOKUP(registry[[#This Row],[food_name]],food_name[],3,FALSE)/VLOOKUP(registry[[#This Row],[food_name]],food_name[],5,FALSE))*$C73</f>
        <v>1.44</v>
      </c>
      <c r="F73">
        <f>(VLOOKUP(registry[[#This Row],[food_name]],food_name[],4,FALSE)/VLOOKUP(registry[[#This Row],[food_name]],food_name[],5,FALSE))*$C73</f>
        <v>1.1520000000000001</v>
      </c>
      <c r="G73">
        <f>($C73*(VLOOKUP(registry[[#This Row],[food_name]],food_name[],6,FALSE))/VLOOKUP(registry[[#This Row],[food_name]],food_name[],5,FALSE))</f>
        <v>104.96</v>
      </c>
      <c r="H73" cm="1">
        <f t="array" ref="H73">Table4[weigth]</f>
        <v>66</v>
      </c>
      <c r="I73" cm="1">
        <f t="array" ref="I73">Table4[min_range_weight]</f>
        <v>68.802352941176466</v>
      </c>
      <c r="J73" cm="1">
        <f t="array" ref="J73">Table4[max_range_weigth]</f>
        <v>86.002941176470586</v>
      </c>
      <c r="K73" cm="1">
        <f t="array" ref="K73">Table4[weight_goal]</f>
        <v>71</v>
      </c>
      <c r="L73" s="12">
        <v>51</v>
      </c>
      <c r="M73" cm="1">
        <f t="array" ref="M73">Table4[MM_min]</f>
        <v>58.481999999999992</v>
      </c>
      <c r="N73" cm="1">
        <f t="array" ref="N73">Table4[MM_max]</f>
        <v>73.102499999999992</v>
      </c>
      <c r="O73" cm="1">
        <f t="array" ref="O73">Table4[natural_mass_limit]</f>
        <v>60.35</v>
      </c>
    </row>
    <row r="74" spans="1:15" x14ac:dyDescent="0.35">
      <c r="A74" s="1">
        <v>45248</v>
      </c>
      <c r="B74" t="s">
        <v>55</v>
      </c>
      <c r="C74">
        <v>108</v>
      </c>
      <c r="D74">
        <f>(VLOOKUP(registry[[#This Row],[food_name]],food_name[],2,FALSE)/VLOOKUP(registry[[#This Row],[food_name]],food_name[],5,FALSE))*$C74</f>
        <v>0.86399999999999999</v>
      </c>
      <c r="E74">
        <f>(VLOOKUP(registry[[#This Row],[food_name]],food_name[],3,FALSE)/VLOOKUP(registry[[#This Row],[food_name]],food_name[],5,FALSE))*$C74</f>
        <v>23.111999999999998</v>
      </c>
      <c r="F74">
        <f>(VLOOKUP(registry[[#This Row],[food_name]],food_name[],4,FALSE)/VLOOKUP(registry[[#This Row],[food_name]],food_name[],5,FALSE))*$C74</f>
        <v>0</v>
      </c>
      <c r="G74">
        <f>($C74*(VLOOKUP(registry[[#This Row],[food_name]],food_name[],6,FALSE))/VLOOKUP(registry[[#This Row],[food_name]],food_name[],5,FALSE))</f>
        <v>89.64</v>
      </c>
      <c r="H74" cm="1">
        <f t="array" ref="H74">Table4[weigth]</f>
        <v>66</v>
      </c>
      <c r="I74" cm="1">
        <f t="array" ref="I74">Table4[min_range_weight]</f>
        <v>68.802352941176466</v>
      </c>
      <c r="J74" cm="1">
        <f t="array" ref="J74">Table4[max_range_weigth]</f>
        <v>86.002941176470586</v>
      </c>
      <c r="K74" cm="1">
        <f t="array" ref="K74">Table4[weight_goal]</f>
        <v>71</v>
      </c>
      <c r="L74" s="12">
        <v>51</v>
      </c>
      <c r="M74" cm="1">
        <f t="array" ref="M74">Table4[MM_min]</f>
        <v>58.481999999999992</v>
      </c>
      <c r="N74" cm="1">
        <f t="array" ref="N74">Table4[MM_max]</f>
        <v>73.102499999999992</v>
      </c>
      <c r="O74" cm="1">
        <f t="array" ref="O74">Table4[natural_mass_limit]</f>
        <v>60.35</v>
      </c>
    </row>
    <row r="75" spans="1:15" x14ac:dyDescent="0.35">
      <c r="A75" s="1">
        <v>45248</v>
      </c>
      <c r="B75" t="s">
        <v>54</v>
      </c>
      <c r="C75">
        <v>200</v>
      </c>
      <c r="D75">
        <f>(VLOOKUP(registry[[#This Row],[food_name]],food_name[],2,FALSE)/VLOOKUP(registry[[#This Row],[food_name]],food_name[],5,FALSE))*$C75</f>
        <v>6.8000000000000007</v>
      </c>
      <c r="E75">
        <f>(VLOOKUP(registry[[#This Row],[food_name]],food_name[],3,FALSE)/VLOOKUP(registry[[#This Row],[food_name]],food_name[],5,FALSE))*$C75</f>
        <v>5.2</v>
      </c>
      <c r="F75">
        <f>(VLOOKUP(registry[[#This Row],[food_name]],food_name[],4,FALSE)/VLOOKUP(registry[[#This Row],[food_name]],food_name[],5,FALSE))*$C75</f>
        <v>3.8</v>
      </c>
      <c r="G75">
        <f>($C75*(VLOOKUP(registry[[#This Row],[food_name]],food_name[],6,FALSE))/VLOOKUP(registry[[#This Row],[food_name]],food_name[],5,FALSE))</f>
        <v>84</v>
      </c>
      <c r="H75" cm="1">
        <f t="array" ref="H75">Table4[weigth]</f>
        <v>66</v>
      </c>
      <c r="I75" cm="1">
        <f t="array" ref="I75">Table4[min_range_weight]</f>
        <v>68.802352941176466</v>
      </c>
      <c r="J75" cm="1">
        <f t="array" ref="J75">Table4[max_range_weigth]</f>
        <v>86.002941176470586</v>
      </c>
      <c r="K75" cm="1">
        <f t="array" ref="K75">Table4[weight_goal]</f>
        <v>71</v>
      </c>
      <c r="L75" s="12">
        <v>51</v>
      </c>
      <c r="M75" cm="1">
        <f t="array" ref="M75">Table4[MM_min]</f>
        <v>58.481999999999992</v>
      </c>
      <c r="N75" cm="1">
        <f t="array" ref="N75">Table4[MM_max]</f>
        <v>73.102499999999992</v>
      </c>
      <c r="O75" cm="1">
        <f t="array" ref="O75">Table4[natural_mass_limit]</f>
        <v>60.35</v>
      </c>
    </row>
    <row r="76" spans="1:15" x14ac:dyDescent="0.35">
      <c r="A76" s="1">
        <v>45248</v>
      </c>
      <c r="B76" t="s">
        <v>51</v>
      </c>
      <c r="C76">
        <v>3</v>
      </c>
      <c r="D76">
        <f>(VLOOKUP(registry[[#This Row],[food_name]],food_name[],2,FALSE)/VLOOKUP(registry[[#This Row],[food_name]],food_name[],5,FALSE))*$C76</f>
        <v>3.5999999999999999E-3</v>
      </c>
      <c r="E76">
        <f>(VLOOKUP(registry[[#This Row],[food_name]],food_name[],3,FALSE)/VLOOKUP(registry[[#This Row],[food_name]],food_name[],5,FALSE))*$C76</f>
        <v>1.2000000000000001E-3</v>
      </c>
      <c r="F76">
        <f>(VLOOKUP(registry[[#This Row],[food_name]],food_name[],4,FALSE)/VLOOKUP(registry[[#This Row],[food_name]],food_name[],5,FALSE))*$C76</f>
        <v>6.0000000000000006E-4</v>
      </c>
      <c r="G76">
        <f>($C76*(VLOOKUP(registry[[#This Row],[food_name]],food_name[],6,FALSE))/VLOOKUP(registry[[#This Row],[food_name]],food_name[],5,FALSE))</f>
        <v>0.03</v>
      </c>
      <c r="H76" cm="1">
        <f t="array" ref="H76">Table4[weigth]</f>
        <v>66</v>
      </c>
      <c r="I76" cm="1">
        <f t="array" ref="I76">Table4[min_range_weight]</f>
        <v>68.802352941176466</v>
      </c>
      <c r="J76" cm="1">
        <f t="array" ref="J76">Table4[max_range_weigth]</f>
        <v>86.002941176470586</v>
      </c>
      <c r="K76" cm="1">
        <f t="array" ref="K76">Table4[weight_goal]</f>
        <v>71</v>
      </c>
      <c r="L76" s="12">
        <v>51</v>
      </c>
      <c r="M76" cm="1">
        <f t="array" ref="M76">Table4[MM_min]</f>
        <v>58.481999999999992</v>
      </c>
      <c r="N76" cm="1">
        <f t="array" ref="N76">Table4[MM_max]</f>
        <v>73.102499999999992</v>
      </c>
      <c r="O76" cm="1">
        <f t="array" ref="O76">Table4[natural_mass_limit]</f>
        <v>60.35</v>
      </c>
    </row>
    <row r="77" spans="1:15" x14ac:dyDescent="0.35">
      <c r="A77" s="1">
        <v>45248</v>
      </c>
      <c r="B77" t="s">
        <v>51</v>
      </c>
      <c r="C77">
        <v>3</v>
      </c>
      <c r="D77">
        <f>(VLOOKUP(registry[[#This Row],[food_name]],food_name[],2,FALSE)/VLOOKUP(registry[[#This Row],[food_name]],food_name[],5,FALSE))*$C77</f>
        <v>3.5999999999999999E-3</v>
      </c>
      <c r="E77">
        <f>(VLOOKUP(registry[[#This Row],[food_name]],food_name[],3,FALSE)/VLOOKUP(registry[[#This Row],[food_name]],food_name[],5,FALSE))*$C77</f>
        <v>1.2000000000000001E-3</v>
      </c>
      <c r="F77">
        <f>(VLOOKUP(registry[[#This Row],[food_name]],food_name[],4,FALSE)/VLOOKUP(registry[[#This Row],[food_name]],food_name[],5,FALSE))*$C77</f>
        <v>6.0000000000000006E-4</v>
      </c>
      <c r="G77">
        <f>($C77*(VLOOKUP(registry[[#This Row],[food_name]],food_name[],6,FALSE))/VLOOKUP(registry[[#This Row],[food_name]],food_name[],5,FALSE))</f>
        <v>0.03</v>
      </c>
      <c r="H77" cm="1">
        <f t="array" ref="H77">Table4[weigth]</f>
        <v>66</v>
      </c>
      <c r="I77" cm="1">
        <f t="array" ref="I77">Table4[min_range_weight]</f>
        <v>68.802352941176466</v>
      </c>
      <c r="J77" cm="1">
        <f t="array" ref="J77">Table4[max_range_weigth]</f>
        <v>86.002941176470586</v>
      </c>
      <c r="K77" cm="1">
        <f t="array" ref="K77">Table4[weight_goal]</f>
        <v>71</v>
      </c>
      <c r="L77" s="12">
        <v>51</v>
      </c>
      <c r="M77" cm="1">
        <f t="array" ref="M77">Table4[MM_min]</f>
        <v>58.481999999999992</v>
      </c>
      <c r="N77" cm="1">
        <f t="array" ref="N77">Table4[MM_max]</f>
        <v>73.102499999999992</v>
      </c>
      <c r="O77" cm="1">
        <f t="array" ref="O77">Table4[natural_mass_limit]</f>
        <v>60.35</v>
      </c>
    </row>
    <row r="78" spans="1:15" x14ac:dyDescent="0.35">
      <c r="A78" s="1">
        <v>45248</v>
      </c>
      <c r="B78" t="s">
        <v>51</v>
      </c>
      <c r="C78">
        <v>3</v>
      </c>
      <c r="D78">
        <f>(VLOOKUP(registry[[#This Row],[food_name]],food_name[],2,FALSE)/VLOOKUP(registry[[#This Row],[food_name]],food_name[],5,FALSE))*$C78</f>
        <v>3.5999999999999999E-3</v>
      </c>
      <c r="E78">
        <f>(VLOOKUP(registry[[#This Row],[food_name]],food_name[],3,FALSE)/VLOOKUP(registry[[#This Row],[food_name]],food_name[],5,FALSE))*$C78</f>
        <v>1.2000000000000001E-3</v>
      </c>
      <c r="F78">
        <f>(VLOOKUP(registry[[#This Row],[food_name]],food_name[],4,FALSE)/VLOOKUP(registry[[#This Row],[food_name]],food_name[],5,FALSE))*$C78</f>
        <v>6.0000000000000006E-4</v>
      </c>
      <c r="G78">
        <f>($C78*(VLOOKUP(registry[[#This Row],[food_name]],food_name[],6,FALSE))/VLOOKUP(registry[[#This Row],[food_name]],food_name[],5,FALSE))</f>
        <v>0.03</v>
      </c>
      <c r="H78" cm="1">
        <f t="array" ref="H78">Table4[weigth]</f>
        <v>66</v>
      </c>
      <c r="I78" cm="1">
        <f t="array" ref="I78">Table4[min_range_weight]</f>
        <v>68.802352941176466</v>
      </c>
      <c r="J78" cm="1">
        <f t="array" ref="J78">Table4[max_range_weigth]</f>
        <v>86.002941176470586</v>
      </c>
      <c r="K78" cm="1">
        <f t="array" ref="K78">Table4[weight_goal]</f>
        <v>71</v>
      </c>
      <c r="L78" s="12">
        <v>51</v>
      </c>
      <c r="M78" cm="1">
        <f t="array" ref="M78">Table4[MM_min]</f>
        <v>58.481999999999992</v>
      </c>
      <c r="N78" cm="1">
        <f t="array" ref="N78">Table4[MM_max]</f>
        <v>73.102499999999992</v>
      </c>
      <c r="O78" cm="1">
        <f t="array" ref="O78">Table4[natural_mass_limit]</f>
        <v>60.35</v>
      </c>
    </row>
    <row r="79" spans="1:15" x14ac:dyDescent="0.35">
      <c r="A79" s="1">
        <v>45249</v>
      </c>
      <c r="B79" t="s">
        <v>54</v>
      </c>
      <c r="C79">
        <v>198</v>
      </c>
      <c r="D79">
        <f>(VLOOKUP(registry[[#This Row],[food_name]],food_name[],2,FALSE)/VLOOKUP(registry[[#This Row],[food_name]],food_name[],5,FALSE))*$C79</f>
        <v>6.7320000000000002</v>
      </c>
      <c r="E79">
        <f>(VLOOKUP(registry[[#This Row],[food_name]],food_name[],3,FALSE)/VLOOKUP(registry[[#This Row],[food_name]],food_name[],5,FALSE))*$C79</f>
        <v>5.1480000000000006</v>
      </c>
      <c r="F79">
        <f>(VLOOKUP(registry[[#This Row],[food_name]],food_name[],4,FALSE)/VLOOKUP(registry[[#This Row],[food_name]],food_name[],5,FALSE))*$C79</f>
        <v>3.762</v>
      </c>
      <c r="G79">
        <f>($C79*(VLOOKUP(registry[[#This Row],[food_name]],food_name[],6,FALSE))/VLOOKUP(registry[[#This Row],[food_name]],food_name[],5,FALSE))</f>
        <v>83.16</v>
      </c>
      <c r="H79" cm="1">
        <f t="array" ref="H79">Table4[weigth]</f>
        <v>66</v>
      </c>
      <c r="I79" cm="1">
        <f t="array" ref="I79">Table4[min_range_weight]</f>
        <v>68.802352941176466</v>
      </c>
      <c r="J79" cm="1">
        <f t="array" ref="J79">Table4[max_range_weigth]</f>
        <v>86.002941176470586</v>
      </c>
      <c r="K79" cm="1">
        <f t="array" ref="K79">Table4[weight_goal]</f>
        <v>71</v>
      </c>
      <c r="L79" s="12">
        <v>51</v>
      </c>
      <c r="M79" cm="1">
        <f t="array" ref="M79">Table4[MM_min]</f>
        <v>58.481999999999992</v>
      </c>
      <c r="N79" cm="1">
        <f t="array" ref="N79">Table4[MM_max]</f>
        <v>73.102499999999992</v>
      </c>
      <c r="O79" cm="1">
        <f t="array" ref="O79">Table4[natural_mass_limit]</f>
        <v>60.35</v>
      </c>
    </row>
    <row r="80" spans="1:15" x14ac:dyDescent="0.35">
      <c r="A80" s="1">
        <v>45249</v>
      </c>
      <c r="B80" t="s">
        <v>53</v>
      </c>
      <c r="C80">
        <v>30</v>
      </c>
      <c r="D80">
        <f>(VLOOKUP(registry[[#This Row],[food_name]],food_name[],2,FALSE)/VLOOKUP(registry[[#This Row],[food_name]],food_name[],5,FALSE))*$C80</f>
        <v>3.3</v>
      </c>
      <c r="E80">
        <f>(VLOOKUP(registry[[#This Row],[food_name]],food_name[],3,FALSE)/VLOOKUP(registry[[#This Row],[food_name]],food_name[],5,FALSE))*$C80</f>
        <v>18.12</v>
      </c>
      <c r="F80">
        <f>(VLOOKUP(registry[[#This Row],[food_name]],food_name[],4,FALSE)/VLOOKUP(registry[[#This Row],[food_name]],food_name[],5,FALSE))*$C80</f>
        <v>2.4599999999999995</v>
      </c>
      <c r="G80">
        <f>($C80*(VLOOKUP(registry[[#This Row],[food_name]],food_name[],6,FALSE))/VLOOKUP(registry[[#This Row],[food_name]],food_name[],5,FALSE))</f>
        <v>112.8</v>
      </c>
      <c r="H80" cm="1">
        <f t="array" ref="H80">Table4[weigth]</f>
        <v>66</v>
      </c>
      <c r="I80" cm="1">
        <f t="array" ref="I80">Table4[min_range_weight]</f>
        <v>68.802352941176466</v>
      </c>
      <c r="J80" cm="1">
        <f t="array" ref="J80">Table4[max_range_weigth]</f>
        <v>86.002941176470586</v>
      </c>
      <c r="K80" cm="1">
        <f t="array" ref="K80">Table4[weight_goal]</f>
        <v>71</v>
      </c>
      <c r="L80" s="12">
        <v>51</v>
      </c>
      <c r="M80" cm="1">
        <f t="array" ref="M80">Table4[MM_min]</f>
        <v>58.481999999999992</v>
      </c>
      <c r="N80" cm="1">
        <f t="array" ref="N80">Table4[MM_max]</f>
        <v>73.102499999999992</v>
      </c>
      <c r="O80" cm="1">
        <f t="array" ref="O80">Table4[natural_mass_limit]</f>
        <v>60.35</v>
      </c>
    </row>
    <row r="81" spans="1:15" x14ac:dyDescent="0.35">
      <c r="A81" s="1">
        <v>45249</v>
      </c>
      <c r="B81" t="s">
        <v>55</v>
      </c>
      <c r="C81">
        <v>95</v>
      </c>
      <c r="D81">
        <f>(VLOOKUP(registry[[#This Row],[food_name]],food_name[],2,FALSE)/VLOOKUP(registry[[#This Row],[food_name]],food_name[],5,FALSE))*$C81</f>
        <v>0.76</v>
      </c>
      <c r="E81">
        <f>(VLOOKUP(registry[[#This Row],[food_name]],food_name[],3,FALSE)/VLOOKUP(registry[[#This Row],[food_name]],food_name[],5,FALSE))*$C81</f>
        <v>20.329999999999998</v>
      </c>
      <c r="F81">
        <f>(VLOOKUP(registry[[#This Row],[food_name]],food_name[],4,FALSE)/VLOOKUP(registry[[#This Row],[food_name]],food_name[],5,FALSE))*$C81</f>
        <v>0</v>
      </c>
      <c r="G81">
        <f>($C81*(VLOOKUP(registry[[#This Row],[food_name]],food_name[],6,FALSE))/VLOOKUP(registry[[#This Row],[food_name]],food_name[],5,FALSE))</f>
        <v>78.849999999999994</v>
      </c>
      <c r="H81" cm="1">
        <f t="array" ref="H81">Table4[weigth]</f>
        <v>66</v>
      </c>
      <c r="I81" cm="1">
        <f t="array" ref="I81">Table4[min_range_weight]</f>
        <v>68.802352941176466</v>
      </c>
      <c r="J81" cm="1">
        <f t="array" ref="J81">Table4[max_range_weigth]</f>
        <v>86.002941176470586</v>
      </c>
      <c r="K81" cm="1">
        <f t="array" ref="K81">Table4[weight_goal]</f>
        <v>71</v>
      </c>
      <c r="L81" s="12">
        <v>51</v>
      </c>
      <c r="M81" cm="1">
        <f t="array" ref="M81">Table4[MM_min]</f>
        <v>58.481999999999992</v>
      </c>
      <c r="N81" cm="1">
        <f t="array" ref="N81">Table4[MM_max]</f>
        <v>73.102499999999992</v>
      </c>
      <c r="O81" cm="1">
        <f t="array" ref="O81">Table4[natural_mass_limit]</f>
        <v>60.35</v>
      </c>
    </row>
    <row r="82" spans="1:15" x14ac:dyDescent="0.35">
      <c r="A82" s="1">
        <v>45249</v>
      </c>
      <c r="B82" t="s">
        <v>61</v>
      </c>
      <c r="C82">
        <v>55</v>
      </c>
      <c r="D82">
        <f>(VLOOKUP(registry[[#This Row],[food_name]],food_name[],2,FALSE)/VLOOKUP(registry[[#This Row],[food_name]],food_name[],5,FALSE))*$C82</f>
        <v>0.55000000000000004</v>
      </c>
      <c r="E82">
        <f>(VLOOKUP(registry[[#This Row],[food_name]],food_name[],3,FALSE)/VLOOKUP(registry[[#This Row],[food_name]],food_name[],5,FALSE))*$C82</f>
        <v>2.97</v>
      </c>
      <c r="F82">
        <f>(VLOOKUP(registry[[#This Row],[food_name]],food_name[],4,FALSE)/VLOOKUP(registry[[#This Row],[food_name]],food_name[],5,FALSE))*$C82</f>
        <v>0</v>
      </c>
      <c r="G82">
        <f>($C82*(VLOOKUP(registry[[#This Row],[food_name]],food_name[],6,FALSE))/VLOOKUP(registry[[#This Row],[food_name]],food_name[],5,FALSE))</f>
        <v>20.9</v>
      </c>
      <c r="H82" cm="1">
        <f t="array" ref="H82">Table4[weigth]</f>
        <v>66</v>
      </c>
      <c r="I82" cm="1">
        <f t="array" ref="I82">Table4[min_range_weight]</f>
        <v>68.802352941176466</v>
      </c>
      <c r="J82" cm="1">
        <f t="array" ref="J82">Table4[max_range_weigth]</f>
        <v>86.002941176470586</v>
      </c>
      <c r="K82" cm="1">
        <f t="array" ref="K82">Table4[weight_goal]</f>
        <v>71</v>
      </c>
      <c r="L82" s="12">
        <v>51</v>
      </c>
      <c r="M82" cm="1">
        <f t="array" ref="M82">Table4[MM_min]</f>
        <v>58.481999999999992</v>
      </c>
      <c r="N82" cm="1">
        <f t="array" ref="N82">Table4[MM_max]</f>
        <v>73.102499999999992</v>
      </c>
      <c r="O82" cm="1">
        <f t="array" ref="O82">Table4[natural_mass_limit]</f>
        <v>60.35</v>
      </c>
    </row>
    <row r="83" spans="1:15" x14ac:dyDescent="0.35">
      <c r="A83" s="1">
        <v>45249</v>
      </c>
      <c r="B83" t="s">
        <v>104</v>
      </c>
      <c r="C83">
        <v>32</v>
      </c>
      <c r="D83">
        <f>(VLOOKUP(registry[[#This Row],[food_name]],food_name[],2,FALSE)/VLOOKUP(registry[[#This Row],[food_name]],food_name[],5,FALSE))*$C83</f>
        <v>22.08</v>
      </c>
      <c r="E83">
        <f>(VLOOKUP(registry[[#This Row],[food_name]],food_name[],3,FALSE)/VLOOKUP(registry[[#This Row],[food_name]],food_name[],5,FALSE))*$C83</f>
        <v>1.44</v>
      </c>
      <c r="F83">
        <f>(VLOOKUP(registry[[#This Row],[food_name]],food_name[],4,FALSE)/VLOOKUP(registry[[#This Row],[food_name]],food_name[],5,FALSE))*$C83</f>
        <v>1.1520000000000001</v>
      </c>
      <c r="G83">
        <f>($C83*(VLOOKUP(registry[[#This Row],[food_name]],food_name[],6,FALSE))/VLOOKUP(registry[[#This Row],[food_name]],food_name[],5,FALSE))</f>
        <v>104.96</v>
      </c>
      <c r="H83" cm="1">
        <f t="array" ref="H83">Table4[weigth]</f>
        <v>66</v>
      </c>
      <c r="I83" cm="1">
        <f t="array" ref="I83">Table4[min_range_weight]</f>
        <v>68.802352941176466</v>
      </c>
      <c r="J83" cm="1">
        <f t="array" ref="J83">Table4[max_range_weigth]</f>
        <v>86.002941176470586</v>
      </c>
      <c r="K83" cm="1">
        <f t="array" ref="K83">Table4[weight_goal]</f>
        <v>71</v>
      </c>
      <c r="L83" s="12">
        <v>51</v>
      </c>
      <c r="M83" cm="1">
        <f t="array" ref="M83">Table4[MM_min]</f>
        <v>58.481999999999992</v>
      </c>
      <c r="N83" cm="1">
        <f t="array" ref="N83">Table4[MM_max]</f>
        <v>73.102499999999992</v>
      </c>
      <c r="O83" cm="1">
        <f t="array" ref="O83">Table4[natural_mass_limit]</f>
        <v>60.35</v>
      </c>
    </row>
    <row r="84" spans="1:15" x14ac:dyDescent="0.35">
      <c r="A84" s="1">
        <v>45249</v>
      </c>
      <c r="B84" t="s">
        <v>103</v>
      </c>
      <c r="C84">
        <v>7</v>
      </c>
      <c r="D84">
        <f>(VLOOKUP(registry[[#This Row],[food_name]],food_name[],2,FALSE)/VLOOKUP(registry[[#This Row],[food_name]],food_name[],5,FALSE))*$C84</f>
        <v>4.6900000000000004</v>
      </c>
      <c r="E84">
        <f>(VLOOKUP(registry[[#This Row],[food_name]],food_name[],3,FALSE)/VLOOKUP(registry[[#This Row],[food_name]],food_name[],5,FALSE))*$C84</f>
        <v>1.05</v>
      </c>
      <c r="F84">
        <f>(VLOOKUP(registry[[#This Row],[food_name]],food_name[],4,FALSE)/VLOOKUP(registry[[#This Row],[food_name]],food_name[],5,FALSE))*$C84</f>
        <v>6.3E-2</v>
      </c>
      <c r="G84">
        <f>($C84*(VLOOKUP(registry[[#This Row],[food_name]],food_name[],6,FALSE))/VLOOKUP(registry[[#This Row],[food_name]],food_name[],5,FALSE))</f>
        <v>24.15</v>
      </c>
      <c r="H84" cm="1">
        <f t="array" ref="H84">Table4[weigth]</f>
        <v>66</v>
      </c>
      <c r="I84" cm="1">
        <f t="array" ref="I84">Table4[min_range_weight]</f>
        <v>68.802352941176466</v>
      </c>
      <c r="J84" cm="1">
        <f t="array" ref="J84">Table4[max_range_weigth]</f>
        <v>86.002941176470586</v>
      </c>
      <c r="K84" cm="1">
        <f t="array" ref="K84">Table4[weight_goal]</f>
        <v>71</v>
      </c>
      <c r="L84" s="12">
        <v>51</v>
      </c>
      <c r="M84" cm="1">
        <f t="array" ref="M84">Table4[MM_min]</f>
        <v>58.481999999999992</v>
      </c>
      <c r="N84" cm="1">
        <f t="array" ref="N84">Table4[MM_max]</f>
        <v>73.102499999999992</v>
      </c>
      <c r="O84" cm="1">
        <f t="array" ref="O84">Table4[natural_mass_limit]</f>
        <v>60.35</v>
      </c>
    </row>
    <row r="85" spans="1:15" x14ac:dyDescent="0.35">
      <c r="A85" s="1">
        <v>45249</v>
      </c>
      <c r="B85" t="s">
        <v>51</v>
      </c>
      <c r="C85">
        <v>3</v>
      </c>
      <c r="D85" s="24">
        <f>(VLOOKUP(registry[[#This Row],[food_name]],food_name[],2,FALSE)/VLOOKUP(registry[[#This Row],[food_name]],food_name[],5,FALSE))*$C85</f>
        <v>3.5999999999999999E-3</v>
      </c>
      <c r="E85" s="24">
        <f>(VLOOKUP(registry[[#This Row],[food_name]],food_name[],3,FALSE)/VLOOKUP(registry[[#This Row],[food_name]],food_name[],5,FALSE))*$C85</f>
        <v>1.2000000000000001E-3</v>
      </c>
      <c r="F85" s="24">
        <f>(VLOOKUP(registry[[#This Row],[food_name]],food_name[],4,FALSE)/VLOOKUP(registry[[#This Row],[food_name]],food_name[],5,FALSE))*$C85</f>
        <v>6.0000000000000006E-4</v>
      </c>
      <c r="G85" s="24">
        <f>($C85*(VLOOKUP(registry[[#This Row],[food_name]],food_name[],6,FALSE))/VLOOKUP(registry[[#This Row],[food_name]],food_name[],5,FALSE))</f>
        <v>0.03</v>
      </c>
      <c r="H85" cm="1">
        <f t="array" ref="H85">Table4[weigth]</f>
        <v>66</v>
      </c>
      <c r="I85" s="24" cm="1">
        <f t="array" ref="I85">Table4[min_range_weight]</f>
        <v>68.802352941176466</v>
      </c>
      <c r="J85" s="24" cm="1">
        <f t="array" ref="J85">Table4[max_range_weigth]</f>
        <v>86.002941176470586</v>
      </c>
      <c r="K85" s="24" cm="1">
        <f t="array" ref="K85">Table4[weight_goal]</f>
        <v>71</v>
      </c>
      <c r="L85" s="12">
        <v>51</v>
      </c>
      <c r="M85" s="24" cm="1">
        <f t="array" ref="M85">Table4[MM_min]</f>
        <v>58.481999999999992</v>
      </c>
      <c r="N85" s="24" cm="1">
        <f t="array" ref="N85">Table4[MM_max]</f>
        <v>73.102499999999992</v>
      </c>
      <c r="O85" s="24" cm="1">
        <f t="array" ref="O85">Table4[natural_mass_limit]</f>
        <v>60.35</v>
      </c>
    </row>
    <row r="86" spans="1:15" x14ac:dyDescent="0.35">
      <c r="A86" s="1">
        <v>45249</v>
      </c>
      <c r="B86" t="s">
        <v>51</v>
      </c>
      <c r="C86">
        <v>3</v>
      </c>
      <c r="D86" s="24">
        <f>(VLOOKUP(registry[[#This Row],[food_name]],food_name[],2,FALSE)/VLOOKUP(registry[[#This Row],[food_name]],food_name[],5,FALSE))*$C86</f>
        <v>3.5999999999999999E-3</v>
      </c>
      <c r="E86" s="24">
        <f>(VLOOKUP(registry[[#This Row],[food_name]],food_name[],3,FALSE)/VLOOKUP(registry[[#This Row],[food_name]],food_name[],5,FALSE))*$C86</f>
        <v>1.2000000000000001E-3</v>
      </c>
      <c r="F86" s="24">
        <f>(VLOOKUP(registry[[#This Row],[food_name]],food_name[],4,FALSE)/VLOOKUP(registry[[#This Row],[food_name]],food_name[],5,FALSE))*$C86</f>
        <v>6.0000000000000006E-4</v>
      </c>
      <c r="G86" s="24">
        <f>($C86*(VLOOKUP(registry[[#This Row],[food_name]],food_name[],6,FALSE))/VLOOKUP(registry[[#This Row],[food_name]],food_name[],5,FALSE))</f>
        <v>0.03</v>
      </c>
      <c r="H86" cm="1">
        <f t="array" ref="H86">Table4[weigth]</f>
        <v>66</v>
      </c>
      <c r="I86" s="24" cm="1">
        <f t="array" ref="I86">Table4[min_range_weight]</f>
        <v>68.802352941176466</v>
      </c>
      <c r="J86" s="24" cm="1">
        <f t="array" ref="J86">Table4[max_range_weigth]</f>
        <v>86.002941176470586</v>
      </c>
      <c r="K86" s="24" cm="1">
        <f t="array" ref="K86">Table4[weight_goal]</f>
        <v>71</v>
      </c>
      <c r="L86" s="12">
        <v>51</v>
      </c>
      <c r="M86" s="24" cm="1">
        <f t="array" ref="M86">Table4[MM_min]</f>
        <v>58.481999999999992</v>
      </c>
      <c r="N86" s="24" cm="1">
        <f t="array" ref="N86">Table4[MM_max]</f>
        <v>73.102499999999992</v>
      </c>
      <c r="O86" s="24" cm="1">
        <f t="array" ref="O86">Table4[natural_mass_limit]</f>
        <v>60.35</v>
      </c>
    </row>
    <row r="87" spans="1:15" x14ac:dyDescent="0.35">
      <c r="A87" s="1">
        <v>45249</v>
      </c>
      <c r="B87" t="s">
        <v>51</v>
      </c>
      <c r="C87">
        <v>3</v>
      </c>
      <c r="D87" s="24">
        <f>(VLOOKUP(registry[[#This Row],[food_name]],food_name[],2,FALSE)/VLOOKUP(registry[[#This Row],[food_name]],food_name[],5,FALSE))*$C87</f>
        <v>3.5999999999999999E-3</v>
      </c>
      <c r="E87" s="24">
        <f>(VLOOKUP(registry[[#This Row],[food_name]],food_name[],3,FALSE)/VLOOKUP(registry[[#This Row],[food_name]],food_name[],5,FALSE))*$C87</f>
        <v>1.2000000000000001E-3</v>
      </c>
      <c r="F87" s="24">
        <f>(VLOOKUP(registry[[#This Row],[food_name]],food_name[],4,FALSE)/VLOOKUP(registry[[#This Row],[food_name]],food_name[],5,FALSE))*$C87</f>
        <v>6.0000000000000006E-4</v>
      </c>
      <c r="G87" s="24">
        <f>($C87*(VLOOKUP(registry[[#This Row],[food_name]],food_name[],6,FALSE))/VLOOKUP(registry[[#This Row],[food_name]],food_name[],5,FALSE))</f>
        <v>0.03</v>
      </c>
      <c r="H87" cm="1">
        <f t="array" ref="H87">Table4[weigth]</f>
        <v>66</v>
      </c>
      <c r="I87" s="24" cm="1">
        <f t="array" ref="I87">Table4[min_range_weight]</f>
        <v>68.802352941176466</v>
      </c>
      <c r="J87" s="24" cm="1">
        <f t="array" ref="J87">Table4[max_range_weigth]</f>
        <v>86.002941176470586</v>
      </c>
      <c r="K87" s="24" cm="1">
        <f t="array" ref="K87">Table4[weight_goal]</f>
        <v>71</v>
      </c>
      <c r="L87" s="12">
        <v>51</v>
      </c>
      <c r="M87" s="24" cm="1">
        <f t="array" ref="M87">Table4[MM_min]</f>
        <v>58.481999999999992</v>
      </c>
      <c r="N87" s="24" cm="1">
        <f t="array" ref="N87">Table4[MM_max]</f>
        <v>73.102499999999992</v>
      </c>
      <c r="O87" s="24" cm="1">
        <f t="array" ref="O87">Table4[natural_mass_limit]</f>
        <v>60.35</v>
      </c>
    </row>
    <row r="88" spans="1:15" x14ac:dyDescent="0.35">
      <c r="A88" s="1">
        <v>45249</v>
      </c>
      <c r="B88" t="s">
        <v>91</v>
      </c>
      <c r="C88">
        <v>88.8</v>
      </c>
      <c r="D88" s="24">
        <f>(VLOOKUP(registry[[#This Row],[food_name]],food_name[],2,FALSE)/VLOOKUP(registry[[#This Row],[food_name]],food_name[],5,FALSE))*$C88</f>
        <v>8.6135999999999981</v>
      </c>
      <c r="E88" s="24">
        <f>(VLOOKUP(registry[[#This Row],[food_name]],food_name[],3,FALSE)/VLOOKUP(registry[[#This Row],[food_name]],food_name[],5,FALSE))*$C88</f>
        <v>35.520000000000003</v>
      </c>
      <c r="F88" s="24">
        <f>(VLOOKUP(registry[[#This Row],[food_name]],food_name[],4,FALSE)/VLOOKUP(registry[[#This Row],[food_name]],food_name[],5,FALSE))*$C88</f>
        <v>1.2431999999999999</v>
      </c>
      <c r="G88" s="24">
        <f>($C88*(VLOOKUP(registry[[#This Row],[food_name]],food_name[],6,FALSE))/VLOOKUP(registry[[#This Row],[food_name]],food_name[],5,FALSE))</f>
        <v>195.36</v>
      </c>
      <c r="H88" cm="1">
        <f t="array" ref="H88">Table4[weigth]</f>
        <v>66</v>
      </c>
      <c r="I88" s="24" cm="1">
        <f t="array" ref="I88">Table4[min_range_weight]</f>
        <v>68.802352941176466</v>
      </c>
      <c r="J88" s="24" cm="1">
        <f t="array" ref="J88">Table4[max_range_weigth]</f>
        <v>86.002941176470586</v>
      </c>
      <c r="K88" s="24" cm="1">
        <f t="array" ref="K88">Table4[weight_goal]</f>
        <v>71</v>
      </c>
      <c r="L88" s="12">
        <v>51</v>
      </c>
      <c r="M88" s="24" cm="1">
        <f t="array" ref="M88">Table4[MM_min]</f>
        <v>58.481999999999992</v>
      </c>
      <c r="N88" s="24" cm="1">
        <f t="array" ref="N88">Table4[MM_max]</f>
        <v>73.102499999999992</v>
      </c>
      <c r="O88" s="24" cm="1">
        <f t="array" ref="O88">Table4[natural_mass_limit]</f>
        <v>60.35</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36B8AA32-2BA0-4878-81BF-C64AA3775F00}">
          <x14:formula1>
            <xm:f>Food!$A:$A</xm:f>
          </x14:formula1>
          <xm:sqref>B1:B1048576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A9C0-F997-46E4-AAE6-23B0A05D49F1}">
  <sheetPr>
    <tabColor theme="4" tint="0.39997558519241921"/>
  </sheetPr>
  <dimension ref="A1:F28"/>
  <sheetViews>
    <sheetView topLeftCell="A4" workbookViewId="0">
      <selection activeCell="H18" sqref="H18"/>
    </sheetView>
  </sheetViews>
  <sheetFormatPr defaultRowHeight="14.5" x14ac:dyDescent="0.35"/>
  <cols>
    <col min="1" max="1" width="12.26953125" customWidth="1"/>
    <col min="2" max="2" width="9.6328125" customWidth="1"/>
    <col min="5" max="6" width="10.08984375" customWidth="1"/>
  </cols>
  <sheetData>
    <row r="1" spans="1:6" x14ac:dyDescent="0.35">
      <c r="A1" t="s">
        <v>1</v>
      </c>
      <c r="B1" t="s">
        <v>2</v>
      </c>
      <c r="C1" t="s">
        <v>3</v>
      </c>
      <c r="D1" t="s">
        <v>4</v>
      </c>
      <c r="E1" t="s">
        <v>11</v>
      </c>
      <c r="F1" t="s">
        <v>5</v>
      </c>
    </row>
    <row r="2" spans="1:6" x14ac:dyDescent="0.35">
      <c r="A2" t="s">
        <v>51</v>
      </c>
      <c r="B2">
        <v>0.12</v>
      </c>
      <c r="C2">
        <v>0.04</v>
      </c>
      <c r="D2">
        <v>0.02</v>
      </c>
      <c r="E2">
        <v>100</v>
      </c>
      <c r="F2">
        <v>1</v>
      </c>
    </row>
    <row r="3" spans="1:6" x14ac:dyDescent="0.35">
      <c r="A3" t="s">
        <v>52</v>
      </c>
      <c r="B3">
        <v>6.7</v>
      </c>
      <c r="C3">
        <v>13.6</v>
      </c>
      <c r="D3">
        <v>2.2000000000000002</v>
      </c>
      <c r="E3">
        <v>100</v>
      </c>
      <c r="F3">
        <v>115</v>
      </c>
    </row>
    <row r="4" spans="1:6" x14ac:dyDescent="0.35">
      <c r="A4" t="s">
        <v>53</v>
      </c>
      <c r="B4">
        <v>11</v>
      </c>
      <c r="C4">
        <v>60.4</v>
      </c>
      <c r="D4">
        <v>8.1999999999999993</v>
      </c>
      <c r="E4">
        <v>100</v>
      </c>
      <c r="F4">
        <v>376</v>
      </c>
    </row>
    <row r="5" spans="1:6" x14ac:dyDescent="0.35">
      <c r="A5" t="s">
        <v>93</v>
      </c>
      <c r="B5">
        <v>27</v>
      </c>
      <c r="C5">
        <v>18</v>
      </c>
      <c r="D5">
        <v>11</v>
      </c>
      <c r="E5">
        <v>100</v>
      </c>
      <c r="F5">
        <v>344</v>
      </c>
    </row>
    <row r="6" spans="1:6" x14ac:dyDescent="0.35">
      <c r="A6" t="s">
        <v>54</v>
      </c>
      <c r="B6">
        <v>3.4</v>
      </c>
      <c r="C6">
        <v>2.6</v>
      </c>
      <c r="D6">
        <v>1.9</v>
      </c>
      <c r="E6">
        <v>100</v>
      </c>
      <c r="F6">
        <v>42</v>
      </c>
    </row>
    <row r="7" spans="1:6" x14ac:dyDescent="0.35">
      <c r="A7" t="s">
        <v>55</v>
      </c>
      <c r="B7">
        <v>0.8</v>
      </c>
      <c r="C7">
        <v>21.4</v>
      </c>
      <c r="D7">
        <v>0</v>
      </c>
      <c r="E7">
        <v>100</v>
      </c>
      <c r="F7">
        <v>83</v>
      </c>
    </row>
    <row r="8" spans="1:6" x14ac:dyDescent="0.35">
      <c r="A8" t="s">
        <v>56</v>
      </c>
      <c r="B8">
        <v>0.9</v>
      </c>
      <c r="C8">
        <v>3.5</v>
      </c>
      <c r="D8">
        <v>0.2</v>
      </c>
      <c r="E8">
        <v>100</v>
      </c>
      <c r="F8">
        <v>20</v>
      </c>
    </row>
    <row r="9" spans="1:6" x14ac:dyDescent="0.35">
      <c r="A9" t="s">
        <v>57</v>
      </c>
      <c r="B9">
        <v>1</v>
      </c>
      <c r="C9">
        <v>10.199999999999999</v>
      </c>
      <c r="D9">
        <v>0.2</v>
      </c>
      <c r="E9">
        <v>100</v>
      </c>
      <c r="F9">
        <v>42</v>
      </c>
    </row>
    <row r="10" spans="1:6" x14ac:dyDescent="0.35">
      <c r="A10" t="s">
        <v>58</v>
      </c>
      <c r="B10">
        <v>0</v>
      </c>
      <c r="C10">
        <v>0</v>
      </c>
      <c r="D10">
        <v>100</v>
      </c>
      <c r="E10">
        <v>100</v>
      </c>
      <c r="F10">
        <v>900</v>
      </c>
    </row>
    <row r="11" spans="1:6" x14ac:dyDescent="0.35">
      <c r="A11" t="s">
        <v>94</v>
      </c>
      <c r="B11">
        <v>0.9</v>
      </c>
      <c r="C11">
        <v>15.4</v>
      </c>
      <c r="D11">
        <v>0</v>
      </c>
      <c r="E11">
        <v>100</v>
      </c>
      <c r="F11">
        <v>64</v>
      </c>
    </row>
    <row r="12" spans="1:6" x14ac:dyDescent="0.35">
      <c r="A12" t="s">
        <v>59</v>
      </c>
      <c r="B12">
        <v>18.600000000000001</v>
      </c>
      <c r="C12">
        <v>0.5</v>
      </c>
      <c r="D12">
        <v>2.4</v>
      </c>
      <c r="E12">
        <v>100</v>
      </c>
      <c r="F12">
        <v>100</v>
      </c>
    </row>
    <row r="13" spans="1:6" x14ac:dyDescent="0.35">
      <c r="A13" t="s">
        <v>60</v>
      </c>
      <c r="B13">
        <v>30.1</v>
      </c>
      <c r="C13">
        <v>0.9</v>
      </c>
      <c r="D13">
        <v>13.7</v>
      </c>
      <c r="E13">
        <v>100</v>
      </c>
      <c r="F13">
        <v>250</v>
      </c>
    </row>
    <row r="14" spans="1:6" x14ac:dyDescent="0.35">
      <c r="A14" t="s">
        <v>96</v>
      </c>
      <c r="B14">
        <v>12</v>
      </c>
      <c r="C14">
        <v>1</v>
      </c>
      <c r="D14">
        <v>9</v>
      </c>
      <c r="E14">
        <v>100</v>
      </c>
      <c r="F14">
        <v>140</v>
      </c>
    </row>
    <row r="15" spans="1:6" x14ac:dyDescent="0.35">
      <c r="A15" t="s">
        <v>106</v>
      </c>
      <c r="B15">
        <v>77.400000000000006</v>
      </c>
      <c r="C15">
        <v>4.2</v>
      </c>
      <c r="D15">
        <v>4.5</v>
      </c>
      <c r="E15">
        <v>100</v>
      </c>
      <c r="F15">
        <v>374</v>
      </c>
    </row>
    <row r="16" spans="1:6" x14ac:dyDescent="0.35">
      <c r="A16" t="s">
        <v>61</v>
      </c>
      <c r="B16">
        <v>1</v>
      </c>
      <c r="C16">
        <v>5.4</v>
      </c>
      <c r="D16">
        <v>0</v>
      </c>
      <c r="E16">
        <v>100</v>
      </c>
      <c r="F16">
        <v>38</v>
      </c>
    </row>
    <row r="17" spans="1:6" x14ac:dyDescent="0.35">
      <c r="A17" t="s">
        <v>92</v>
      </c>
      <c r="B17">
        <v>5.4</v>
      </c>
      <c r="C17">
        <v>32.9</v>
      </c>
      <c r="D17">
        <v>0.2</v>
      </c>
      <c r="E17">
        <v>100</v>
      </c>
      <c r="F17">
        <v>168</v>
      </c>
    </row>
    <row r="18" spans="1:6" x14ac:dyDescent="0.35">
      <c r="A18" t="s">
        <v>95</v>
      </c>
      <c r="B18">
        <v>7.1</v>
      </c>
      <c r="C18">
        <v>85.5</v>
      </c>
      <c r="D18">
        <v>1.9</v>
      </c>
      <c r="E18">
        <v>100</v>
      </c>
      <c r="F18">
        <v>370</v>
      </c>
    </row>
    <row r="19" spans="1:6" x14ac:dyDescent="0.35">
      <c r="A19" t="s">
        <v>90</v>
      </c>
      <c r="B19">
        <v>23.5</v>
      </c>
      <c r="C19">
        <v>0</v>
      </c>
      <c r="D19">
        <v>0.6</v>
      </c>
      <c r="E19">
        <v>100</v>
      </c>
      <c r="F19">
        <v>99</v>
      </c>
    </row>
    <row r="20" spans="1:6" x14ac:dyDescent="0.35">
      <c r="A20" t="s">
        <v>91</v>
      </c>
      <c r="B20">
        <v>9.6999999999999993</v>
      </c>
      <c r="C20">
        <v>40</v>
      </c>
      <c r="D20">
        <v>1.4</v>
      </c>
      <c r="E20">
        <v>100</v>
      </c>
      <c r="F20">
        <v>220</v>
      </c>
    </row>
    <row r="21" spans="1:6" x14ac:dyDescent="0.35">
      <c r="A21" t="s">
        <v>97</v>
      </c>
      <c r="B21">
        <v>0.5</v>
      </c>
      <c r="C21">
        <v>3.2</v>
      </c>
      <c r="D21">
        <v>0</v>
      </c>
      <c r="E21">
        <v>100</v>
      </c>
      <c r="F21">
        <v>40</v>
      </c>
    </row>
    <row r="22" spans="1:6" x14ac:dyDescent="0.35">
      <c r="A22" t="s">
        <v>101</v>
      </c>
      <c r="B22">
        <v>5.3</v>
      </c>
      <c r="C22">
        <v>12</v>
      </c>
      <c r="D22">
        <v>16.8</v>
      </c>
      <c r="E22">
        <v>100</v>
      </c>
      <c r="F22">
        <v>229</v>
      </c>
    </row>
    <row r="23" spans="1:6" x14ac:dyDescent="0.35">
      <c r="A23" t="s">
        <v>102</v>
      </c>
      <c r="B23">
        <v>10.9</v>
      </c>
      <c r="C23">
        <v>41.9</v>
      </c>
      <c r="D23">
        <v>1.3</v>
      </c>
      <c r="E23">
        <v>100</v>
      </c>
      <c r="F23">
        <v>233</v>
      </c>
    </row>
    <row r="24" spans="1:6" x14ac:dyDescent="0.35">
      <c r="A24" t="s">
        <v>103</v>
      </c>
      <c r="B24">
        <v>67</v>
      </c>
      <c r="C24">
        <v>15</v>
      </c>
      <c r="D24">
        <v>0.9</v>
      </c>
      <c r="E24">
        <v>100</v>
      </c>
      <c r="F24">
        <v>345</v>
      </c>
    </row>
    <row r="25" spans="1:6" x14ac:dyDescent="0.35">
      <c r="A25" t="s">
        <v>104</v>
      </c>
      <c r="B25">
        <v>69</v>
      </c>
      <c r="C25">
        <v>4.5</v>
      </c>
      <c r="D25">
        <v>3.6</v>
      </c>
      <c r="E25">
        <v>100</v>
      </c>
      <c r="F25">
        <v>328</v>
      </c>
    </row>
    <row r="26" spans="1:6" x14ac:dyDescent="0.35">
      <c r="A26" t="s">
        <v>105</v>
      </c>
      <c r="B26">
        <v>22.3</v>
      </c>
      <c r="C26">
        <v>0</v>
      </c>
      <c r="D26">
        <v>3</v>
      </c>
      <c r="E26">
        <v>100</v>
      </c>
      <c r="F26">
        <v>117</v>
      </c>
    </row>
    <row r="28" spans="1:6" x14ac:dyDescent="0.35">
      <c r="E28" t="s">
        <v>12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E7D3E-9DA6-472B-A93E-4D18255084E4}">
  <dimension ref="A1:M18"/>
  <sheetViews>
    <sheetView topLeftCell="B1" workbookViewId="0">
      <selection activeCell="G6" sqref="G6"/>
    </sheetView>
  </sheetViews>
  <sheetFormatPr defaultRowHeight="14.5" x14ac:dyDescent="0.35"/>
  <cols>
    <col min="1" max="1" width="10.1796875" customWidth="1"/>
    <col min="2" max="2" width="12.54296875" customWidth="1"/>
    <col min="3" max="3" width="13.81640625" customWidth="1"/>
    <col min="4" max="4" width="16.81640625" customWidth="1"/>
    <col min="5" max="5" width="17.08984375" customWidth="1"/>
    <col min="6" max="6" width="9.81640625" customWidth="1"/>
    <col min="7" max="7" width="11.1796875" customWidth="1"/>
    <col min="8" max="8" width="12.26953125" customWidth="1"/>
    <col min="9" max="9" width="13.26953125" customWidth="1"/>
    <col min="10" max="10" width="14.81640625" customWidth="1"/>
    <col min="11" max="11" width="18.81640625" customWidth="1"/>
    <col min="12" max="12" width="12.54296875" customWidth="1"/>
    <col min="13" max="14" width="11" customWidth="1"/>
    <col min="15" max="15" width="11.1796875" customWidth="1"/>
  </cols>
  <sheetData>
    <row r="1" spans="1:13" x14ac:dyDescent="0.35">
      <c r="A1" t="s">
        <v>17</v>
      </c>
      <c r="B1" t="s">
        <v>18</v>
      </c>
      <c r="C1" t="s">
        <v>19</v>
      </c>
      <c r="D1" t="s">
        <v>13</v>
      </c>
      <c r="E1" t="s">
        <v>14</v>
      </c>
      <c r="F1" t="s">
        <v>15</v>
      </c>
      <c r="G1" t="s">
        <v>16</v>
      </c>
      <c r="H1" t="s">
        <v>20</v>
      </c>
      <c r="I1" t="s">
        <v>21</v>
      </c>
      <c r="J1" t="s">
        <v>22</v>
      </c>
      <c r="K1" t="s">
        <v>27</v>
      </c>
      <c r="L1" t="s">
        <v>28</v>
      </c>
      <c r="M1" t="s">
        <v>29</v>
      </c>
    </row>
    <row r="2" spans="1:13" x14ac:dyDescent="0.35">
      <c r="A2">
        <v>9</v>
      </c>
      <c r="B2">
        <v>4</v>
      </c>
      <c r="C2">
        <v>4</v>
      </c>
      <c r="D2">
        <f>Dashboard!R11</f>
        <v>2200</v>
      </c>
      <c r="E2">
        <f>Dashboard!R7</f>
        <v>20</v>
      </c>
      <c r="F2">
        <f>Dashboard!R8</f>
        <v>30</v>
      </c>
      <c r="G2">
        <f>Dashboard!R9</f>
        <v>50</v>
      </c>
      <c r="H2" s="5">
        <f>IF(A2&gt;0,((E2/100)*$D$2)/A2,0)</f>
        <v>48.888888888888886</v>
      </c>
      <c r="I2">
        <f t="shared" ref="I2:J2" si="0">IF(B2&gt;0,((F2/100)*$D$2)/B2,0)</f>
        <v>165</v>
      </c>
      <c r="J2">
        <f t="shared" si="0"/>
        <v>275</v>
      </c>
      <c r="K2">
        <f>A7</f>
        <v>165</v>
      </c>
      <c r="L2" s="5">
        <f>goals[[#This Row],[needs_fat]]</f>
        <v>48.888888888888886</v>
      </c>
      <c r="M2">
        <f>SUM(goals[[#This Row],[needs_fat]:[needs_protein]])-SUM(goals[[#This Row],[goalProt]:[goalFat]])</f>
        <v>275</v>
      </c>
    </row>
    <row r="6" spans="1:13" x14ac:dyDescent="0.35">
      <c r="A6" t="s">
        <v>26</v>
      </c>
      <c r="B6" t="s">
        <v>23</v>
      </c>
      <c r="C6" t="s">
        <v>24</v>
      </c>
      <c r="D6" t="s">
        <v>25</v>
      </c>
    </row>
    <row r="7" spans="1:13" x14ac:dyDescent="0.35">
      <c r="A7">
        <f>B7*D7</f>
        <v>165</v>
      </c>
      <c r="B7">
        <f>Dashboard!P8</f>
        <v>66</v>
      </c>
      <c r="C7" t="s">
        <v>30</v>
      </c>
      <c r="D7">
        <f>Dashboard!P11</f>
        <v>2.5</v>
      </c>
    </row>
    <row r="11" spans="1:13" x14ac:dyDescent="0.35">
      <c r="A11" t="s">
        <v>31</v>
      </c>
      <c r="B11" t="s">
        <v>32</v>
      </c>
      <c r="C11" t="s">
        <v>4</v>
      </c>
      <c r="D11" t="s">
        <v>33</v>
      </c>
      <c r="E11" t="s">
        <v>34</v>
      </c>
      <c r="F11" t="s">
        <v>36</v>
      </c>
      <c r="G11" t="s">
        <v>37</v>
      </c>
      <c r="H11" t="s">
        <v>35</v>
      </c>
      <c r="I11" t="s">
        <v>39</v>
      </c>
      <c r="J11" t="s">
        <v>38</v>
      </c>
      <c r="K11" t="s">
        <v>47</v>
      </c>
      <c r="L11" t="s">
        <v>49</v>
      </c>
      <c r="M11" t="s">
        <v>50</v>
      </c>
    </row>
    <row r="12" spans="1:13" x14ac:dyDescent="0.35">
      <c r="A12" cm="1">
        <f t="array" ref="A12">protein_set[peso]</f>
        <v>66</v>
      </c>
      <c r="B12">
        <f>Dashboard!P9</f>
        <v>171</v>
      </c>
      <c r="C12">
        <f>Dashboard!P10</f>
        <v>0.15</v>
      </c>
      <c r="D12">
        <f>E12*(1-C12)</f>
        <v>60.35</v>
      </c>
      <c r="E12">
        <f>B12-100</f>
        <v>71</v>
      </c>
      <c r="F12">
        <f>(A12*(1-$C$12))/($B$12/100)^2</f>
        <v>19.185390376526112</v>
      </c>
      <c r="G12">
        <f>(E12*(1-$C$12))/($B$12/100)^2</f>
        <v>20.638829041414454</v>
      </c>
      <c r="H12">
        <v>25</v>
      </c>
      <c r="I12" cm="1">
        <f t="array" ref="I12">Table4[[#This Row],[FFMI_min]]/((1-Table4[fat])/(Table4[heigth]/100)^2)</f>
        <v>68.802352941176466</v>
      </c>
      <c r="J12" cm="1">
        <f t="array" ref="J12">Table4[[#This Row],[FFMI_max]]/((1-Table4[fat])/(Table4[heigth]/100)^2)</f>
        <v>86.002941176470586</v>
      </c>
      <c r="K12">
        <v>20</v>
      </c>
      <c r="L12">
        <f>Table4[[#This Row],[min_range_weight]]*(1-Table4[[#This Row],[fat]])</f>
        <v>58.481999999999992</v>
      </c>
      <c r="M12">
        <f>Table4[[#This Row],[max_range_weigth]]*(1-Table4[[#This Row],[fat]])</f>
        <v>73.102499999999992</v>
      </c>
    </row>
    <row r="16" spans="1:13" x14ac:dyDescent="0.35">
      <c r="A16" t="s">
        <v>48</v>
      </c>
      <c r="B16" t="s">
        <v>43</v>
      </c>
      <c r="C16" t="s">
        <v>44</v>
      </c>
      <c r="D16" t="s">
        <v>41</v>
      </c>
      <c r="E16" t="s">
        <v>42</v>
      </c>
      <c r="F16" t="s">
        <v>46</v>
      </c>
    </row>
    <row r="17" spans="1:6" x14ac:dyDescent="0.35">
      <c r="A17" t="s">
        <v>40</v>
      </c>
      <c r="B17">
        <v>18</v>
      </c>
      <c r="C17">
        <v>39</v>
      </c>
      <c r="D17">
        <v>0.33300000000000002</v>
      </c>
      <c r="E17">
        <v>0.39300000000000002</v>
      </c>
      <c r="F17">
        <v>0.4</v>
      </c>
    </row>
    <row r="18" spans="1:6" x14ac:dyDescent="0.35">
      <c r="A18" t="s">
        <v>45</v>
      </c>
      <c r="B18">
        <v>18</v>
      </c>
      <c r="C18">
        <v>39</v>
      </c>
      <c r="D18">
        <v>0.30299999999999999</v>
      </c>
      <c r="E18">
        <v>0.35299999999999998</v>
      </c>
      <c r="F18">
        <v>0.3</v>
      </c>
    </row>
  </sheetData>
  <pageMargins left="0.7" right="0.7" top="0.75" bottom="0.75" header="0.3" footer="0.3"/>
  <legacyDrawing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1FFE8-2267-4AF9-ADDE-79D46B112010}">
  <dimension ref="A1:T20"/>
  <sheetViews>
    <sheetView topLeftCell="I1" workbookViewId="0">
      <selection activeCell="K6" sqref="K6"/>
    </sheetView>
  </sheetViews>
  <sheetFormatPr defaultRowHeight="14.5" x14ac:dyDescent="0.35"/>
  <cols>
    <col min="1" max="1" width="12.453125" bestFit="1" customWidth="1"/>
    <col min="2" max="3" width="16" bestFit="1" customWidth="1"/>
    <col min="4" max="4" width="12.453125" bestFit="1" customWidth="1"/>
    <col min="5" max="5" width="16.36328125" bestFit="1" customWidth="1"/>
    <col min="6" max="6" width="16.26953125" bestFit="1" customWidth="1"/>
    <col min="7" max="7" width="12.453125" bestFit="1" customWidth="1"/>
    <col min="8" max="9" width="14.90625" bestFit="1" customWidth="1"/>
    <col min="10" max="10" width="16.08984375" bestFit="1" customWidth="1"/>
    <col min="11" max="11" width="16" bestFit="1" customWidth="1"/>
    <col min="12" max="12" width="12.54296875" bestFit="1" customWidth="1"/>
    <col min="13" max="13" width="16.08984375" bestFit="1" customWidth="1"/>
    <col min="14" max="14" width="16.36328125" bestFit="1" customWidth="1"/>
    <col min="15" max="15" width="14.90625" bestFit="1" customWidth="1"/>
    <col min="16" max="16" width="16.08984375" bestFit="1" customWidth="1"/>
    <col min="17" max="17" width="14.90625" bestFit="1" customWidth="1"/>
    <col min="18" max="18" width="11.81640625" bestFit="1" customWidth="1"/>
    <col min="19" max="19" width="12.453125" bestFit="1" customWidth="1"/>
    <col min="20" max="20" width="14.6328125" bestFit="1" customWidth="1"/>
    <col min="21" max="21" width="10.7265625" bestFit="1" customWidth="1"/>
    <col min="22" max="23" width="11.81640625" bestFit="1" customWidth="1"/>
    <col min="24" max="24" width="10.7265625" bestFit="1" customWidth="1"/>
    <col min="25" max="27" width="11.81640625" bestFit="1" customWidth="1"/>
    <col min="28" max="28" width="10.36328125" bestFit="1" customWidth="1"/>
  </cols>
  <sheetData>
    <row r="1" spans="1:20" x14ac:dyDescent="0.35">
      <c r="A1" s="2" t="s">
        <v>62</v>
      </c>
      <c r="B1" t="s">
        <v>65</v>
      </c>
      <c r="D1" s="2" t="s">
        <v>62</v>
      </c>
      <c r="E1" t="s">
        <v>66</v>
      </c>
      <c r="G1" s="2" t="s">
        <v>62</v>
      </c>
      <c r="H1" t="s">
        <v>67</v>
      </c>
      <c r="J1" s="2" t="s">
        <v>62</v>
      </c>
      <c r="K1" t="s">
        <v>65</v>
      </c>
      <c r="M1" s="2" t="s">
        <v>62</v>
      </c>
      <c r="N1" t="s">
        <v>66</v>
      </c>
      <c r="P1" s="2" t="s">
        <v>62</v>
      </c>
      <c r="Q1" t="s">
        <v>67</v>
      </c>
      <c r="S1" s="2" t="s">
        <v>62</v>
      </c>
      <c r="T1" t="s">
        <v>89</v>
      </c>
    </row>
    <row r="2" spans="1:20" x14ac:dyDescent="0.35">
      <c r="A2" s="11">
        <v>45249</v>
      </c>
      <c r="B2" s="5">
        <v>46.736399999999989</v>
      </c>
      <c r="D2" s="11">
        <v>45249</v>
      </c>
      <c r="E2" s="5">
        <v>84.58159999999998</v>
      </c>
      <c r="G2" s="11">
        <v>45249</v>
      </c>
      <c r="H2" s="5">
        <v>8.6820000000000004</v>
      </c>
      <c r="J2" s="3" t="s">
        <v>51</v>
      </c>
      <c r="K2" s="24">
        <v>8.2800000000000026E-2</v>
      </c>
      <c r="M2" s="3" t="s">
        <v>90</v>
      </c>
      <c r="N2" s="24">
        <v>0</v>
      </c>
      <c r="P2" s="3" t="s">
        <v>61</v>
      </c>
      <c r="Q2" s="24">
        <v>0</v>
      </c>
      <c r="S2" s="11">
        <v>45249</v>
      </c>
      <c r="T2" s="24">
        <v>620.26999999999987</v>
      </c>
    </row>
    <row r="3" spans="1:20" x14ac:dyDescent="0.35">
      <c r="A3" s="11" t="s">
        <v>63</v>
      </c>
      <c r="B3" s="5">
        <v>46.736399999999989</v>
      </c>
      <c r="D3" s="11" t="s">
        <v>63</v>
      </c>
      <c r="E3" s="5">
        <v>84.58159999999998</v>
      </c>
      <c r="G3" s="11" t="s">
        <v>63</v>
      </c>
      <c r="H3" s="5">
        <v>8.6820000000000004</v>
      </c>
      <c r="J3" s="3" t="s">
        <v>57</v>
      </c>
      <c r="K3" s="24">
        <v>2.16</v>
      </c>
      <c r="M3" s="3" t="s">
        <v>105</v>
      </c>
      <c r="N3" s="24">
        <v>0</v>
      </c>
      <c r="P3" s="3" t="s">
        <v>55</v>
      </c>
      <c r="Q3" s="24">
        <v>0</v>
      </c>
      <c r="S3" s="11" t="s">
        <v>63</v>
      </c>
      <c r="T3" s="24">
        <v>620.26999999999987</v>
      </c>
    </row>
    <row r="4" spans="1:20" x14ac:dyDescent="0.35">
      <c r="J4" s="3" t="s">
        <v>61</v>
      </c>
      <c r="K4" s="24">
        <v>2.6500000000000004</v>
      </c>
      <c r="M4" s="3" t="s">
        <v>51</v>
      </c>
      <c r="N4" s="24">
        <v>2.7599999999999996E-2</v>
      </c>
      <c r="P4" s="3" t="s">
        <v>51</v>
      </c>
      <c r="Q4" s="24">
        <v>1.3799999999999998E-2</v>
      </c>
    </row>
    <row r="5" spans="1:20" x14ac:dyDescent="0.35">
      <c r="J5" s="3" t="s">
        <v>56</v>
      </c>
      <c r="K5" s="24">
        <v>3.2152500000000006</v>
      </c>
      <c r="M5" s="3" t="s">
        <v>59</v>
      </c>
      <c r="N5" s="24">
        <v>1.3150000000000002</v>
      </c>
      <c r="P5" s="3" t="s">
        <v>103</v>
      </c>
      <c r="Q5" s="24">
        <v>0.30600000000000005</v>
      </c>
    </row>
    <row r="6" spans="1:20" x14ac:dyDescent="0.35">
      <c r="J6" s="3" t="s">
        <v>93</v>
      </c>
      <c r="K6" s="24">
        <v>4.0500000000000007</v>
      </c>
      <c r="M6" s="3" t="s">
        <v>93</v>
      </c>
      <c r="N6" s="24">
        <v>2.7</v>
      </c>
      <c r="P6" s="3" t="s">
        <v>92</v>
      </c>
      <c r="Q6" s="24">
        <v>0.4</v>
      </c>
    </row>
    <row r="7" spans="1:20" x14ac:dyDescent="0.35">
      <c r="J7" s="3" t="s">
        <v>55</v>
      </c>
      <c r="K7" s="24">
        <v>6.1120000000000001</v>
      </c>
      <c r="M7" s="3" t="s">
        <v>103</v>
      </c>
      <c r="N7" s="24">
        <v>5.0999999999999996</v>
      </c>
      <c r="P7" s="3" t="s">
        <v>57</v>
      </c>
      <c r="Q7" s="24">
        <v>0.43200000000000005</v>
      </c>
    </row>
    <row r="8" spans="1:20" x14ac:dyDescent="0.35">
      <c r="J8" s="3" t="s">
        <v>101</v>
      </c>
      <c r="K8" s="24">
        <v>10.228999999999999</v>
      </c>
      <c r="M8" s="3" t="s">
        <v>104</v>
      </c>
      <c r="N8" s="24">
        <v>6.93</v>
      </c>
      <c r="P8" s="3" t="s">
        <v>56</v>
      </c>
      <c r="Q8" s="24">
        <v>0.71450000000000002</v>
      </c>
    </row>
    <row r="9" spans="1:20" x14ac:dyDescent="0.35">
      <c r="J9" s="3" t="s">
        <v>92</v>
      </c>
      <c r="K9" s="24">
        <v>10.8</v>
      </c>
      <c r="M9" s="3" t="s">
        <v>56</v>
      </c>
      <c r="N9" s="24">
        <v>12.50375</v>
      </c>
      <c r="P9" s="3" t="s">
        <v>90</v>
      </c>
      <c r="Q9" s="24">
        <v>1.3319999999999999</v>
      </c>
    </row>
    <row r="10" spans="1:20" x14ac:dyDescent="0.35">
      <c r="J10" s="3" t="s">
        <v>103</v>
      </c>
      <c r="K10" s="24">
        <v>22.780000000000005</v>
      </c>
      <c r="M10" s="3" t="s">
        <v>61</v>
      </c>
      <c r="N10" s="24">
        <v>14.31</v>
      </c>
      <c r="P10" s="3" t="s">
        <v>93</v>
      </c>
      <c r="Q10" s="24">
        <v>1.65</v>
      </c>
    </row>
    <row r="11" spans="1:20" x14ac:dyDescent="0.35">
      <c r="J11" s="3" t="s">
        <v>59</v>
      </c>
      <c r="K11" s="24">
        <v>48.918000000000006</v>
      </c>
      <c r="M11" s="3" t="s">
        <v>57</v>
      </c>
      <c r="N11" s="24">
        <v>22.032</v>
      </c>
      <c r="P11" s="3" t="s">
        <v>104</v>
      </c>
      <c r="Q11" s="24">
        <v>5.5440000000000005</v>
      </c>
    </row>
    <row r="12" spans="1:20" x14ac:dyDescent="0.35">
      <c r="J12" s="3" t="s">
        <v>54</v>
      </c>
      <c r="K12" s="24">
        <v>50.286000000000001</v>
      </c>
      <c r="M12" s="3" t="s">
        <v>101</v>
      </c>
      <c r="N12" s="24">
        <v>23.16</v>
      </c>
      <c r="P12" s="3" t="s">
        <v>59</v>
      </c>
      <c r="Q12" s="24">
        <v>6.3120000000000003</v>
      </c>
    </row>
    <row r="13" spans="1:20" x14ac:dyDescent="0.35">
      <c r="J13" s="3" t="s">
        <v>90</v>
      </c>
      <c r="K13" s="24">
        <v>52.17</v>
      </c>
      <c r="M13" s="3" t="s">
        <v>54</v>
      </c>
      <c r="N13" s="24">
        <v>38.454000000000008</v>
      </c>
      <c r="P13" s="3" t="s">
        <v>102</v>
      </c>
      <c r="Q13" s="24">
        <v>7.7090000000000014</v>
      </c>
    </row>
    <row r="14" spans="1:20" x14ac:dyDescent="0.35">
      <c r="J14" s="3" t="s">
        <v>102</v>
      </c>
      <c r="K14" s="24">
        <v>64.637</v>
      </c>
      <c r="M14" s="3" t="s">
        <v>92</v>
      </c>
      <c r="N14" s="24">
        <v>65.8</v>
      </c>
      <c r="P14" s="3" t="s">
        <v>105</v>
      </c>
      <c r="Q14" s="24">
        <v>9</v>
      </c>
    </row>
    <row r="15" spans="1:20" x14ac:dyDescent="0.35">
      <c r="J15" s="3" t="s">
        <v>105</v>
      </c>
      <c r="K15" s="24">
        <v>66.900000000000006</v>
      </c>
      <c r="M15" s="3" t="s">
        <v>55</v>
      </c>
      <c r="N15" s="24">
        <v>163.49599999999998</v>
      </c>
      <c r="P15" s="3" t="s">
        <v>91</v>
      </c>
      <c r="Q15" s="24">
        <v>12.457199999999998</v>
      </c>
    </row>
    <row r="16" spans="1:20" x14ac:dyDescent="0.35">
      <c r="J16" s="3" t="s">
        <v>53</v>
      </c>
      <c r="K16" s="24">
        <v>85.91</v>
      </c>
      <c r="M16" s="3" t="s">
        <v>52</v>
      </c>
      <c r="N16" s="24">
        <v>228.48000000000002</v>
      </c>
      <c r="P16" s="3" t="s">
        <v>54</v>
      </c>
      <c r="Q16" s="24">
        <v>28.101000000000003</v>
      </c>
    </row>
    <row r="17" spans="10:17" x14ac:dyDescent="0.35">
      <c r="J17" s="3" t="s">
        <v>91</v>
      </c>
      <c r="K17" s="24">
        <v>86.310599999999994</v>
      </c>
      <c r="M17" s="3" t="s">
        <v>102</v>
      </c>
      <c r="N17" s="24">
        <v>248.46700000000001</v>
      </c>
      <c r="P17" s="3" t="s">
        <v>101</v>
      </c>
      <c r="Q17" s="24">
        <v>32.424000000000007</v>
      </c>
    </row>
    <row r="18" spans="10:17" x14ac:dyDescent="0.35">
      <c r="J18" s="3" t="s">
        <v>104</v>
      </c>
      <c r="K18" s="24">
        <v>106.25999999999999</v>
      </c>
      <c r="M18" s="3" t="s">
        <v>91</v>
      </c>
      <c r="N18" s="24">
        <v>355.92</v>
      </c>
      <c r="P18" s="3" t="s">
        <v>52</v>
      </c>
      <c r="Q18" s="24">
        <v>36.96</v>
      </c>
    </row>
    <row r="19" spans="10:17" x14ac:dyDescent="0.35">
      <c r="J19" s="3" t="s">
        <v>52</v>
      </c>
      <c r="K19" s="24">
        <v>112.56000000000002</v>
      </c>
      <c r="M19" s="3" t="s">
        <v>53</v>
      </c>
      <c r="N19" s="24">
        <v>471.72400000000005</v>
      </c>
      <c r="P19" s="3" t="s">
        <v>53</v>
      </c>
      <c r="Q19" s="24">
        <v>64.041999999999987</v>
      </c>
    </row>
    <row r="20" spans="10:17" x14ac:dyDescent="0.35">
      <c r="J20" s="3" t="s">
        <v>63</v>
      </c>
      <c r="K20" s="24">
        <v>736.03065000000004</v>
      </c>
      <c r="M20" s="3" t="s">
        <v>63</v>
      </c>
      <c r="N20" s="24">
        <v>1660.4193500000001</v>
      </c>
      <c r="P20" s="3" t="s">
        <v>63</v>
      </c>
      <c r="Q20" s="24">
        <v>207.39750000000004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Registry</vt:lpstr>
      <vt:lpstr>Food</vt:lpstr>
      <vt:lpstr>goals</vt:lpstr>
      <vt:lpstr>pivot_tables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Sánchez Olmo</dc:creator>
  <cp:lastModifiedBy>Fernando Sánchez Olmo</cp:lastModifiedBy>
  <dcterms:created xsi:type="dcterms:W3CDTF">2023-11-05T10:36:29Z</dcterms:created>
  <dcterms:modified xsi:type="dcterms:W3CDTF">2023-11-19T15:46:07Z</dcterms:modified>
</cp:coreProperties>
</file>