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tr\Documents\proyecto\kunatraslate\file\"/>
    </mc:Choice>
  </mc:AlternateContent>
  <xr:revisionPtr revIDLastSave="0" documentId="13_ncr:1_{EB0599EF-FB6D-4196-93EA-25353DDE6D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  <sheet name="Hoja 1" sheetId="2" r:id="rId2"/>
  </sheets>
  <definedNames>
    <definedName name="_xlnm._FilterDatabase" localSheetId="0" hidden="1">result!$A$1:$E$2647</definedName>
    <definedName name="Z_FE2E9FE9_EE36_45FD_BA16_6941239116F6_.wvu.FilterData" localSheetId="0" hidden="1">result!$A$1:$E$2647</definedName>
  </definedNames>
  <calcPr calcId="191029"/>
  <customWorkbookViews>
    <customWorkbookView name="Filtro 1" guid="{FE2E9FE9-EE36-45FD-BA16-6941239116F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47" i="1" l="1"/>
  <c r="D2646" i="1"/>
  <c r="D2645" i="1"/>
  <c r="D2644" i="1"/>
  <c r="D2643" i="1"/>
  <c r="E2642" i="1"/>
  <c r="D2642" i="1"/>
  <c r="E2641" i="1"/>
  <c r="D2641" i="1"/>
  <c r="D2640" i="1"/>
  <c r="D2639" i="1"/>
  <c r="D2638" i="1"/>
  <c r="E2637" i="1"/>
  <c r="D2637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E2388" i="1"/>
  <c r="E2387" i="1"/>
  <c r="D2387" i="1"/>
  <c r="E2386" i="1"/>
  <c r="D2386" i="1"/>
  <c r="E2385" i="1"/>
  <c r="D2385" i="1"/>
  <c r="E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E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E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E2263" i="1"/>
  <c r="E2262" i="1"/>
  <c r="D2262" i="1"/>
  <c r="E2261" i="1"/>
  <c r="D2261" i="1"/>
  <c r="E2260" i="1"/>
  <c r="D2260" i="1"/>
  <c r="E2259" i="1"/>
  <c r="D2259" i="1"/>
  <c r="E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E2227" i="1"/>
  <c r="D2227" i="1"/>
  <c r="E2226" i="1"/>
  <c r="D2226" i="1"/>
  <c r="E2225" i="1"/>
  <c r="D2225" i="1"/>
  <c r="E2224" i="1"/>
  <c r="D2224" i="1"/>
  <c r="E2223" i="1"/>
  <c r="D2223" i="1"/>
  <c r="E2222" i="1"/>
  <c r="E2221" i="1"/>
  <c r="E2220" i="1"/>
  <c r="D2220" i="1"/>
  <c r="E2219" i="1"/>
  <c r="D2219" i="1"/>
  <c r="E2218" i="1"/>
  <c r="D2218" i="1"/>
  <c r="E2217" i="1"/>
  <c r="D2217" i="1"/>
  <c r="E2216" i="1"/>
  <c r="E2215" i="1"/>
  <c r="D2215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E2188" i="1"/>
  <c r="D2188" i="1"/>
  <c r="E2187" i="1"/>
  <c r="D2187" i="1"/>
  <c r="E2186" i="1"/>
  <c r="E2185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D2176" i="1"/>
  <c r="D2175" i="1"/>
  <c r="E2174" i="1"/>
  <c r="D2174" i="1"/>
  <c r="E2173" i="1"/>
  <c r="D2173" i="1"/>
  <c r="D2172" i="1"/>
  <c r="E2171" i="1"/>
  <c r="D2171" i="1"/>
  <c r="E2170" i="1"/>
  <c r="D2170" i="1"/>
  <c r="D2169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4" i="1"/>
  <c r="D2144" i="1"/>
  <c r="D2143" i="1"/>
  <c r="E2142" i="1"/>
  <c r="D2142" i="1"/>
  <c r="D2141" i="1"/>
  <c r="E2140" i="1"/>
  <c r="D2140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D2096" i="1"/>
  <c r="E2095" i="1"/>
  <c r="D2095" i="1"/>
  <c r="E2094" i="1"/>
  <c r="D2094" i="1"/>
  <c r="E2093" i="1"/>
  <c r="D2093" i="1"/>
  <c r="E2092" i="1"/>
  <c r="D2092" i="1"/>
  <c r="E2091" i="1"/>
  <c r="E2090" i="1"/>
  <c r="E2089" i="1"/>
  <c r="D2089" i="1"/>
  <c r="E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E2076" i="1"/>
  <c r="D2076" i="1"/>
  <c r="E2075" i="1"/>
  <c r="D2075" i="1"/>
  <c r="E2074" i="1"/>
  <c r="D2074" i="1"/>
  <c r="E2073" i="1"/>
  <c r="D2073" i="1"/>
  <c r="E2072" i="1"/>
  <c r="D2072" i="1"/>
  <c r="E2071" i="1"/>
  <c r="E2070" i="1"/>
  <c r="D2070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E2056" i="1"/>
  <c r="E2055" i="1"/>
  <c r="D2055" i="1"/>
  <c r="E2054" i="1"/>
  <c r="D2054" i="1"/>
  <c r="E2053" i="1"/>
  <c r="D2053" i="1"/>
  <c r="D2052" i="1"/>
  <c r="D2051" i="1"/>
  <c r="E2050" i="1"/>
  <c r="D2050" i="1"/>
  <c r="E2049" i="1"/>
  <c r="E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E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0" i="1"/>
  <c r="D1899" i="1"/>
  <c r="D1898" i="1"/>
  <c r="E1897" i="1"/>
  <c r="E1896" i="1"/>
  <c r="E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E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E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E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E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7" i="1"/>
  <c r="D1647" i="1"/>
  <c r="E1646" i="1"/>
  <c r="D1646" i="1"/>
  <c r="E1645" i="1"/>
  <c r="D1645" i="1"/>
  <c r="E1644" i="1"/>
  <c r="D1644" i="1"/>
  <c r="E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E1631" i="1"/>
  <c r="E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E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E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D1294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D1253" i="1"/>
  <c r="E1252" i="1"/>
  <c r="D1252" i="1"/>
  <c r="D1251" i="1"/>
  <c r="E1250" i="1"/>
  <c r="D1250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E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E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E1117" i="1"/>
  <c r="D1117" i="1"/>
  <c r="E1116" i="1"/>
  <c r="D1116" i="1"/>
  <c r="E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E1062" i="1"/>
  <c r="D1062" i="1"/>
  <c r="E1061" i="1"/>
  <c r="D1061" i="1"/>
  <c r="E1060" i="1"/>
  <c r="D1060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D1048" i="1"/>
  <c r="E1047" i="1"/>
  <c r="D1047" i="1"/>
  <c r="E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D1036" i="1"/>
  <c r="E1035" i="1"/>
  <c r="D1035" i="1"/>
  <c r="E1034" i="1"/>
  <c r="D1034" i="1"/>
  <c r="E1033" i="1"/>
  <c r="D1033" i="1"/>
  <c r="E1032" i="1"/>
  <c r="E1031" i="1"/>
  <c r="E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E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E975" i="1"/>
  <c r="D975" i="1"/>
  <c r="E974" i="1"/>
  <c r="D974" i="1"/>
  <c r="E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E919" i="1"/>
  <c r="D919" i="1"/>
  <c r="E918" i="1"/>
  <c r="D918" i="1"/>
  <c r="E917" i="1"/>
  <c r="D917" i="1"/>
  <c r="D916" i="1"/>
  <c r="E915" i="1"/>
  <c r="D915" i="1"/>
  <c r="E914" i="1"/>
  <c r="D914" i="1"/>
  <c r="E913" i="1"/>
  <c r="D913" i="1"/>
  <c r="D912" i="1"/>
  <c r="E911" i="1"/>
  <c r="D911" i="1"/>
  <c r="E910" i="1"/>
  <c r="E909" i="1"/>
  <c r="E908" i="1"/>
  <c r="E907" i="1"/>
  <c r="D907" i="1"/>
  <c r="E906" i="1"/>
  <c r="D906" i="1"/>
  <c r="E905" i="1"/>
  <c r="D905" i="1"/>
  <c r="E904" i="1"/>
  <c r="D904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D876" i="1"/>
  <c r="D875" i="1"/>
  <c r="E874" i="1"/>
  <c r="D874" i="1"/>
  <c r="E873" i="1"/>
  <c r="D873" i="1"/>
  <c r="E872" i="1"/>
  <c r="D872" i="1"/>
  <c r="D871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D861" i="1"/>
  <c r="E860" i="1"/>
  <c r="D860" i="1"/>
  <c r="E859" i="1"/>
  <c r="E858" i="1"/>
  <c r="D858" i="1"/>
  <c r="E857" i="1"/>
  <c r="D857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6" i="1"/>
  <c r="E845" i="1"/>
  <c r="E844" i="1"/>
  <c r="E843" i="1"/>
  <c r="E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E831" i="1"/>
  <c r="D831" i="1"/>
  <c r="E830" i="1"/>
  <c r="D830" i="1"/>
  <c r="E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E723" i="1"/>
  <c r="D723" i="1"/>
  <c r="E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E504" i="1"/>
  <c r="D504" i="1"/>
  <c r="E503" i="1"/>
  <c r="D503" i="1"/>
  <c r="E502" i="1"/>
  <c r="D502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E388" i="1"/>
  <c r="E387" i="1"/>
  <c r="E386" i="1"/>
  <c r="E385" i="1"/>
  <c r="D385" i="1"/>
  <c r="E384" i="1"/>
  <c r="D384" i="1"/>
  <c r="E383" i="1"/>
  <c r="E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E318" i="1"/>
  <c r="D318" i="1"/>
  <c r="E317" i="1"/>
  <c r="E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E282" i="1"/>
  <c r="E281" i="1"/>
  <c r="D281" i="1"/>
  <c r="E280" i="1"/>
  <c r="D280" i="1"/>
  <c r="E279" i="1"/>
  <c r="D279" i="1"/>
  <c r="E278" i="1"/>
  <c r="E277" i="1"/>
  <c r="D277" i="1"/>
  <c r="E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E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E212" i="1"/>
  <c r="E211" i="1"/>
  <c r="E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E44" i="1"/>
  <c r="E43" i="1"/>
  <c r="E42" i="1"/>
  <c r="E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E29" i="1"/>
  <c r="D29" i="1"/>
  <c r="E28" i="1"/>
  <c r="D28" i="1"/>
  <c r="E27" i="1"/>
  <c r="D27" i="1"/>
  <c r="E26" i="1"/>
  <c r="E25" i="1"/>
  <c r="D25" i="1"/>
  <c r="E24" i="1"/>
  <c r="D24" i="1"/>
  <c r="E23" i="1"/>
  <c r="D23" i="1"/>
  <c r="E22" i="1"/>
  <c r="D22" i="1"/>
  <c r="E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D4" i="1"/>
  <c r="E3" i="1"/>
  <c r="D3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02" authorId="0" shapeId="0" xr:uid="{00000000-0006-0000-0000-000006000000}">
      <text>
        <r>
          <rPr>
            <sz val="10"/>
            <color rgb="FF000000"/>
            <rFont val="Arial"/>
          </rPr>
          <t>En internet se conoce como guama
	-moises chin</t>
        </r>
      </text>
    </comment>
    <comment ref="A724" authorId="0" shapeId="0" xr:uid="{00000000-0006-0000-0000-000004000000}">
      <text>
        <r>
          <rPr>
            <sz val="10"/>
            <color rgb="FF000000"/>
            <rFont val="Arial"/>
          </rPr>
          <t>palabra2
	-moises chin</t>
        </r>
      </text>
    </comment>
    <comment ref="A1401" authorId="0" shapeId="0" xr:uid="{00000000-0006-0000-0000-000003000000}">
      <text>
        <r>
          <rPr>
            <sz val="10"/>
            <color rgb="FF000000"/>
            <rFont val="Arial"/>
          </rPr>
          <t>palabra3
	-moises chin</t>
        </r>
      </text>
    </comment>
    <comment ref="A1509" authorId="0" shapeId="0" xr:uid="{00000000-0006-0000-0000-000002000000}">
      <text>
        <r>
          <rPr>
            <sz val="10"/>
            <color rgb="FF000000"/>
            <rFont val="Arial"/>
          </rPr>
          <t>palabra4
	-moises chin</t>
        </r>
      </text>
    </comment>
    <comment ref="C2141" authorId="0" shapeId="0" xr:uid="{00000000-0006-0000-0000-000005000000}">
      <text>
        <r>
          <rPr>
            <sz val="10"/>
            <color rgb="FF000000"/>
            <rFont val="Arial"/>
          </rPr>
          <t>palabra1
	-moises chin</t>
        </r>
      </text>
    </comment>
    <comment ref="A2177" authorId="0" shapeId="0" xr:uid="{00000000-0006-0000-0000-000001000000}">
      <text>
        <r>
          <rPr>
            <sz val="10"/>
            <color rgb="FF000000"/>
            <rFont val="Arial"/>
          </rPr>
          <t>palabra5
	-moises chin
planta medicina
	-Ismael Avila 1606</t>
        </r>
      </text>
    </comment>
  </commentList>
</comments>
</file>

<file path=xl/sharedStrings.xml><?xml version="1.0" encoding="utf-8"?>
<sst xmlns="http://schemas.openxmlformats.org/spreadsheetml/2006/main" count="6922" uniqueCount="5059">
  <si>
    <t>guna_word</t>
  </si>
  <si>
    <t>spanish_word</t>
  </si>
  <si>
    <t>synonyms</t>
  </si>
  <si>
    <t>english_word</t>
  </si>
  <si>
    <t>english_synonyms</t>
  </si>
  <si>
    <t>A</t>
  </si>
  <si>
    <t>Ese</t>
  </si>
  <si>
    <t xml:space="preserve">Esa </t>
  </si>
  <si>
    <t>Abaggale</t>
  </si>
  <si>
    <t>De repente</t>
  </si>
  <si>
    <t>Repentinamente</t>
  </si>
  <si>
    <t>Aggued</t>
  </si>
  <si>
    <t>Faltar</t>
  </si>
  <si>
    <t xml:space="preserve">Incompleto, perder, no alcanzar, , </t>
  </si>
  <si>
    <t>Incomplete, losing, not reach,</t>
  </si>
  <si>
    <t>Gayaburba</t>
  </si>
  <si>
    <t>Verbo</t>
  </si>
  <si>
    <t xml:space="preserve">Palabras </t>
  </si>
  <si>
    <t>Gayaemalad</t>
  </si>
  <si>
    <t>Sinónimo</t>
  </si>
  <si>
    <t xml:space="preserve">Semejante </t>
  </si>
  <si>
    <t>Gayagan</t>
  </si>
  <si>
    <t>Cañaveral</t>
  </si>
  <si>
    <t>Cañal</t>
  </si>
  <si>
    <t>Gaigan</t>
  </si>
  <si>
    <t>Gayagannoed</t>
  </si>
  <si>
    <t>Adjetivo</t>
  </si>
  <si>
    <t>Gaggagannoged</t>
  </si>
  <si>
    <t>Gayanis</t>
  </si>
  <si>
    <t>Jugo de caña</t>
  </si>
  <si>
    <t>Gayanisa</t>
  </si>
  <si>
    <t>Gainis</t>
  </si>
  <si>
    <t>Gainisa</t>
  </si>
  <si>
    <t>Agguedgalu</t>
  </si>
  <si>
    <t>Letrina</t>
  </si>
  <si>
    <t xml:space="preserve">Servicio, excusado, , , </t>
  </si>
  <si>
    <t>Gayaonabed</t>
  </si>
  <si>
    <t>Bostezar</t>
  </si>
  <si>
    <t xml:space="preserve">Bostezo, , , , </t>
  </si>
  <si>
    <t>Gayaugga</t>
  </si>
  <si>
    <t>Bagazo de caña</t>
  </si>
  <si>
    <t>Gaiugga</t>
  </si>
  <si>
    <t>Geb</t>
  </si>
  <si>
    <t>Inicio</t>
  </si>
  <si>
    <t xml:space="preserve">Primera vez, , , , </t>
  </si>
  <si>
    <t>Gebe</t>
  </si>
  <si>
    <t>Gebgeg</t>
  </si>
  <si>
    <t>Pez matajuelo</t>
  </si>
  <si>
    <t>Matajuelo fish</t>
  </si>
  <si>
    <t>Gegegwa</t>
  </si>
  <si>
    <t>Bobo</t>
  </si>
  <si>
    <t xml:space="preserve">Haragán, , , , </t>
  </si>
  <si>
    <t>Gegerdagged</t>
  </si>
  <si>
    <t>Asombrarse</t>
  </si>
  <si>
    <t xml:space="preserve">Admirar, , , , </t>
  </si>
  <si>
    <t>Geggued</t>
  </si>
  <si>
    <t>Cansarse</t>
  </si>
  <si>
    <t xml:space="preserve">Fatigarse, agotarse, , , </t>
  </si>
  <si>
    <t>Yegued</t>
  </si>
  <si>
    <t>Agguiddoged</t>
  </si>
  <si>
    <t>No entender</t>
  </si>
  <si>
    <t>Desobedecer</t>
  </si>
  <si>
    <t>Not understand</t>
  </si>
  <si>
    <t>Gegued</t>
  </si>
  <si>
    <t>Enfermarse</t>
  </si>
  <si>
    <t xml:space="preserve">Adolecer, tener fiebre, , , </t>
  </si>
  <si>
    <t>Ueleged</t>
  </si>
  <si>
    <t xml:space="preserve">Adolecer, Tener fiebre, , , </t>
  </si>
  <si>
    <t>Gelu</t>
  </si>
  <si>
    <t>Jurel</t>
  </si>
  <si>
    <t xml:space="preserve">Cojinùa, , , , </t>
  </si>
  <si>
    <t>Gelugoordiggid</t>
  </si>
  <si>
    <t>Pez cojinúa amarillo</t>
  </si>
  <si>
    <t xml:space="preserve">Yellow cojinua fish </t>
  </si>
  <si>
    <t>Genu</t>
  </si>
  <si>
    <t>Garrapata</t>
  </si>
  <si>
    <t>Gerged</t>
  </si>
  <si>
    <t>Costoso</t>
  </si>
  <si>
    <t xml:space="preserve">Caro, , , , </t>
  </si>
  <si>
    <t>Garged</t>
  </si>
  <si>
    <t>Gesumagged</t>
  </si>
  <si>
    <t>Chirriar</t>
  </si>
  <si>
    <t xml:space="preserve">Rechinar, Crujir, , , </t>
  </si>
  <si>
    <t>Giaggwagwa,</t>
  </si>
  <si>
    <t>Muy corto</t>
  </si>
  <si>
    <t>Giaggwa</t>
  </si>
  <si>
    <t>Corto</t>
  </si>
  <si>
    <t>Aggus</t>
  </si>
  <si>
    <t>Casi</t>
  </si>
  <si>
    <t xml:space="preserve">Incompleto, , , , </t>
  </si>
  <si>
    <t>Sorgwagwa</t>
  </si>
  <si>
    <t xml:space="preserve">Muy corto, , , , </t>
  </si>
  <si>
    <t>Giale</t>
  </si>
  <si>
    <t>Giaggwagwa</t>
  </si>
  <si>
    <t>Giamagged</t>
  </si>
  <si>
    <t>Trozar</t>
  </si>
  <si>
    <t>Shred</t>
  </si>
  <si>
    <t>Olomagged</t>
  </si>
  <si>
    <t>Gidsi</t>
  </si>
  <si>
    <t>Resina vegetal</t>
  </si>
  <si>
    <t>Vegetable resin</t>
  </si>
  <si>
    <t>Gigga</t>
  </si>
  <si>
    <t>Ave que presagia acontecimientos</t>
  </si>
  <si>
    <t>Bird that foreshadows events</t>
  </si>
  <si>
    <t>Giggadiryai</t>
  </si>
  <si>
    <t>Mujer que enseñó junto a Orgun</t>
  </si>
  <si>
    <t>Woman who taught together with Orgun</t>
  </si>
  <si>
    <t>Giggir</t>
  </si>
  <si>
    <t>Pulpo</t>
  </si>
  <si>
    <t>Gignii</t>
  </si>
  <si>
    <t>Agosto</t>
  </si>
  <si>
    <t>Aggusa</t>
  </si>
  <si>
    <t xml:space="preserve">incompleto, , , , </t>
  </si>
  <si>
    <t>Gisiggwi</t>
  </si>
  <si>
    <t>Golondrina</t>
  </si>
  <si>
    <t xml:space="preserve">tijereta, , , , </t>
  </si>
  <si>
    <t>Wirsob</t>
  </si>
  <si>
    <t xml:space="preserve">Tijereta, , , , </t>
  </si>
  <si>
    <t>Giloged</t>
  </si>
  <si>
    <t>Matar</t>
  </si>
  <si>
    <t xml:space="preserve">Eliminar, , , , </t>
  </si>
  <si>
    <t>Ogiloged</t>
  </si>
  <si>
    <t>Oburgwed</t>
  </si>
  <si>
    <t>Gindagged</t>
  </si>
  <si>
    <t>Gilor</t>
  </si>
  <si>
    <t>Tìo</t>
  </si>
  <si>
    <t xml:space="preserve">Pariente, , , , </t>
  </si>
  <si>
    <t>Gilolo</t>
  </si>
  <si>
    <t>Gilu</t>
  </si>
  <si>
    <t>Ginbinne</t>
  </si>
  <si>
    <t>Enseguida</t>
  </si>
  <si>
    <t xml:space="preserve">De inmediato, , , , </t>
  </si>
  <si>
    <t>Aggwa</t>
  </si>
  <si>
    <t>Piedra</t>
  </si>
  <si>
    <t xml:space="preserve">roca, , , , </t>
  </si>
  <si>
    <t>Ginere</t>
  </si>
  <si>
    <t>Preciso</t>
  </si>
  <si>
    <t xml:space="preserve">Exacto, , , , </t>
  </si>
  <si>
    <t>Gineregwa</t>
  </si>
  <si>
    <t>Gingi</t>
  </si>
  <si>
    <t>Escopeta</t>
  </si>
  <si>
    <t xml:space="preserve">Fusil, carabina, , , </t>
  </si>
  <si>
    <t>Gingub</t>
  </si>
  <si>
    <t>Pòlvora</t>
  </si>
  <si>
    <t>Guingub</t>
  </si>
  <si>
    <t>Ginnid</t>
  </si>
  <si>
    <t>Rojo</t>
  </si>
  <si>
    <t>Gisigwad</t>
  </si>
  <si>
    <t>Rosado</t>
  </si>
  <si>
    <t>Ginsunmagleged</t>
  </si>
  <si>
    <t>De quien se habla</t>
  </si>
  <si>
    <t xml:space="preserve">Sujeto de la oraciòn, , , , </t>
  </si>
  <si>
    <t>Coral</t>
  </si>
  <si>
    <t>Atolón</t>
  </si>
  <si>
    <t>Ginsunmaglenaid</t>
  </si>
  <si>
    <t>El que habla de</t>
  </si>
  <si>
    <t xml:space="preserve">Predicado, , , , </t>
  </si>
  <si>
    <t>Goamagged</t>
  </si>
  <si>
    <t>Descuartizar</t>
  </si>
  <si>
    <t xml:space="preserve">Despedazar, Fragmentar, , , </t>
  </si>
  <si>
    <t>Gobed</t>
  </si>
  <si>
    <t>Tomar</t>
  </si>
  <si>
    <t xml:space="preserve">Beber, Injerir, , , </t>
  </si>
  <si>
    <t>Gobibbi</t>
  </si>
  <si>
    <t>Meñique</t>
  </si>
  <si>
    <t xml:space="preserve">Dedo pequeño, , , , </t>
  </si>
  <si>
    <t>Godied</t>
  </si>
  <si>
    <t>Pellizcar</t>
  </si>
  <si>
    <t xml:space="preserve">Arañar, Rasguñar, , , </t>
  </si>
  <si>
    <t>Goe</t>
  </si>
  <si>
    <t>Bebè</t>
  </si>
  <si>
    <t xml:space="preserve">Nene, Criatura, Venado, ciervo, </t>
  </si>
  <si>
    <t>Wasa</t>
  </si>
  <si>
    <t>Venado</t>
  </si>
  <si>
    <t xml:space="preserve">Ciervo, , , , </t>
  </si>
  <si>
    <t>Gobbir</t>
  </si>
  <si>
    <t>Arbol de cocobolo</t>
  </si>
  <si>
    <t>Birgog</t>
  </si>
  <si>
    <t>Fruto de cocobolo</t>
  </si>
  <si>
    <t>Gogbirgwa</t>
  </si>
  <si>
    <t>Aggwadin</t>
  </si>
  <si>
    <t>Arrecife</t>
  </si>
  <si>
    <t>Gogo</t>
  </si>
  <si>
    <t>Organo sexual femenino</t>
  </si>
  <si>
    <t>Amma</t>
  </si>
  <si>
    <t>Omo</t>
  </si>
  <si>
    <t>Gole</t>
  </si>
  <si>
    <t>Cangrejo ermitaño</t>
  </si>
  <si>
    <t>Goled</t>
  </si>
  <si>
    <t>Llamar</t>
  </si>
  <si>
    <t xml:space="preserve">Vocear, Convocar, Reunir, , </t>
  </si>
  <si>
    <t>Gommomagged</t>
  </si>
  <si>
    <t>Chapotear</t>
  </si>
  <si>
    <t xml:space="preserve">Nadar, , , , </t>
  </si>
  <si>
    <t>Dommomagged</t>
  </si>
  <si>
    <t>Gonasi</t>
  </si>
  <si>
    <t>Uña</t>
  </si>
  <si>
    <t>Nail</t>
  </si>
  <si>
    <t>Gonu</t>
  </si>
  <si>
    <t>Dedo</t>
  </si>
  <si>
    <t>Goo</t>
  </si>
  <si>
    <t>Aggwadub</t>
  </si>
  <si>
    <t>Soga de ancla</t>
  </si>
  <si>
    <t>Goordiggid</t>
  </si>
  <si>
    <t>Anaranjado pàlido</t>
  </si>
  <si>
    <t xml:space="preserve">Amarillento, Malaria, , , </t>
  </si>
  <si>
    <t>Goreged</t>
  </si>
  <si>
    <t>Madurar</t>
  </si>
  <si>
    <t xml:space="preserve">Sazonarse la fruta, , , , </t>
  </si>
  <si>
    <t>Gorgi</t>
  </si>
  <si>
    <t>Pelìcano</t>
  </si>
  <si>
    <t>Gormagged</t>
  </si>
  <si>
    <t>Declamar</t>
  </si>
  <si>
    <t xml:space="preserve">Vocear, , , , </t>
  </si>
  <si>
    <t>Gormaggedigar</t>
  </si>
  <si>
    <t>Poema</t>
  </si>
  <si>
    <t xml:space="preserve">Poesìa, Verso, , , </t>
  </si>
  <si>
    <t>Gorogwa</t>
  </si>
  <si>
    <t>Amarillo</t>
  </si>
  <si>
    <t>Gorosdiggigwad</t>
  </si>
  <si>
    <t>Amarillento</t>
  </si>
  <si>
    <t>Gorosulid</t>
  </si>
  <si>
    <t>Oscuro</t>
  </si>
  <si>
    <t xml:space="preserve">Fosgo, Negro, , , </t>
  </si>
  <si>
    <t>Sibbusuli</t>
  </si>
  <si>
    <t>Guaggwagwa</t>
  </si>
  <si>
    <t>Listo</t>
  </si>
  <si>
    <t xml:space="preserve">Preparado, Dispuesto, , , </t>
  </si>
  <si>
    <t>Aggwaduba</t>
  </si>
  <si>
    <t>Guddu</t>
  </si>
  <si>
    <t>Mancha</t>
  </si>
  <si>
    <t xml:space="preserve">Sombra, Tacha, , , </t>
  </si>
  <si>
    <t>Guddurgwagwad</t>
  </si>
  <si>
    <t>Morado</t>
  </si>
  <si>
    <t xml:space="preserve">Oscuro, , , , </t>
  </si>
  <si>
    <t>Guded</t>
  </si>
  <si>
    <t>Onoded</t>
  </si>
  <si>
    <t xml:space="preserve">Introducciòn, , , , </t>
  </si>
  <si>
    <t>Gudii</t>
  </si>
  <si>
    <t>Està</t>
  </si>
  <si>
    <t xml:space="preserve">Està presente, Vive, , , </t>
  </si>
  <si>
    <t>Guggin</t>
  </si>
  <si>
    <t>Hombro</t>
  </si>
  <si>
    <t>Guggualed</t>
  </si>
  <si>
    <t>Aviòn</t>
  </si>
  <si>
    <t xml:space="preserve">Aeronave, , , , </t>
  </si>
  <si>
    <t>Sourguggualed</t>
  </si>
  <si>
    <t>Guggualedagdeged</t>
  </si>
  <si>
    <t>Aeropuerto</t>
  </si>
  <si>
    <t>Guggualedigar</t>
  </si>
  <si>
    <t xml:space="preserve">Pista de aterrizaje, , , , </t>
  </si>
  <si>
    <t>Abar</t>
  </si>
  <si>
    <t>Mitad</t>
  </si>
  <si>
    <t>Aggwalele</t>
  </si>
  <si>
    <t>Piedra lisa para terapia</t>
  </si>
  <si>
    <t>Guggued</t>
  </si>
  <si>
    <t>Volar</t>
  </si>
  <si>
    <t xml:space="preserve">Elevarse, Sobrevolar, , , </t>
  </si>
  <si>
    <t>Guggur</t>
  </si>
  <si>
    <t>Mosca</t>
  </si>
  <si>
    <t>Gugi</t>
  </si>
  <si>
    <t>Lunar</t>
  </si>
  <si>
    <t xml:space="preserve">Peca, , , , </t>
  </si>
  <si>
    <t>Ibsidsi</t>
  </si>
  <si>
    <t>Gugigugid</t>
  </si>
  <si>
    <t>Quemado</t>
  </si>
  <si>
    <t xml:space="preserve">Tostado, , , , </t>
  </si>
  <si>
    <t>Gugimur</t>
  </si>
  <si>
    <t>Sitio lìmite de Panamá y Colombia</t>
  </si>
  <si>
    <t>Gugimuru</t>
  </si>
  <si>
    <t>Sitio limite de Panamà y Colombia</t>
  </si>
  <si>
    <t>Gugmagged</t>
  </si>
  <si>
    <t>Atar</t>
  </si>
  <si>
    <t xml:space="preserve">Amarrar, Sujetar, , , </t>
  </si>
  <si>
    <t>Guli</t>
  </si>
  <si>
    <t>Flauta gruesa</t>
  </si>
  <si>
    <t xml:space="preserve">Instrumento musical, , , , </t>
  </si>
  <si>
    <t>Gullugullud</t>
  </si>
  <si>
    <t>Abollado</t>
  </si>
  <si>
    <t xml:space="preserve">Machacado, Asma, , , </t>
  </si>
  <si>
    <t>Aggwanusa</t>
  </si>
  <si>
    <t>Gummagged</t>
  </si>
  <si>
    <t>Quemarse</t>
  </si>
  <si>
    <t>Guna</t>
  </si>
  <si>
    <t>Persona perteneciente al pueblo Guna</t>
  </si>
  <si>
    <t>Gunadule</t>
  </si>
  <si>
    <t>Gunasuenamor</t>
  </si>
  <si>
    <t>Bandera de Gunayala</t>
  </si>
  <si>
    <t>Gunasuenamola</t>
  </si>
  <si>
    <t>Bandera Guna</t>
  </si>
  <si>
    <t>Gunabander</t>
  </si>
  <si>
    <t>Gunaid</t>
  </si>
  <si>
    <t>Acción que ocurre</t>
  </si>
  <si>
    <t xml:space="preserve">Tiempo presente, , , , </t>
  </si>
  <si>
    <t>Gunayala</t>
  </si>
  <si>
    <t>Territorio de los gunas</t>
  </si>
  <si>
    <t xml:space="preserve">Comarca guna, , , , </t>
  </si>
  <si>
    <t>Gundileged</t>
  </si>
  <si>
    <t>Ahogarse</t>
  </si>
  <si>
    <t>Gundoleged</t>
  </si>
  <si>
    <t>Aggwamuu</t>
  </si>
  <si>
    <t>Piedra de moler</t>
  </si>
  <si>
    <t>Diduleged</t>
  </si>
  <si>
    <t>Gungi</t>
  </si>
  <si>
    <t>Oro</t>
  </si>
  <si>
    <t>Or</t>
  </si>
  <si>
    <t>Olo</t>
  </si>
  <si>
    <t>Gunned</t>
  </si>
  <si>
    <t>Morder</t>
  </si>
  <si>
    <t xml:space="preserve">Masticar, Mordiscar, , , </t>
  </si>
  <si>
    <t>Guoed</t>
  </si>
  <si>
    <t>Acción por realizarse</t>
  </si>
  <si>
    <t xml:space="preserve">Tiempo futuro, , , , </t>
  </si>
  <si>
    <t>Gurgin</t>
  </si>
  <si>
    <t>Sombrero</t>
  </si>
  <si>
    <t>Gurginmaddar</t>
  </si>
  <si>
    <t>Boina</t>
  </si>
  <si>
    <t>Gurgur</t>
  </si>
  <si>
    <t>Especie de calabaza</t>
  </si>
  <si>
    <t>Gurgwa</t>
  </si>
  <si>
    <t>Hormiga candelilla</t>
  </si>
  <si>
    <t>Aggwan</t>
  </si>
  <si>
    <t>Grava</t>
  </si>
  <si>
    <t xml:space="preserve">Cascajo, , , , </t>
  </si>
  <si>
    <t>Gusad</t>
  </si>
  <si>
    <t>Lo que se hizo</t>
  </si>
  <si>
    <t xml:space="preserve">Acción pasada, Tiempo pasado, , , </t>
  </si>
  <si>
    <t>Gusar</t>
  </si>
  <si>
    <t>Hasta luego</t>
  </si>
  <si>
    <t xml:space="preserve">Dentro de un rato, , , , </t>
  </si>
  <si>
    <t>Gusale</t>
  </si>
  <si>
    <t>hasta luego</t>
  </si>
  <si>
    <t>See you later</t>
  </si>
  <si>
    <t>Gusarmalo</t>
  </si>
  <si>
    <t>Guseb</t>
  </si>
  <si>
    <t>Granadilla</t>
  </si>
  <si>
    <t>Gwiseb</t>
  </si>
  <si>
    <t>Gusgua</t>
  </si>
  <si>
    <t>Rutina</t>
  </si>
  <si>
    <t xml:space="preserve">De siempre, cuando se hizo, , , </t>
  </si>
  <si>
    <t>Guu</t>
  </si>
  <si>
    <t>Piojo</t>
  </si>
  <si>
    <t xml:space="preserve">Liendre, , , , </t>
  </si>
  <si>
    <t>Guurgaed</t>
  </si>
  <si>
    <t>Apretar</t>
  </si>
  <si>
    <t xml:space="preserve">Tener paretada y firme, , , , </t>
  </si>
  <si>
    <t>Gwaada</t>
  </si>
  <si>
    <t>Cargado</t>
  </si>
  <si>
    <t>Aggwanuggu</t>
  </si>
  <si>
    <t>Erizo de tierra</t>
  </si>
  <si>
    <t xml:space="preserve">Gato, Espinoso, , , </t>
  </si>
  <si>
    <t>Gwabba</t>
  </si>
  <si>
    <t>Todo</t>
  </si>
  <si>
    <t xml:space="preserve">Entero, , , , </t>
  </si>
  <si>
    <t>Gwabbid</t>
  </si>
  <si>
    <t>Nuevo</t>
  </si>
  <si>
    <t xml:space="preserve">Reciente, Novedoso, , , </t>
  </si>
  <si>
    <t>Gwabbiddi</t>
  </si>
  <si>
    <t>Binid</t>
  </si>
  <si>
    <t xml:space="preserve">Reciente, , , , </t>
  </si>
  <si>
    <t>Binidi</t>
  </si>
  <si>
    <t>Gwabboed</t>
  </si>
  <si>
    <t>Fallar el tiro</t>
  </si>
  <si>
    <t xml:space="preserve">Errar, , , , </t>
  </si>
  <si>
    <t>Dalloed</t>
  </si>
  <si>
    <t>Dalloged</t>
  </si>
  <si>
    <t>Gwabin</t>
  </si>
  <si>
    <t>Lengua</t>
  </si>
  <si>
    <t xml:space="preserve">Habla, Idioma, , , </t>
  </si>
  <si>
    <t>Gwable</t>
  </si>
  <si>
    <t xml:space="preserve">Todos, , , , </t>
  </si>
  <si>
    <t>Aggwasalu</t>
  </si>
  <si>
    <t xml:space="preserve">Longorón o molusco </t>
  </si>
  <si>
    <t>Molusco</t>
  </si>
  <si>
    <t>Gwada</t>
  </si>
  <si>
    <t>Gelatina de maíz con jugo de caña</t>
  </si>
  <si>
    <t>Gwaddired</t>
  </si>
  <si>
    <t>Equivocarse</t>
  </si>
  <si>
    <t xml:space="preserve">Faltar en algo, No proceder bien, , , </t>
  </si>
  <si>
    <t>Gwargwad</t>
  </si>
  <si>
    <t>Papaya</t>
  </si>
  <si>
    <t>Gwae</t>
  </si>
  <si>
    <t>Rápido</t>
  </si>
  <si>
    <t xml:space="preserve">Ligero, Expedito, , , </t>
  </si>
  <si>
    <t>Gwaegwae</t>
  </si>
  <si>
    <t>Muy rápido</t>
  </si>
  <si>
    <t xml:space="preserve">Urgente, Muy ligero, , , </t>
  </si>
  <si>
    <t>Gwag</t>
  </si>
  <si>
    <t>Semilla</t>
  </si>
  <si>
    <t xml:space="preserve">Simiente, , , , </t>
  </si>
  <si>
    <t>Gwagwa</t>
  </si>
  <si>
    <t>Gwage</t>
  </si>
  <si>
    <t>Corazón</t>
  </si>
  <si>
    <t>Gwegi</t>
  </si>
  <si>
    <t>Gwaged</t>
  </si>
  <si>
    <t>Cambiar</t>
  </si>
  <si>
    <t>Aggwaser</t>
  </si>
  <si>
    <t>Araña venenosa</t>
  </si>
  <si>
    <t>Gwaggu</t>
  </si>
  <si>
    <t>Variedad de pez del río</t>
  </si>
  <si>
    <t>Gwaggwa</t>
  </si>
  <si>
    <t>Loro</t>
  </si>
  <si>
    <t xml:space="preserve">Cotorra, , , , </t>
  </si>
  <si>
    <t>Gwaggwarmagged</t>
  </si>
  <si>
    <t>Hervir</t>
  </si>
  <si>
    <t xml:space="preserve">Cocer, , , , </t>
  </si>
  <si>
    <t>Gwagonoged</t>
  </si>
  <si>
    <t>Despepitar</t>
  </si>
  <si>
    <t xml:space="preserve">Castrar, , , , </t>
  </si>
  <si>
    <t>Gwasued</t>
  </si>
  <si>
    <t>Castrar</t>
  </si>
  <si>
    <t>Gwala</t>
  </si>
  <si>
    <t>Escoba</t>
  </si>
  <si>
    <t>Gwalu</t>
  </si>
  <si>
    <t>camote</t>
  </si>
  <si>
    <t>Gwaluleged</t>
  </si>
  <si>
    <t>Nacer</t>
  </si>
  <si>
    <t xml:space="preserve">Nacimiento, , , , </t>
  </si>
  <si>
    <t>Gwallu</t>
  </si>
  <si>
    <t>Lámpara. Luz</t>
  </si>
  <si>
    <t xml:space="preserve">Candil, Farol, , , </t>
  </si>
  <si>
    <t>Gwalludii</t>
  </si>
  <si>
    <t>Querosin</t>
  </si>
  <si>
    <t>Aggwasib</t>
  </si>
  <si>
    <t>Piedra pómez</t>
  </si>
  <si>
    <t>Gwalludub</t>
  </si>
  <si>
    <t>Mecha de lámpara ocandil</t>
  </si>
  <si>
    <t>Gwalluduba</t>
  </si>
  <si>
    <t>Mecha de lámpara o candil</t>
  </si>
  <si>
    <t>Gwama</t>
  </si>
  <si>
    <t>Chachalaca</t>
  </si>
  <si>
    <t xml:space="preserve">Pava cimba, , , , </t>
  </si>
  <si>
    <t>Gwamagged</t>
  </si>
  <si>
    <t>Compactar</t>
  </si>
  <si>
    <t>Gwamudiggid</t>
  </si>
  <si>
    <t>Fornido</t>
  </si>
  <si>
    <t xml:space="preserve">Grueso, Corpulento, , , </t>
  </si>
  <si>
    <t>Gwaned</t>
  </si>
  <si>
    <t>Desgranar</t>
  </si>
  <si>
    <t xml:space="preserve">Hacer caer frutas, , , , </t>
  </si>
  <si>
    <t>Gwaregware</t>
  </si>
  <si>
    <t>Resbaloso</t>
  </si>
  <si>
    <t xml:space="preserve">Deslizadiso, , , , </t>
  </si>
  <si>
    <t>Masimasi</t>
  </si>
  <si>
    <t>Swanswan</t>
  </si>
  <si>
    <t>Gwarugwa</t>
  </si>
  <si>
    <t>Recién nacido</t>
  </si>
  <si>
    <t xml:space="preserve">Bebé, , , , </t>
  </si>
  <si>
    <t>Aggwasibu</t>
  </si>
  <si>
    <t>Gwasir</t>
  </si>
  <si>
    <t>Cocaleca gris</t>
  </si>
  <si>
    <t>Cocaleca gray</t>
  </si>
  <si>
    <t xml:space="preserve">Quitar semillas, , , , </t>
  </si>
  <si>
    <t>Gwayed</t>
  </si>
  <si>
    <t>Asustarse</t>
  </si>
  <si>
    <t xml:space="preserve">Espantarse, , , , </t>
  </si>
  <si>
    <t>Dobgued</t>
  </si>
  <si>
    <t>Gwebur</t>
  </si>
  <si>
    <t>Pueblo</t>
  </si>
  <si>
    <t xml:space="preserve">Poblado, Aldea, Comunidad, , </t>
  </si>
  <si>
    <t>Neggwebur</t>
  </si>
  <si>
    <t xml:space="preserve">poblado, Aldea, Comunidad, , </t>
  </si>
  <si>
    <t>Gwenad</t>
  </si>
  <si>
    <t>Pariente</t>
  </si>
  <si>
    <t xml:space="preserve">Familiar, hermano, Hermana, , </t>
  </si>
  <si>
    <t>Gwenaddigwar</t>
  </si>
  <si>
    <t>En hermandad</t>
  </si>
  <si>
    <t xml:space="preserve">Fraternidad, , , , </t>
  </si>
  <si>
    <t>In brotherhood</t>
  </si>
  <si>
    <t>Gwenaddigwale</t>
  </si>
  <si>
    <t>Aggwed</t>
  </si>
  <si>
    <t>Acudiente</t>
  </si>
  <si>
    <t xml:space="preserve">Acudido, , , , </t>
  </si>
  <si>
    <t>Acudient</t>
  </si>
  <si>
    <t>Gwendi</t>
  </si>
  <si>
    <t>Claro que si</t>
  </si>
  <si>
    <t xml:space="preserve">Cierto, , , , </t>
  </si>
  <si>
    <t>Of course</t>
  </si>
  <si>
    <t>Gwendina</t>
  </si>
  <si>
    <t>Claro que sí</t>
  </si>
  <si>
    <t>Gwengwen</t>
  </si>
  <si>
    <t>Algunos</t>
  </si>
  <si>
    <t>Gwengwena</t>
  </si>
  <si>
    <t>Gwensag</t>
  </si>
  <si>
    <t>Uno</t>
  </si>
  <si>
    <t xml:space="preserve">Unico, Solo, , , </t>
  </si>
  <si>
    <t>Gwensagga</t>
  </si>
  <si>
    <t>Gwigala</t>
  </si>
  <si>
    <t>Zancudo</t>
  </si>
  <si>
    <t>Gwisuid</t>
  </si>
  <si>
    <t>Abala</t>
  </si>
  <si>
    <t>Aggwi</t>
  </si>
  <si>
    <t>Hervido</t>
  </si>
  <si>
    <t xml:space="preserve">Cocinado, Cocido, , , </t>
  </si>
  <si>
    <t>Gwii</t>
  </si>
  <si>
    <t>Mosquito</t>
  </si>
  <si>
    <t xml:space="preserve">Chitra, Peine, Peinilla, , </t>
  </si>
  <si>
    <t>Gwiled</t>
  </si>
  <si>
    <t xml:space="preserve">Danzar </t>
  </si>
  <si>
    <t xml:space="preserve">Saltar, Danzar, , , </t>
  </si>
  <si>
    <t>Gwili</t>
  </si>
  <si>
    <t>Perico</t>
  </si>
  <si>
    <t>Gwiliabgangiid</t>
  </si>
  <si>
    <t>Verde</t>
  </si>
  <si>
    <t xml:space="preserve">Verdoso, , , , </t>
  </si>
  <si>
    <t>Gwiliabsargiid</t>
  </si>
  <si>
    <t xml:space="preserve">gwiligwili </t>
  </si>
  <si>
    <t>Picado</t>
  </si>
  <si>
    <t xml:space="preserve">Raspado, Lacerado, , , </t>
  </si>
  <si>
    <t>Sodsogwale</t>
  </si>
  <si>
    <t>Gwingwa</t>
  </si>
  <si>
    <t>Bala</t>
  </si>
  <si>
    <t xml:space="preserve">Plomo, Perdigón, , , </t>
  </si>
  <si>
    <t>gwingwin</t>
  </si>
  <si>
    <t>Faisán</t>
  </si>
  <si>
    <t>es una especie de ave galliforme</t>
  </si>
  <si>
    <t>Gwinmagged</t>
  </si>
  <si>
    <t>Acabarse</t>
  </si>
  <si>
    <t xml:space="preserve">Finalizar, , , , </t>
  </si>
  <si>
    <t>Aggwied</t>
  </si>
  <si>
    <t>Cavar la tierra</t>
  </si>
  <si>
    <t xml:space="preserve">Escarbar, , , , </t>
  </si>
  <si>
    <t>Gwinnigwinnid</t>
  </si>
  <si>
    <t>Travieso</t>
  </si>
  <si>
    <t xml:space="preserve">Entremetido, Indiscreto, , , </t>
  </si>
  <si>
    <t>Gwinnur</t>
  </si>
  <si>
    <t>Planta conocida como velario</t>
  </si>
  <si>
    <t>Gwirmagged</t>
  </si>
  <si>
    <t>Apisonar</t>
  </si>
  <si>
    <t>Gwised</t>
  </si>
  <si>
    <t>Cavar</t>
  </si>
  <si>
    <t xml:space="preserve">Excavar, Escarbar la tierra, , , </t>
  </si>
  <si>
    <t xml:space="preserve">Excavar, Escarbar, , , </t>
  </si>
  <si>
    <t>Gwisgued</t>
  </si>
  <si>
    <t>Pararse</t>
  </si>
  <si>
    <t xml:space="preserve">Detenerse, , , , </t>
  </si>
  <si>
    <t>Ii</t>
  </si>
  <si>
    <t>Estremecimiento</t>
  </si>
  <si>
    <t xml:space="preserve">Sacudida, , , , </t>
  </si>
  <si>
    <t>Ia</t>
  </si>
  <si>
    <t>Hermano mayor</t>
  </si>
  <si>
    <t xml:space="preserve">Dicho entre varones </t>
  </si>
  <si>
    <t>Ib</t>
  </si>
  <si>
    <t>Cosa</t>
  </si>
  <si>
    <t xml:space="preserve">Objeto, , , , </t>
  </si>
  <si>
    <t>Ibmar</t>
  </si>
  <si>
    <t>Cosas</t>
  </si>
  <si>
    <t xml:space="preserve">Objetos, , , , </t>
  </si>
  <si>
    <t>Iba</t>
  </si>
  <si>
    <t>Fiesta</t>
  </si>
  <si>
    <t xml:space="preserve">Día, Fecha, Jornada, , </t>
  </si>
  <si>
    <t>Ibagwen</t>
  </si>
  <si>
    <t>Un dia</t>
  </si>
  <si>
    <t>Ibagwena</t>
  </si>
  <si>
    <t>Un día</t>
  </si>
  <si>
    <t>Ibbaa</t>
  </si>
  <si>
    <t>Tres días</t>
  </si>
  <si>
    <t>Ibabaagwa</t>
  </si>
  <si>
    <t>Ibdibyed</t>
  </si>
  <si>
    <t>Sartén</t>
  </si>
  <si>
    <t>Ibmardibyed</t>
  </si>
  <si>
    <t>Ibdur</t>
  </si>
  <si>
    <t>Animal</t>
  </si>
  <si>
    <t xml:space="preserve">Ser irracional, , , , </t>
  </si>
  <si>
    <t>Ibdule</t>
  </si>
  <si>
    <t>Ibdula</t>
  </si>
  <si>
    <t>Aggwigued</t>
  </si>
  <si>
    <t>Estar cocido</t>
  </si>
  <si>
    <t xml:space="preserve">Hervido, , , , </t>
  </si>
  <si>
    <t>Ibdurdaggedneg</t>
  </si>
  <si>
    <t>Escuela</t>
  </si>
  <si>
    <t xml:space="preserve">Centro educativo, , , , </t>
  </si>
  <si>
    <t>School</t>
  </si>
  <si>
    <t>Ibdurdaggednega</t>
  </si>
  <si>
    <t>Ibdurwa</t>
  </si>
  <si>
    <t>Basura</t>
  </si>
  <si>
    <t xml:space="preserve">Desperdicio, Sobrante, Miga, , </t>
  </si>
  <si>
    <t>Durwa</t>
  </si>
  <si>
    <t>Ibegwa</t>
  </si>
  <si>
    <t>Albino</t>
  </si>
  <si>
    <t>Ibenu</t>
  </si>
  <si>
    <t>Niño</t>
  </si>
  <si>
    <t xml:space="preserve">Criatura, Recién nacido, , , </t>
  </si>
  <si>
    <t>Ibenua</t>
  </si>
  <si>
    <t>Ibeorgun</t>
  </si>
  <si>
    <t>Personaje de la historia guna</t>
  </si>
  <si>
    <t>Orgun</t>
  </si>
  <si>
    <t>Ibgi</t>
  </si>
  <si>
    <t>De día</t>
  </si>
  <si>
    <t xml:space="preserve">Diurno, , , , </t>
  </si>
  <si>
    <t>Agginned</t>
  </si>
  <si>
    <t>Dar quejidos</t>
  </si>
  <si>
    <t xml:space="preserve">Suspirar, Quejarse, , , </t>
  </si>
  <si>
    <t>Ibgine</t>
  </si>
  <si>
    <t>Ibgued</t>
  </si>
  <si>
    <t>Amanecer</t>
  </si>
  <si>
    <t xml:space="preserve">Madrugar, , , , </t>
  </si>
  <si>
    <t>Negibgued</t>
  </si>
  <si>
    <t>Ibigala</t>
  </si>
  <si>
    <t>Por qué</t>
  </si>
  <si>
    <t>Ibler</t>
  </si>
  <si>
    <t>Personaje de Babigala</t>
  </si>
  <si>
    <t>Ibeler</t>
  </si>
  <si>
    <t>Personaje de Babigar</t>
  </si>
  <si>
    <t>Olowaibibbiler</t>
  </si>
  <si>
    <t>Ibmardued</t>
  </si>
  <si>
    <t>Cocinar</t>
  </si>
  <si>
    <t>Ibmargulleged</t>
  </si>
  <si>
    <t>Alimento</t>
  </si>
  <si>
    <t xml:space="preserve">Lo que se puede comer, Comestible, , , </t>
  </si>
  <si>
    <t>Ibgulleged</t>
  </si>
  <si>
    <t xml:space="preserve">Comestible, , , , </t>
  </si>
  <si>
    <t>Agla</t>
  </si>
  <si>
    <t>Altillo</t>
  </si>
  <si>
    <t xml:space="preserve">Piso de arriba </t>
  </si>
  <si>
    <t>Loft</t>
  </si>
  <si>
    <t>Ibmargwallu</t>
  </si>
  <si>
    <t>Grasa</t>
  </si>
  <si>
    <t xml:space="preserve">Manteca, , , , </t>
  </si>
  <si>
    <t>Ibmaribed</t>
  </si>
  <si>
    <t xml:space="preserve">Dueño de algo </t>
  </si>
  <si>
    <t xml:space="preserve">Pudiente, , , , </t>
  </si>
  <si>
    <t>Rich</t>
  </si>
  <si>
    <t>Ibua</t>
  </si>
  <si>
    <t>Qué es</t>
  </si>
  <si>
    <t>Ibya</t>
  </si>
  <si>
    <t>Ojos</t>
  </si>
  <si>
    <t xml:space="preserve">Vista, , , , </t>
  </si>
  <si>
    <t>Eyes</t>
  </si>
  <si>
    <t>Dala</t>
  </si>
  <si>
    <t>Tienda</t>
  </si>
  <si>
    <t xml:space="preserve">Negocio, , , , </t>
  </si>
  <si>
    <t>Ibyabiired</t>
  </si>
  <si>
    <t>Bizco</t>
  </si>
  <si>
    <t xml:space="preserve">Bisojo, , , , </t>
  </si>
  <si>
    <t>Ibyanis</t>
  </si>
  <si>
    <t>Lágrimas</t>
  </si>
  <si>
    <t>Aglaed</t>
  </si>
  <si>
    <t>Caerse</t>
  </si>
  <si>
    <t xml:space="preserve">Desplomarse, Desmoronar, , , </t>
  </si>
  <si>
    <t>Ibyanisa</t>
  </si>
  <si>
    <t>Ibyasiga</t>
  </si>
  <si>
    <t>Pestañas</t>
  </si>
  <si>
    <t>Ibyasulid</t>
  </si>
  <si>
    <t>Ciego</t>
  </si>
  <si>
    <t xml:space="preserve">Invidente, , , , </t>
  </si>
  <si>
    <t>Dalasulid</t>
  </si>
  <si>
    <t>Ibyed</t>
  </si>
  <si>
    <t>Fulgor</t>
  </si>
  <si>
    <t xml:space="preserve">Destello, Resplandor, , , </t>
  </si>
  <si>
    <t>Iddagga</t>
  </si>
  <si>
    <t>Cercano</t>
  </si>
  <si>
    <t xml:space="preserve">Bastante cerca, , , , </t>
  </si>
  <si>
    <t>Iddaggagwa</t>
  </si>
  <si>
    <t>Waligga</t>
  </si>
  <si>
    <t>Iddiggigwa</t>
  </si>
  <si>
    <t>Próximo</t>
  </si>
  <si>
    <t xml:space="preserve">Cerca, , , , </t>
  </si>
  <si>
    <t>Muisgwa</t>
  </si>
  <si>
    <t>Ammuggued</t>
  </si>
  <si>
    <t xml:space="preserve">Desplomarse, , , , </t>
  </si>
  <si>
    <t>Iddired</t>
  </si>
  <si>
    <t>Romper hilo o cadena</t>
  </si>
  <si>
    <t xml:space="preserve">Hacer pausa, , , , </t>
  </si>
  <si>
    <t>Iddisig</t>
  </si>
  <si>
    <t>Un poco más allá</t>
  </si>
  <si>
    <t xml:space="preserve">Hacia allá, , , , </t>
  </si>
  <si>
    <t>Wesig</t>
  </si>
  <si>
    <t>Egesig</t>
  </si>
  <si>
    <t>Iddoaggwagwa</t>
  </si>
  <si>
    <t>Con cautela</t>
  </si>
  <si>
    <t xml:space="preserve">Con cuidado, , , , </t>
  </si>
  <si>
    <t>Binsaaggwa</t>
  </si>
  <si>
    <t>Iddoged</t>
  </si>
  <si>
    <t>Escuchar</t>
  </si>
  <si>
    <t xml:space="preserve">Oir, Sentir, Probar, Semana, </t>
  </si>
  <si>
    <t>Iddogedneg</t>
  </si>
  <si>
    <t>Casa del congreso</t>
  </si>
  <si>
    <t xml:space="preserve">Casa de reuniones, , , , </t>
  </si>
  <si>
    <t>Orgunneg</t>
  </si>
  <si>
    <t>Onmaggedneg</t>
  </si>
  <si>
    <t>Agli</t>
  </si>
  <si>
    <t>Mangle</t>
  </si>
  <si>
    <t>Ogaryagunneg</t>
  </si>
  <si>
    <t>Iddogunneg</t>
  </si>
  <si>
    <t>Idsi</t>
  </si>
  <si>
    <t>Grano</t>
  </si>
  <si>
    <t xml:space="preserve">Varicela, , , , </t>
  </si>
  <si>
    <t>Idsomagged</t>
  </si>
  <si>
    <t>Saltar</t>
  </si>
  <si>
    <t xml:space="preserve">Brincar, , , , </t>
  </si>
  <si>
    <t>Idued</t>
  </si>
  <si>
    <t>Guia</t>
  </si>
  <si>
    <t xml:space="preserve">Dirigente, , , , </t>
  </si>
  <si>
    <t>Dummad</t>
  </si>
  <si>
    <t>Guide</t>
  </si>
  <si>
    <t>Dulanied</t>
  </si>
  <si>
    <t>Adelantarse</t>
  </si>
  <si>
    <t xml:space="preserve">Ir primero, , , , </t>
  </si>
  <si>
    <t>Ied</t>
  </si>
  <si>
    <t>Mujer especialista</t>
  </si>
  <si>
    <t xml:space="preserve">Ceremonia de corte de pelo, , , , </t>
  </si>
  <si>
    <t>Female specialist</t>
  </si>
  <si>
    <t>Aglidug</t>
  </si>
  <si>
    <t>guabina de manglar</t>
  </si>
  <si>
    <t>Ieged</t>
  </si>
  <si>
    <t>Olvidar</t>
  </si>
  <si>
    <t xml:space="preserve">Dejar de lado, Borrar de la memoria, , , </t>
  </si>
  <si>
    <t>igar</t>
  </si>
  <si>
    <t>Vía</t>
  </si>
  <si>
    <t xml:space="preserve">Calle, tratado, , , </t>
  </si>
  <si>
    <t>Igarduled</t>
  </si>
  <si>
    <t>Iggo</t>
  </si>
  <si>
    <t>Aguja</t>
  </si>
  <si>
    <t xml:space="preserve">Espina, púa, aguijón, , </t>
  </si>
  <si>
    <t>Iggobarmayed</t>
  </si>
  <si>
    <t>Dedal</t>
  </si>
  <si>
    <t>Iggosorbarmayed</t>
  </si>
  <si>
    <t>Iggodurba</t>
  </si>
  <si>
    <t>Pixbae</t>
  </si>
  <si>
    <t>Iggosan</t>
  </si>
  <si>
    <t>Nalub</t>
  </si>
  <si>
    <t>Iggu</t>
  </si>
  <si>
    <t>Pez Róbalo blanco</t>
  </si>
  <si>
    <t>Negabar</t>
  </si>
  <si>
    <t>Centro</t>
  </si>
  <si>
    <t>Agligan</t>
  </si>
  <si>
    <t>Manglar</t>
  </si>
  <si>
    <t>iggued</t>
  </si>
  <si>
    <t xml:space="preserve">Ausentarse, , , , </t>
  </si>
  <si>
    <t>Igi</t>
  </si>
  <si>
    <t>Cómo</t>
  </si>
  <si>
    <t xml:space="preserve">Qué, , , , </t>
  </si>
  <si>
    <t>Igli</t>
  </si>
  <si>
    <t>Hormiga arriera</t>
  </si>
  <si>
    <t>Iglisaa</t>
  </si>
  <si>
    <t>Estiércol de arriera</t>
  </si>
  <si>
    <t>Igsiduddu</t>
  </si>
  <si>
    <t>Rosa</t>
  </si>
  <si>
    <t>Igsiwala</t>
  </si>
  <si>
    <t>Cedro espino</t>
  </si>
  <si>
    <t>Igubwar</t>
  </si>
  <si>
    <t>Arbol de sal</t>
  </si>
  <si>
    <t>Igubwala</t>
  </si>
  <si>
    <t>Baluwar</t>
  </si>
  <si>
    <t>Baluwala</t>
  </si>
  <si>
    <t>aglisug</t>
  </si>
  <si>
    <t>Cangrejo de manglar</t>
  </si>
  <si>
    <t>Igwa</t>
  </si>
  <si>
    <t>Almendra de monte</t>
  </si>
  <si>
    <t>Bugsu</t>
  </si>
  <si>
    <t>Hermano de Ibeler</t>
  </si>
  <si>
    <t>Bugasui</t>
  </si>
  <si>
    <t xml:space="preserve">Es mismo Bugsu, , , , </t>
  </si>
  <si>
    <t>Igwawar</t>
  </si>
  <si>
    <t>Almendor de monte</t>
  </si>
  <si>
    <t>Igwawala</t>
  </si>
  <si>
    <t>Almendro de monite</t>
  </si>
  <si>
    <t>Ila</t>
  </si>
  <si>
    <t>Palma jira</t>
  </si>
  <si>
    <t>Ilagwen</t>
  </si>
  <si>
    <t>Una vez</t>
  </si>
  <si>
    <t xml:space="preserve">De una vez, , , , </t>
  </si>
  <si>
    <t>Ile</t>
  </si>
  <si>
    <t>Fila</t>
  </si>
  <si>
    <t xml:space="preserve">Orden, hilera, , , </t>
  </si>
  <si>
    <t>Ileggwa</t>
  </si>
  <si>
    <t>Aglisuga</t>
  </si>
  <si>
    <t>Cangrejo manglar</t>
  </si>
  <si>
    <t>Ileanbaggued</t>
  </si>
  <si>
    <t>Formar fila</t>
  </si>
  <si>
    <t>Formarse en fila</t>
  </si>
  <si>
    <t xml:space="preserve">Sentarse en orden, , , , </t>
  </si>
  <si>
    <t>Ilemagged</t>
  </si>
  <si>
    <t>Organizar</t>
  </si>
  <si>
    <t xml:space="preserve">ordenar, sistematizar, , , </t>
  </si>
  <si>
    <t>Ilesgagga</t>
  </si>
  <si>
    <t>Lengua inglesa</t>
  </si>
  <si>
    <t>Ilesgaya</t>
  </si>
  <si>
    <t>Ima</t>
  </si>
  <si>
    <t>Qué asco</t>
  </si>
  <si>
    <t xml:space="preserve">Qué repugnante, , , , </t>
  </si>
  <si>
    <t>Imagged</t>
  </si>
  <si>
    <t>Hacer</t>
  </si>
  <si>
    <t xml:space="preserve">Realizar, emprender, ejecutarmp3, , </t>
  </si>
  <si>
    <t>Saed</t>
  </si>
  <si>
    <t xml:space="preserve">Realizar, , , , </t>
  </si>
  <si>
    <t>Imbaba</t>
  </si>
  <si>
    <t>En medio de</t>
  </si>
  <si>
    <t xml:space="preserve">Entre, , , , </t>
  </si>
  <si>
    <t>Imbaggwa</t>
  </si>
  <si>
    <t>A veces</t>
  </si>
  <si>
    <t xml:space="preserve">De vez en cuando, , , , </t>
  </si>
  <si>
    <t>Sugagli</t>
  </si>
  <si>
    <t>Cangrejo manglero</t>
  </si>
  <si>
    <t>Imbaggwagwa</t>
  </si>
  <si>
    <t>Immerba</t>
  </si>
  <si>
    <t>Harto</t>
  </si>
  <si>
    <t xml:space="preserve">Lleno, , , , </t>
  </si>
  <si>
    <t>Immerege</t>
  </si>
  <si>
    <t>Immied</t>
  </si>
  <si>
    <t xml:space="preserve">Cortar, , , , </t>
  </si>
  <si>
    <t>Imued</t>
  </si>
  <si>
    <t>Arar</t>
  </si>
  <si>
    <t xml:space="preserve">Labrar, escarbar, remover, , </t>
  </si>
  <si>
    <t>Ina</t>
  </si>
  <si>
    <t>Medicina</t>
  </si>
  <si>
    <t xml:space="preserve">Planta medicinal, , , , </t>
  </si>
  <si>
    <t>Inaduled</t>
  </si>
  <si>
    <t>Conocedor de plantas medicinales</t>
  </si>
  <si>
    <t>Inanii</t>
  </si>
  <si>
    <t>Noviembre</t>
  </si>
  <si>
    <t>Inanusu</t>
  </si>
  <si>
    <t>Brebaje</t>
  </si>
  <si>
    <t xml:space="preserve">Veneno, pócima, , , </t>
  </si>
  <si>
    <t>Inasili</t>
  </si>
  <si>
    <t>Raicilla</t>
  </si>
  <si>
    <t xml:space="preserve">Planta, , , , </t>
  </si>
  <si>
    <t>Sugwedar</t>
  </si>
  <si>
    <t xml:space="preserve">Cangrejo de manglar </t>
  </si>
  <si>
    <t>Inaur</t>
  </si>
  <si>
    <t>Cayuco para baños medicinales</t>
  </si>
  <si>
    <t>Inaulu</t>
  </si>
  <si>
    <t>indagged</t>
  </si>
  <si>
    <t>Dejar</t>
  </si>
  <si>
    <t xml:space="preserve">Soltar, Separarse de, , , </t>
  </si>
  <si>
    <t>Ingua</t>
  </si>
  <si>
    <t>Cuándo</t>
  </si>
  <si>
    <t>Sana</t>
  </si>
  <si>
    <t>Inna</t>
  </si>
  <si>
    <t>Innagaibid</t>
  </si>
  <si>
    <t>Jugo fermentado de caña</t>
  </si>
  <si>
    <t>Cane fermented juice</t>
  </si>
  <si>
    <t>Gaibir</t>
  </si>
  <si>
    <t>Refresco de maíz</t>
  </si>
  <si>
    <t>Aglued</t>
  </si>
  <si>
    <t>Torcer</t>
  </si>
  <si>
    <t xml:space="preserve">inclinar, arquearse, , , </t>
  </si>
  <si>
    <t>Innaneg</t>
  </si>
  <si>
    <t>Casa de ceremonias</t>
  </si>
  <si>
    <t xml:space="preserve">Casa de chicha, , , , </t>
  </si>
  <si>
    <t>Ceremony house</t>
  </si>
  <si>
    <t>innanega</t>
  </si>
  <si>
    <t>Casa de ceremonia</t>
  </si>
  <si>
    <t xml:space="preserve">casa de chicha, , , , </t>
  </si>
  <si>
    <t>Gaibirneg</t>
  </si>
  <si>
    <t>Gaibirnega</t>
  </si>
  <si>
    <t>Innaosi</t>
  </si>
  <si>
    <t>Jugo de maíz</t>
  </si>
  <si>
    <t xml:space="preserve"> Refresco o vino </t>
  </si>
  <si>
    <t>Innasuid</t>
  </si>
  <si>
    <t>Ceremonia de corte de pelo</t>
  </si>
  <si>
    <t>Inniggigwa</t>
  </si>
  <si>
    <t xml:space="preserve">recto </t>
  </si>
  <si>
    <t xml:space="preserve">andar correctamente </t>
  </si>
  <si>
    <t>Odiggigwa</t>
  </si>
  <si>
    <t>Recto</t>
  </si>
  <si>
    <t>rectilineo</t>
  </si>
  <si>
    <t>Odidiggi</t>
  </si>
  <si>
    <t>en hilera</t>
  </si>
  <si>
    <t xml:space="preserve">en hilera </t>
  </si>
  <si>
    <t>Inniggigwad</t>
  </si>
  <si>
    <t>Verdad</t>
  </si>
  <si>
    <t xml:space="preserve">Es cierto, , , , </t>
  </si>
  <si>
    <t>Agneba</t>
  </si>
  <si>
    <t>En algún lugar</t>
  </si>
  <si>
    <t xml:space="preserve">Algún sitio, , , , </t>
  </si>
  <si>
    <t>Nabiri</t>
  </si>
  <si>
    <t xml:space="preserve">Es verdad, Es cierto, , , </t>
  </si>
  <si>
    <t>Nabbiragwad</t>
  </si>
  <si>
    <t>Inniggii</t>
  </si>
  <si>
    <t xml:space="preserve">Línea recta, Imparcial, , , </t>
  </si>
  <si>
    <t>inniggi</t>
  </si>
  <si>
    <t xml:space="preserve">Línea recta, , , , </t>
  </si>
  <si>
    <t>Insaed</t>
  </si>
  <si>
    <t>Recordar</t>
  </si>
  <si>
    <t xml:space="preserve">Acordarse, Conmemorar, , , </t>
  </si>
  <si>
    <t>Ebinsaed</t>
  </si>
  <si>
    <t xml:space="preserve">acordarse, Conmemorar, , , </t>
  </si>
  <si>
    <t>Inse</t>
  </si>
  <si>
    <t>Primero</t>
  </si>
  <si>
    <t xml:space="preserve">Adelante, , , , </t>
  </si>
  <si>
    <t>Inwa</t>
  </si>
  <si>
    <t>Frijol</t>
  </si>
  <si>
    <t xml:space="preserve">Alubia, Judía, Habicchuela, , </t>
  </si>
  <si>
    <t>Ingwa</t>
  </si>
  <si>
    <t xml:space="preserve">Alubia, Judía, Habichuela, , </t>
  </si>
  <si>
    <t>Ior</t>
  </si>
  <si>
    <t>Hermana mayor</t>
  </si>
  <si>
    <t xml:space="preserve">De mujer a mujer, , , , </t>
  </si>
  <si>
    <t>Agnied</t>
  </si>
  <si>
    <t>Salir</t>
  </si>
  <si>
    <t xml:space="preserve">Brotar, Germinar, Sugir, , , </t>
  </si>
  <si>
    <t>Iolo</t>
  </si>
  <si>
    <t>Irgwensur</t>
  </si>
  <si>
    <t>Fácil</t>
  </si>
  <si>
    <t xml:space="preserve">Cómodo, , , , </t>
  </si>
  <si>
    <t>irgwensuli</t>
  </si>
  <si>
    <t>Isbe</t>
  </si>
  <si>
    <t>Vidrio</t>
  </si>
  <si>
    <t xml:space="preserve">Cristal, Espejo, , , </t>
  </si>
  <si>
    <t>Isbeua</t>
  </si>
  <si>
    <t>Pez casabe</t>
  </si>
  <si>
    <t>Isbeurdale</t>
  </si>
  <si>
    <t>Anteojos</t>
  </si>
  <si>
    <t xml:space="preserve">Lentes, , , , </t>
  </si>
  <si>
    <t>Isdarad</t>
  </si>
  <si>
    <t>Odioso</t>
  </si>
  <si>
    <t xml:space="preserve">Aborrecido, Abominable, Detestable, , </t>
  </si>
  <si>
    <t>Isdardagged</t>
  </si>
  <si>
    <t>Odiar</t>
  </si>
  <si>
    <t xml:space="preserve">Repudiar, Aborrecer, , , </t>
  </si>
  <si>
    <t>Saedagged</t>
  </si>
  <si>
    <t xml:space="preserve">Repudiar, aborrecer, , , </t>
  </si>
  <si>
    <t>Ise</t>
  </si>
  <si>
    <t>No permitido</t>
  </si>
  <si>
    <t xml:space="preserve">No debe profanarse, , , , </t>
  </si>
  <si>
    <t>Agnired</t>
  </si>
  <si>
    <t>Echarse a un lado</t>
  </si>
  <si>
    <t xml:space="preserve">Quitarse, , , , </t>
  </si>
  <si>
    <t>Isgana</t>
  </si>
  <si>
    <t>Malsano</t>
  </si>
  <si>
    <t xml:space="preserve">Inservible, Maléfico, , , </t>
  </si>
  <si>
    <t>Isgar</t>
  </si>
  <si>
    <t>Borriguero</t>
  </si>
  <si>
    <t xml:space="preserve">Especie de iguana pequeña, , , , </t>
  </si>
  <si>
    <t>Isgin</t>
  </si>
  <si>
    <t>Variedad de lagarto</t>
  </si>
  <si>
    <t>Isgued</t>
  </si>
  <si>
    <t>Malearse</t>
  </si>
  <si>
    <t xml:space="preserve">Corromperse, , , , </t>
  </si>
  <si>
    <t>Isgwir</t>
  </si>
  <si>
    <t>Cucaracha</t>
  </si>
  <si>
    <t>Ismied</t>
  </si>
  <si>
    <t>Estornudar</t>
  </si>
  <si>
    <t>Asmied</t>
  </si>
  <si>
    <t>Issaggwa</t>
  </si>
  <si>
    <t>Malo</t>
  </si>
  <si>
    <t xml:space="preserve">No creiible, , , , </t>
  </si>
  <si>
    <t>Issaggwagwa</t>
  </si>
  <si>
    <t xml:space="preserve">Dañado, Insalubre, , , </t>
  </si>
  <si>
    <t>Sunnasuli</t>
  </si>
  <si>
    <t>Agsu</t>
  </si>
  <si>
    <t>Cuñado</t>
  </si>
  <si>
    <t xml:space="preserve">Referido por una mujer, , , , </t>
  </si>
  <si>
    <t>Issee</t>
  </si>
  <si>
    <t>Poco</t>
  </si>
  <si>
    <t xml:space="preserve">Escaso, Exiguo, Insuficiente, , </t>
  </si>
  <si>
    <t>Issegwa</t>
  </si>
  <si>
    <t xml:space="preserve">Exiguo, Insuficiente, , , </t>
  </si>
  <si>
    <t>Issesur</t>
  </si>
  <si>
    <t>Montón</t>
  </si>
  <si>
    <t>Issesuli</t>
  </si>
  <si>
    <t>Issoged</t>
  </si>
  <si>
    <t>Dañar</t>
  </si>
  <si>
    <t xml:space="preserve">Descomponer, , , , </t>
  </si>
  <si>
    <t>Isoged</t>
  </si>
  <si>
    <t>Perjudicar</t>
  </si>
  <si>
    <t xml:space="preserve">Estropear, , , , </t>
  </si>
  <si>
    <t>Madared</t>
  </si>
  <si>
    <t>Ancho</t>
  </si>
  <si>
    <t xml:space="preserve">Plano, , , , </t>
  </si>
  <si>
    <t>Madareged</t>
  </si>
  <si>
    <t>Maddadumgued</t>
  </si>
  <si>
    <t>Anchura</t>
  </si>
  <si>
    <t xml:space="preserve">Extensión, Amplitud, , , </t>
  </si>
  <si>
    <t>Maddugwa</t>
  </si>
  <si>
    <t>Bajo</t>
  </si>
  <si>
    <t>Negabala</t>
  </si>
  <si>
    <t>Por la mitad</t>
  </si>
  <si>
    <t>Agu</t>
  </si>
  <si>
    <t>Cebolla</t>
  </si>
  <si>
    <t>Madduggwa</t>
  </si>
  <si>
    <t>Pequeño</t>
  </si>
  <si>
    <t>Maddumagged</t>
  </si>
  <si>
    <t>Remendar</t>
  </si>
  <si>
    <t xml:space="preserve">Zurcir, Componer un vestido, , , </t>
  </si>
  <si>
    <t>Maddusur</t>
  </si>
  <si>
    <t>Alto</t>
  </si>
  <si>
    <t xml:space="preserve">No bajo, , , , </t>
  </si>
  <si>
    <t>Maddusuli</t>
  </si>
  <si>
    <t>Madu</t>
  </si>
  <si>
    <t>Pan</t>
  </si>
  <si>
    <t>Madubisgi</t>
  </si>
  <si>
    <t>Galleta</t>
  </si>
  <si>
    <t>Madubur</t>
  </si>
  <si>
    <t>Harina</t>
  </si>
  <si>
    <t xml:space="preserve">Almidón, , , , </t>
  </si>
  <si>
    <t>Madudibyaled</t>
  </si>
  <si>
    <t>Hojaldre</t>
  </si>
  <si>
    <t xml:space="preserve">Harina frita, , , , </t>
  </si>
  <si>
    <t>Maduina</t>
  </si>
  <si>
    <t>Levadura</t>
  </si>
  <si>
    <t>Madumadu</t>
  </si>
  <si>
    <t>Urticaria</t>
  </si>
  <si>
    <t xml:space="preserve">Irritación, , , , </t>
  </si>
  <si>
    <t>Ai</t>
  </si>
  <si>
    <t>Amigo</t>
  </si>
  <si>
    <t xml:space="preserve">Compañero, Conocido, Aliado, , </t>
  </si>
  <si>
    <t>Madun</t>
  </si>
  <si>
    <t>Plátano o guineo maduro</t>
  </si>
  <si>
    <t xml:space="preserve">Crema de plátano, , , , </t>
  </si>
  <si>
    <t>Madunmadu</t>
  </si>
  <si>
    <t>Pan hecho de plátano maduro</t>
  </si>
  <si>
    <t>Maduolo</t>
  </si>
  <si>
    <t>Pan de máiz redondo</t>
  </si>
  <si>
    <t xml:space="preserve">Tortilla de maíz, , , , </t>
  </si>
  <si>
    <t>Madusobed</t>
  </si>
  <si>
    <t>Panadero</t>
  </si>
  <si>
    <t>Madusobedneg</t>
  </si>
  <si>
    <t>Panadería</t>
  </si>
  <si>
    <t>Maduuggedneg</t>
  </si>
  <si>
    <t>Maduneg</t>
  </si>
  <si>
    <t>Maduwala</t>
  </si>
  <si>
    <t>Pan de maíz alargado y asado</t>
  </si>
  <si>
    <t xml:space="preserve">Elongated and grilled cornbread </t>
  </si>
  <si>
    <t>Maed</t>
  </si>
  <si>
    <t>Tomar alimento semisólido</t>
  </si>
  <si>
    <t xml:space="preserve">Sopa, , , , </t>
  </si>
  <si>
    <t>Magad</t>
  </si>
  <si>
    <t>Claro</t>
  </si>
  <si>
    <t xml:space="preserve">Horizonte, Despejado, Mar abierto, , </t>
  </si>
  <si>
    <t>Aya</t>
  </si>
  <si>
    <t xml:space="preserve">Compañero, , , , </t>
  </si>
  <si>
    <t>Magabba</t>
  </si>
  <si>
    <t>Ma afuera</t>
  </si>
  <si>
    <t xml:space="preserve">Lejos de la costa, , , , </t>
  </si>
  <si>
    <t>Magaddiba</t>
  </si>
  <si>
    <t>Mar afuera</t>
  </si>
  <si>
    <t>Magaddabu</t>
  </si>
  <si>
    <t>Pez Barracuda</t>
  </si>
  <si>
    <t>Dabu</t>
  </si>
  <si>
    <t>Pez barracuda</t>
  </si>
  <si>
    <t>Magasdagged</t>
  </si>
  <si>
    <t>Orinar</t>
  </si>
  <si>
    <t>Magaddagged</t>
  </si>
  <si>
    <t>Winnaed</t>
  </si>
  <si>
    <t>Mageb</t>
  </si>
  <si>
    <t>Colorante rojo de plantas</t>
  </si>
  <si>
    <t xml:space="preserve">Uso ceremonial, , , , </t>
  </si>
  <si>
    <t>Maged</t>
  </si>
  <si>
    <t>Pintar</t>
  </si>
  <si>
    <t xml:space="preserve">Colorear, , , , </t>
  </si>
  <si>
    <t>Maggi</t>
  </si>
  <si>
    <t>Crudo</t>
  </si>
  <si>
    <t>Aigwale</t>
  </si>
  <si>
    <t>Amistad</t>
  </si>
  <si>
    <t xml:space="preserve">Amistoso, , , , </t>
  </si>
  <si>
    <t>Maggimaggi</t>
  </si>
  <si>
    <t>Medio crudo</t>
  </si>
  <si>
    <t>Maggu</t>
  </si>
  <si>
    <t>Espuma</t>
  </si>
  <si>
    <t xml:space="preserve">Burbujas, , , , </t>
  </si>
  <si>
    <t>Magiddoged</t>
  </si>
  <si>
    <t>Entender</t>
  </si>
  <si>
    <t xml:space="preserve">Comprender, , , , </t>
  </si>
  <si>
    <t>Magumagu</t>
  </si>
  <si>
    <t>Algo con manchas blanquesinas</t>
  </si>
  <si>
    <t>Mai</t>
  </si>
  <si>
    <t>Acostado. Jornalero</t>
  </si>
  <si>
    <t xml:space="preserve">Empleado, Verbo de acostar </t>
  </si>
  <si>
    <t>Employee, Verb of lay down</t>
  </si>
  <si>
    <t>Mali</t>
  </si>
  <si>
    <t>Pie</t>
  </si>
  <si>
    <t xml:space="preserve">Pata, Soporte, Raíz, , </t>
  </si>
  <si>
    <t>Nag</t>
  </si>
  <si>
    <t xml:space="preserve">Pata, , , , </t>
  </si>
  <si>
    <t>Naga</t>
  </si>
  <si>
    <t>Mama</t>
  </si>
  <si>
    <t>Yuca</t>
  </si>
  <si>
    <t xml:space="preserve">Mandioca, Ubre, Teta, Seno, </t>
  </si>
  <si>
    <t>Mammar</t>
  </si>
  <si>
    <t xml:space="preserve">arbol de matal palo o higuerote </t>
  </si>
  <si>
    <t xml:space="preserve">Arbol, , , , </t>
  </si>
  <si>
    <t>Ayagwale</t>
  </si>
  <si>
    <t>Mammi</t>
  </si>
  <si>
    <t>Mamey</t>
  </si>
  <si>
    <t>Mamnued</t>
  </si>
  <si>
    <t>Mamar</t>
  </si>
  <si>
    <t xml:space="preserve">Lactarse, , , , </t>
  </si>
  <si>
    <t>Nued</t>
  </si>
  <si>
    <t>Mandiburwa</t>
  </si>
  <si>
    <t>Viento del oeste</t>
  </si>
  <si>
    <t>Mani</t>
  </si>
  <si>
    <t>Dinero</t>
  </si>
  <si>
    <t xml:space="preserve">Plata, , , , </t>
  </si>
  <si>
    <t>Manibibbigwad</t>
  </si>
  <si>
    <t>Barato</t>
  </si>
  <si>
    <t xml:space="preserve">Económico, Módico, , , </t>
  </si>
  <si>
    <t>Manisibu</t>
  </si>
  <si>
    <t>Huevo de gallina</t>
  </si>
  <si>
    <t>Nuusaa</t>
  </si>
  <si>
    <t>Ganniraggwa</t>
  </si>
  <si>
    <t>Mar</t>
  </si>
  <si>
    <t>Rayo</t>
  </si>
  <si>
    <t xml:space="preserve">Replámpago, , , , </t>
  </si>
  <si>
    <t>Aileged</t>
  </si>
  <si>
    <t>Amistarse</t>
  </si>
  <si>
    <t xml:space="preserve">Hacer amigos, , , , </t>
  </si>
  <si>
    <t>Mala</t>
  </si>
  <si>
    <t xml:space="preserve">Relampago, , , , </t>
  </si>
  <si>
    <t>Mardo</t>
  </si>
  <si>
    <t>Martillo</t>
  </si>
  <si>
    <t>Mared</t>
  </si>
  <si>
    <t>Romper</t>
  </si>
  <si>
    <t xml:space="preserve">Gramentar, partir, , , </t>
  </si>
  <si>
    <t>Margoled</t>
  </si>
  <si>
    <t>Tronar</t>
  </si>
  <si>
    <t xml:space="preserve">Trueno, , , , </t>
  </si>
  <si>
    <t>Marmai</t>
  </si>
  <si>
    <t>Resquebrajarse</t>
  </si>
  <si>
    <t xml:space="preserve">Agrientándose, , , , </t>
  </si>
  <si>
    <t>Crack</t>
  </si>
  <si>
    <t>Marya</t>
  </si>
  <si>
    <t xml:space="preserve">Guama o guaba </t>
  </si>
  <si>
    <t>planta nativa</t>
  </si>
  <si>
    <t>Masar</t>
  </si>
  <si>
    <t>Caña blanca</t>
  </si>
  <si>
    <t>Masarigar</t>
  </si>
  <si>
    <t>Tratado de guia después de la muerte</t>
  </si>
  <si>
    <t>Masarnagbe</t>
  </si>
  <si>
    <t>Serpiente coral</t>
  </si>
  <si>
    <t>Coral snake</t>
  </si>
  <si>
    <t>Masarnii</t>
  </si>
  <si>
    <t>Junio</t>
  </si>
  <si>
    <t>Ayaleged</t>
  </si>
  <si>
    <t>Masarwar</t>
  </si>
  <si>
    <t>Masdibyaled</t>
  </si>
  <si>
    <t>Fritura</t>
  </si>
  <si>
    <t xml:space="preserve">Plátano frito, Patacón, , , </t>
  </si>
  <si>
    <t>Masdued</t>
  </si>
  <si>
    <t xml:space="preserve">Cocinero, , , , </t>
  </si>
  <si>
    <t>Masgan</t>
  </si>
  <si>
    <t>Platanal</t>
  </si>
  <si>
    <t>Masge</t>
  </si>
  <si>
    <t>Tenaza de asar plátanos</t>
  </si>
  <si>
    <t>Masgunned</t>
  </si>
  <si>
    <t>Comer</t>
  </si>
  <si>
    <t xml:space="preserve">Almorzar, Cenar, , , </t>
  </si>
  <si>
    <t>Masi</t>
  </si>
  <si>
    <t>Comida</t>
  </si>
  <si>
    <t xml:space="preserve">Guineo, Alimento, , , </t>
  </si>
  <si>
    <t>Aimagged</t>
  </si>
  <si>
    <t>Picazón</t>
  </si>
  <si>
    <t xml:space="preserve">Sarpullido, Comezón, , , </t>
  </si>
  <si>
    <t>Masmuu</t>
  </si>
  <si>
    <t>Cepa deguineo o Plátano</t>
  </si>
  <si>
    <t>Masolliggwa</t>
  </si>
  <si>
    <t>Sopa espesa</t>
  </si>
  <si>
    <t>Massabbin</t>
  </si>
  <si>
    <t>Muchacho</t>
  </si>
  <si>
    <t xml:space="preserve">Adolescente, , , , </t>
  </si>
  <si>
    <t>Massadde</t>
  </si>
  <si>
    <t>Plátano o guineo asado</t>
  </si>
  <si>
    <t>Massered</t>
  </si>
  <si>
    <t xml:space="preserve">Varón o anciano </t>
  </si>
  <si>
    <t xml:space="preserve">viejo </t>
  </si>
  <si>
    <t>Massi</t>
  </si>
  <si>
    <t>Hijo</t>
  </si>
  <si>
    <t xml:space="preserve">Joven, , , , </t>
  </si>
  <si>
    <t>Massibibbi</t>
  </si>
  <si>
    <t>Chiquillo</t>
  </si>
  <si>
    <t xml:space="preserve">muchacho, , , , </t>
  </si>
  <si>
    <t>Massigwa</t>
  </si>
  <si>
    <t>Adolescente</t>
  </si>
  <si>
    <t>Massunnad</t>
  </si>
  <si>
    <t>Plátano</t>
  </si>
  <si>
    <t>Medde</t>
  </si>
  <si>
    <t>Tinaja</t>
  </si>
  <si>
    <t>De verbo tirar</t>
  </si>
  <si>
    <t>Of verb to throw</t>
  </si>
  <si>
    <t>Uggaaimagged</t>
  </si>
  <si>
    <t xml:space="preserve">Comezón, Sarpullido, , , </t>
  </si>
  <si>
    <t>Medgo</t>
  </si>
  <si>
    <t>Pedazo de tinaja</t>
  </si>
  <si>
    <t>Meddegoa</t>
  </si>
  <si>
    <t>Meged</t>
  </si>
  <si>
    <t>Acostarse</t>
  </si>
  <si>
    <t xml:space="preserve">Extenderse, Recostarse, , , </t>
  </si>
  <si>
    <t>Melu</t>
  </si>
  <si>
    <t>Cuántos</t>
  </si>
  <si>
    <t>Bigwa</t>
  </si>
  <si>
    <t>Bule melu</t>
  </si>
  <si>
    <t>Cuántos?</t>
  </si>
  <si>
    <t>Melubaa</t>
  </si>
  <si>
    <t>Suficiente</t>
  </si>
  <si>
    <t xml:space="preserve">Bastante, Considerable, , , </t>
  </si>
  <si>
    <t>Unni</t>
  </si>
  <si>
    <t>Unnidba</t>
  </si>
  <si>
    <t>Unniddiba</t>
  </si>
  <si>
    <t>Aisabed</t>
  </si>
  <si>
    <t>Viruela</t>
  </si>
  <si>
    <t xml:space="preserve">Amigo muy íntimo o íntima, , , , </t>
  </si>
  <si>
    <t>Memmed</t>
  </si>
  <si>
    <t>Coa</t>
  </si>
  <si>
    <t>Memmermagged</t>
  </si>
  <si>
    <t>Ondear</t>
  </si>
  <si>
    <t>Mer</t>
  </si>
  <si>
    <t>No</t>
  </si>
  <si>
    <t xml:space="preserve">Negación, , , , </t>
  </si>
  <si>
    <t>Melle</t>
  </si>
  <si>
    <t>Mergi</t>
  </si>
  <si>
    <t>Estadounidense</t>
  </si>
  <si>
    <t xml:space="preserve">Estadounidense, , , , </t>
  </si>
  <si>
    <t>Mergineg</t>
  </si>
  <si>
    <t>Estados Unidos</t>
  </si>
  <si>
    <t xml:space="preserve">Estados Unidos, , , , </t>
  </si>
  <si>
    <t>Mese</t>
  </si>
  <si>
    <t>Mesa</t>
  </si>
  <si>
    <t xml:space="preserve">Escritorio </t>
  </si>
  <si>
    <t>Mesed</t>
  </si>
  <si>
    <t>Acostar</t>
  </si>
  <si>
    <t xml:space="preserve">Recostar, Colocar, , , </t>
  </si>
  <si>
    <t>Miamagged</t>
  </si>
  <si>
    <t>Buscar</t>
  </si>
  <si>
    <t xml:space="preserve">Hurgar, Indagar, Escrutar, , </t>
  </si>
  <si>
    <t>Miamia</t>
  </si>
  <si>
    <t>Mirar</t>
  </si>
  <si>
    <t>Mirar de un lado a otro</t>
  </si>
  <si>
    <t>Look from side to side</t>
  </si>
  <si>
    <t>Abargi</t>
  </si>
  <si>
    <t>En la mitad</t>
  </si>
  <si>
    <t>Ali</t>
  </si>
  <si>
    <t>apretado</t>
  </si>
  <si>
    <t xml:space="preserve">No cabe, , , , </t>
  </si>
  <si>
    <t>Mied</t>
  </si>
  <si>
    <t>Botar</t>
  </si>
  <si>
    <t xml:space="preserve">Tirar, Lanzar, , , </t>
  </si>
  <si>
    <t>Migu</t>
  </si>
  <si>
    <t xml:space="preserve">Tetilla </t>
  </si>
  <si>
    <t>Mima</t>
  </si>
  <si>
    <t>Lima</t>
  </si>
  <si>
    <t>Mimmi</t>
  </si>
  <si>
    <t>Hijito</t>
  </si>
  <si>
    <t xml:space="preserve">Hijita, Bebé, , , </t>
  </si>
  <si>
    <t>Mir</t>
  </si>
  <si>
    <t>Sábalo</t>
  </si>
  <si>
    <t>Mila</t>
  </si>
  <si>
    <t>Mirwa</t>
  </si>
  <si>
    <t>Bilis</t>
  </si>
  <si>
    <t>Misi</t>
  </si>
  <si>
    <t>Gato</t>
  </si>
  <si>
    <t xml:space="preserve">Felino, , , , </t>
  </si>
  <si>
    <t>Mo</t>
  </si>
  <si>
    <t>También</t>
  </si>
  <si>
    <t>Alilla</t>
  </si>
  <si>
    <t>Apretado</t>
  </si>
  <si>
    <t xml:space="preserve">Ceñido, , , , </t>
  </si>
  <si>
    <t>Moga</t>
  </si>
  <si>
    <t>Moe</t>
  </si>
  <si>
    <t>Zapallo</t>
  </si>
  <si>
    <t>Moed</t>
  </si>
  <si>
    <t>Llegar</t>
  </si>
  <si>
    <t xml:space="preserve">Arrimarse, Lograr, Vover a unir, , </t>
  </si>
  <si>
    <t>Warmagged</t>
  </si>
  <si>
    <t xml:space="preserve">Arrimarse, , , , </t>
  </si>
  <si>
    <t>Mogir</t>
  </si>
  <si>
    <t>Nube</t>
  </si>
  <si>
    <t xml:space="preserve">Nubarrón, , , , </t>
  </si>
  <si>
    <t>Moli</t>
  </si>
  <si>
    <t>tapir</t>
  </si>
  <si>
    <t xml:space="preserve">Caballo, Vaca, , , </t>
  </si>
  <si>
    <t>Molidub</t>
  </si>
  <si>
    <t xml:space="preserve">correa </t>
  </si>
  <si>
    <t xml:space="preserve">correa de cuero </t>
  </si>
  <si>
    <t>Moliduba</t>
  </si>
  <si>
    <t>Correa</t>
  </si>
  <si>
    <t>belt</t>
  </si>
  <si>
    <t>Molulu</t>
  </si>
  <si>
    <t>Pez cofre</t>
  </si>
  <si>
    <t xml:space="preserve">pez cofre </t>
  </si>
  <si>
    <t>Mommogwa</t>
  </si>
  <si>
    <t>Débil</t>
  </si>
  <si>
    <t xml:space="preserve"> delicado</t>
  </si>
  <si>
    <t>Alillagwa</t>
  </si>
  <si>
    <t>Nollogwa</t>
  </si>
  <si>
    <t xml:space="preserve">Adormilado, , , , </t>
  </si>
  <si>
    <t>Mommor</t>
  </si>
  <si>
    <t>Mariposa</t>
  </si>
  <si>
    <t xml:space="preserve">Polilla, Palomilla, , , </t>
  </si>
  <si>
    <t>Sussua</t>
  </si>
  <si>
    <t>Mommormagged</t>
  </si>
  <si>
    <t xml:space="preserve">Agitar las alas </t>
  </si>
  <si>
    <t>Mor</t>
  </si>
  <si>
    <t>Atuendo</t>
  </si>
  <si>
    <t xml:space="preserve">Ropa, Vestido, Blusa de mujer, , </t>
  </si>
  <si>
    <t>Mola</t>
  </si>
  <si>
    <t>Morbaddon</t>
  </si>
  <si>
    <t>Botón</t>
  </si>
  <si>
    <t>Morbeb</t>
  </si>
  <si>
    <t>Cambombia</t>
  </si>
  <si>
    <t xml:space="preserve">Molusco, , , , </t>
  </si>
  <si>
    <t>Morbebe</t>
  </si>
  <si>
    <t>Moresued</t>
  </si>
  <si>
    <t>Desvertirse</t>
  </si>
  <si>
    <t xml:space="preserve">Quitarse la ropa, , , , </t>
  </si>
  <si>
    <t>Allagwayee</t>
  </si>
  <si>
    <t>Expresión de dolor</t>
  </si>
  <si>
    <t>Morunged</t>
  </si>
  <si>
    <t>Desvestirse</t>
  </si>
  <si>
    <t>Morgaed</t>
  </si>
  <si>
    <t>Horquilla</t>
  </si>
  <si>
    <t>Morgaug</t>
  </si>
  <si>
    <t>Jabón</t>
  </si>
  <si>
    <t xml:space="preserve">Detergente, , , , </t>
  </si>
  <si>
    <t>Morgo</t>
  </si>
  <si>
    <t>Retazo</t>
  </si>
  <si>
    <t xml:space="preserve">Sobras de tela, , , , </t>
  </si>
  <si>
    <t>Morgoa</t>
  </si>
  <si>
    <t>Morgoro</t>
  </si>
  <si>
    <t>Huevo de tortuga</t>
  </si>
  <si>
    <t>Uggubsan</t>
  </si>
  <si>
    <t>Uggubmileged</t>
  </si>
  <si>
    <t>Huevo de tortugas</t>
  </si>
  <si>
    <t>Mormagged</t>
  </si>
  <si>
    <t>Coser</t>
  </si>
  <si>
    <t>Mormaggedub</t>
  </si>
  <si>
    <t>Hilo de coser</t>
  </si>
  <si>
    <t>Mormaggeduba</t>
  </si>
  <si>
    <t>Hijo de coser</t>
  </si>
  <si>
    <t>Allayee</t>
  </si>
  <si>
    <t>Mormaggediggo</t>
  </si>
  <si>
    <t>Mormorsaed</t>
  </si>
  <si>
    <t>Sacudir</t>
  </si>
  <si>
    <t xml:space="preserve">Quitar polvo,  Refiere a telas, , , </t>
  </si>
  <si>
    <t>Mornun</t>
  </si>
  <si>
    <t>Ropa gastada</t>
  </si>
  <si>
    <t xml:space="preserve">Ropa usada, , , , </t>
  </si>
  <si>
    <t>Moro</t>
  </si>
  <si>
    <t>Tortuga verde</t>
  </si>
  <si>
    <t>Morogoi</t>
  </si>
  <si>
    <t>Tortuga de monte</t>
  </si>
  <si>
    <t xml:space="preserve">Morrocoyo, , , , </t>
  </si>
  <si>
    <t>Yarmoro</t>
  </si>
  <si>
    <t>Morsagu</t>
  </si>
  <si>
    <t>Bolsillo</t>
  </si>
  <si>
    <t>Morsuwar</t>
  </si>
  <si>
    <t>Palo de tender ropa</t>
  </si>
  <si>
    <t>Morsuwala</t>
  </si>
  <si>
    <t>Ay</t>
  </si>
  <si>
    <t>expresión de dolor</t>
  </si>
  <si>
    <t xml:space="preserve">Quitar la ropa, , , , </t>
  </si>
  <si>
    <t>Moryoed</t>
  </si>
  <si>
    <t>Vestirse</t>
  </si>
  <si>
    <t>Muddig</t>
  </si>
  <si>
    <t>Noche</t>
  </si>
  <si>
    <t>Muddiggude</t>
  </si>
  <si>
    <t>Anochese</t>
  </si>
  <si>
    <t>Muddu</t>
  </si>
  <si>
    <t>Cera negra</t>
  </si>
  <si>
    <t>Mudsubmudsub</t>
  </si>
  <si>
    <t>Mutuamente</t>
  </si>
  <si>
    <t xml:space="preserve">Reciprocamente, , , , </t>
  </si>
  <si>
    <t>Mued</t>
  </si>
  <si>
    <t>Hincharse</t>
  </si>
  <si>
    <t xml:space="preserve">Inflarse, Llenarse, , , </t>
  </si>
  <si>
    <t>Engued</t>
  </si>
  <si>
    <t>Llenarse</t>
  </si>
  <si>
    <t xml:space="preserve">Inflarse, , , , </t>
  </si>
  <si>
    <t>Mui</t>
  </si>
  <si>
    <t>Cadaver</t>
  </si>
  <si>
    <t xml:space="preserve">Muerto, , , , </t>
  </si>
  <si>
    <t>Alled</t>
  </si>
  <si>
    <t>Reir</t>
  </si>
  <si>
    <t xml:space="preserve">Carcajarse, , , , </t>
  </si>
  <si>
    <t>Muidar</t>
  </si>
  <si>
    <t>Mujerzuela</t>
  </si>
  <si>
    <t>Muigwale</t>
  </si>
  <si>
    <t>Abatimiento</t>
  </si>
  <si>
    <t xml:space="preserve">Depresión, , , , </t>
  </si>
  <si>
    <t>Mula</t>
  </si>
  <si>
    <t>Gallinazo</t>
  </si>
  <si>
    <t xml:space="preserve">Buitre, , , , </t>
  </si>
  <si>
    <t>Mullusuli</t>
  </si>
  <si>
    <t>Extenso</t>
  </si>
  <si>
    <t xml:space="preserve">Estirado, Muy largo,  No corto, , </t>
  </si>
  <si>
    <t>Suidi</t>
  </si>
  <si>
    <t>Mummud</t>
  </si>
  <si>
    <t>Borracho</t>
  </si>
  <si>
    <t xml:space="preserve">Ebrio, Planta alucinogena, , , </t>
  </si>
  <si>
    <t>Mururmuru</t>
  </si>
  <si>
    <t>Aspero</t>
  </si>
  <si>
    <t xml:space="preserve">Tosco, , , , </t>
  </si>
  <si>
    <t>Alu</t>
  </si>
  <si>
    <t>Pene</t>
  </si>
  <si>
    <t xml:space="preserve">Miembro viril, , , , </t>
  </si>
  <si>
    <t>Musele</t>
  </si>
  <si>
    <t>Pez cochino</t>
  </si>
  <si>
    <t xml:space="preserve">Pejepuerco, , , , </t>
  </si>
  <si>
    <t>Orwaib</t>
  </si>
  <si>
    <t>Mussigwa</t>
  </si>
  <si>
    <t>Breve</t>
  </si>
  <si>
    <t xml:space="preserve">Corto, , , , </t>
  </si>
  <si>
    <t>Usgwagwa</t>
  </si>
  <si>
    <t>Meddoggwagwa</t>
  </si>
  <si>
    <t>Bfeve</t>
  </si>
  <si>
    <t>Muswe</t>
  </si>
  <si>
    <t>Pañuelo de la cabeza</t>
  </si>
  <si>
    <t>Dunued</t>
  </si>
  <si>
    <t>Muu</t>
  </si>
  <si>
    <t>Abuela</t>
  </si>
  <si>
    <t>Wana</t>
  </si>
  <si>
    <t>Muuggwa</t>
  </si>
  <si>
    <t>Enmohecido</t>
  </si>
  <si>
    <t>Nanseredi</t>
  </si>
  <si>
    <t xml:space="preserve">anciana </t>
  </si>
  <si>
    <t>Muubilli</t>
  </si>
  <si>
    <t xml:space="preserve">Oceano, , , , </t>
  </si>
  <si>
    <t>Demar</t>
  </si>
  <si>
    <t>Muudummad</t>
  </si>
  <si>
    <t>Bisabuela</t>
  </si>
  <si>
    <t>Anciana</t>
  </si>
  <si>
    <t xml:space="preserve">Vieja, Veterana, , , </t>
  </si>
  <si>
    <t>Muyamagged</t>
  </si>
  <si>
    <t>Cojear</t>
  </si>
  <si>
    <t>Muyamuyad</t>
  </si>
  <si>
    <t>Cojo</t>
  </si>
  <si>
    <t>Alugwag</t>
  </si>
  <si>
    <t>Testículo</t>
  </si>
  <si>
    <t>Yagguyaggud</t>
  </si>
  <si>
    <t>Na</t>
  </si>
  <si>
    <t>Maraca</t>
  </si>
  <si>
    <t xml:space="preserve">Sonajero, , , , </t>
  </si>
  <si>
    <t>Nasis</t>
  </si>
  <si>
    <t>Na yobi</t>
  </si>
  <si>
    <t>Igual</t>
  </si>
  <si>
    <t xml:space="preserve">Como, , , , </t>
  </si>
  <si>
    <t>Yobi</t>
  </si>
  <si>
    <t>Emala</t>
  </si>
  <si>
    <t>Hola</t>
  </si>
  <si>
    <t xml:space="preserve">Que tal, , , , </t>
  </si>
  <si>
    <t>Anna</t>
  </si>
  <si>
    <t>Degidde</t>
  </si>
  <si>
    <t>Naba</t>
  </si>
  <si>
    <t>Calabaza</t>
  </si>
  <si>
    <t xml:space="preserve">Palma de jira, Cerca, Al lado, , </t>
  </si>
  <si>
    <t>Pumpkin</t>
  </si>
  <si>
    <t>Abalagi</t>
  </si>
  <si>
    <t>En el medio</t>
  </si>
  <si>
    <t>Alugwagwa</t>
  </si>
  <si>
    <t>Nabayargan</t>
  </si>
  <si>
    <t>Pez ronco</t>
  </si>
  <si>
    <t>Nabba</t>
  </si>
  <si>
    <t>Tierra</t>
  </si>
  <si>
    <t xml:space="preserve">Suelo, Sitio donde se vive, , , </t>
  </si>
  <si>
    <t>Nabbanega</t>
  </si>
  <si>
    <t>Nabbagiid</t>
  </si>
  <si>
    <t>Color chocolate</t>
  </si>
  <si>
    <t xml:space="preserve">Marrón, , , , </t>
  </si>
  <si>
    <t>Sabgaaled</t>
  </si>
  <si>
    <t xml:space="preserve">marrón, , , , </t>
  </si>
  <si>
    <t>Nabbanono</t>
  </si>
  <si>
    <t>Conejo pintado</t>
  </si>
  <si>
    <t>Sule</t>
  </si>
  <si>
    <t>Conejo Pintado</t>
  </si>
  <si>
    <t>Nabbi</t>
  </si>
  <si>
    <t xml:space="preserve">Más </t>
  </si>
  <si>
    <t>1607.Nabbi.Más Aún.Mp3</t>
  </si>
  <si>
    <t>Gaddig</t>
  </si>
  <si>
    <t>Mucho</t>
  </si>
  <si>
    <t>Gaddiggi</t>
  </si>
  <si>
    <t xml:space="preserve">Mucho mas </t>
  </si>
  <si>
    <t>Ambala</t>
  </si>
  <si>
    <t>No ha cambiado</t>
  </si>
  <si>
    <t xml:space="preserve">Lo mismo, , , , </t>
  </si>
  <si>
    <t>nabbibileged</t>
  </si>
  <si>
    <t xml:space="preserve">la ultima palabra </t>
  </si>
  <si>
    <t xml:space="preserve">Letra, , , , </t>
  </si>
  <si>
    <t>nabbibilegeddummad</t>
  </si>
  <si>
    <t>Letra mayúscula</t>
  </si>
  <si>
    <t>Nabbinusa</t>
  </si>
  <si>
    <t>Ultimo de los hijos</t>
  </si>
  <si>
    <t xml:space="preserve">Ultimo amamantado, , , , </t>
  </si>
  <si>
    <t>Nabbiragwa</t>
  </si>
  <si>
    <t>Verídico</t>
  </si>
  <si>
    <t xml:space="preserve">Cierto, Evidente, Fehaciente, , </t>
  </si>
  <si>
    <t>Cierto</t>
  </si>
  <si>
    <t>Nabed</t>
  </si>
  <si>
    <t>Plátano o fruta a punto de madurar</t>
  </si>
  <si>
    <t>Nabgwana</t>
  </si>
  <si>
    <t>Madre tierra</t>
  </si>
  <si>
    <t>Ambalagwa</t>
  </si>
  <si>
    <t>Naboed</t>
  </si>
  <si>
    <t>Pagar</t>
  </si>
  <si>
    <t xml:space="preserve">Acordar, convenir, , , </t>
  </si>
  <si>
    <t>Naboged</t>
  </si>
  <si>
    <t xml:space="preserve">Acordar, Convenir, , , </t>
  </si>
  <si>
    <t xml:space="preserve">Naboleged </t>
  </si>
  <si>
    <t>Volver a lastimarse</t>
  </si>
  <si>
    <t xml:space="preserve">Naiboleged  </t>
  </si>
  <si>
    <t>Nabsaa</t>
  </si>
  <si>
    <t>Arcilla</t>
  </si>
  <si>
    <t>Nabsen</t>
  </si>
  <si>
    <t>Verruga</t>
  </si>
  <si>
    <t>Naed</t>
  </si>
  <si>
    <t>Irse</t>
  </si>
  <si>
    <t xml:space="preserve">Marchar, Encaminar, Andar, , </t>
  </si>
  <si>
    <t xml:space="preserve">Pierna </t>
  </si>
  <si>
    <t>Amied</t>
  </si>
  <si>
    <t xml:space="preserve">Averiguar, Escudriñar, , , </t>
  </si>
  <si>
    <t>Nagab</t>
  </si>
  <si>
    <t>A pie</t>
  </si>
  <si>
    <t xml:space="preserve">Caminando, , , , </t>
  </si>
  <si>
    <t>Nagaba</t>
  </si>
  <si>
    <t>Cerca</t>
  </si>
  <si>
    <t xml:space="preserve">Junto a, Cerquita, Pegado, , </t>
  </si>
  <si>
    <t>Walig</t>
  </si>
  <si>
    <t xml:space="preserve">Junto, Cerquita, , , </t>
  </si>
  <si>
    <t xml:space="preserve">Junto a, Cerquita, , , </t>
  </si>
  <si>
    <t>Waliggagwa</t>
  </si>
  <si>
    <t xml:space="preserve">Cerca </t>
  </si>
  <si>
    <t xml:space="preserve">Cerquita, , , , </t>
  </si>
  <si>
    <t>Junto a</t>
  </si>
  <si>
    <t xml:space="preserve">Pegado a, , , , </t>
  </si>
  <si>
    <t>Nagbeniga</t>
  </si>
  <si>
    <t>Ciempies</t>
  </si>
  <si>
    <t>Nagbid</t>
  </si>
  <si>
    <t>Dolor</t>
  </si>
  <si>
    <t xml:space="preserve">Pesar, Sufrimiento, Dolencia, , </t>
  </si>
  <si>
    <t>Nunmagged</t>
  </si>
  <si>
    <t>Amilegoed</t>
  </si>
  <si>
    <t xml:space="preserve">Objetivo </t>
  </si>
  <si>
    <t xml:space="preserve">lo que se va hallar </t>
  </si>
  <si>
    <t>Naged</t>
  </si>
  <si>
    <t>Moler</t>
  </si>
  <si>
    <t xml:space="preserve">Triturar, Pulverizar, , , </t>
  </si>
  <si>
    <t>Ubimagged</t>
  </si>
  <si>
    <t>Nagege</t>
  </si>
  <si>
    <t xml:space="preserve">Abundante </t>
  </si>
  <si>
    <t xml:space="preserve">Mucho, Suficiente, , , </t>
  </si>
  <si>
    <t>Doga</t>
  </si>
  <si>
    <t>Bastante</t>
  </si>
  <si>
    <t xml:space="preserve">Mucho, , , , </t>
  </si>
  <si>
    <t>Nagga</t>
  </si>
  <si>
    <t>Desembocadura del río</t>
  </si>
  <si>
    <t>Naggarsimur</t>
  </si>
  <si>
    <t>Tobillo</t>
  </si>
  <si>
    <t>Naggasi</t>
  </si>
  <si>
    <t>Tendón de aquiles</t>
  </si>
  <si>
    <t xml:space="preserve">Tendón de calcáneo, , , , </t>
  </si>
  <si>
    <t>Naggi</t>
  </si>
  <si>
    <t>Con el pie</t>
  </si>
  <si>
    <t>Naggoo</t>
  </si>
  <si>
    <t>Dedo de los pies</t>
  </si>
  <si>
    <t>Naggu</t>
  </si>
  <si>
    <t>Paleta de tejer hamaca</t>
  </si>
  <si>
    <t>Durdaglegoed</t>
  </si>
  <si>
    <t xml:space="preserve"> enseñanza</t>
  </si>
  <si>
    <t>Nagguleged</t>
  </si>
  <si>
    <t>Cuidar</t>
  </si>
  <si>
    <t xml:space="preserve">Celar, Custodiar, , , </t>
  </si>
  <si>
    <t>Naggwar</t>
  </si>
  <si>
    <t>Río arriba</t>
  </si>
  <si>
    <t>Naggwale</t>
  </si>
  <si>
    <t>Río Arriba</t>
  </si>
  <si>
    <t>Naggwed</t>
  </si>
  <si>
    <t>Subir</t>
  </si>
  <si>
    <t xml:space="preserve">Escalar, Trepar, , , </t>
  </si>
  <si>
    <t>Nagsor</t>
  </si>
  <si>
    <t>Talón</t>
  </si>
  <si>
    <t>Nagasola</t>
  </si>
  <si>
    <t>Nagubir</t>
  </si>
  <si>
    <t>Palo amarrado que atraviesa el ancho de la casa</t>
  </si>
  <si>
    <t>Stick tied up across the width of the house</t>
  </si>
  <si>
    <t>Nagwar</t>
  </si>
  <si>
    <t>Icaca</t>
  </si>
  <si>
    <t>Naid</t>
  </si>
  <si>
    <t>Puesto</t>
  </si>
  <si>
    <t>Lo que está escrito, Colgado</t>
  </si>
  <si>
    <t>Laid</t>
  </si>
  <si>
    <t>Tía</t>
  </si>
  <si>
    <t xml:space="preserve">Pariente, Familiar, , , </t>
  </si>
  <si>
    <t>Naiimaggar</t>
  </si>
  <si>
    <t>Quietud profunda</t>
  </si>
  <si>
    <t xml:space="preserve">Calma, , , , </t>
  </si>
  <si>
    <t>Naiimaggale</t>
  </si>
  <si>
    <t>Nainu</t>
  </si>
  <si>
    <t>Finca</t>
  </si>
  <si>
    <t xml:space="preserve">Terreno trabajado, Parcela, , , </t>
  </si>
  <si>
    <t>Nala</t>
  </si>
  <si>
    <t>Plato</t>
  </si>
  <si>
    <t xml:space="preserve">Bandeja, Platillo, Variedad de bambú, , </t>
  </si>
  <si>
    <t>Nali</t>
  </si>
  <si>
    <t>Tiburón</t>
  </si>
  <si>
    <t xml:space="preserve">Tintorera, , , , </t>
  </si>
  <si>
    <t>Naliua</t>
  </si>
  <si>
    <t>Pez rémora</t>
  </si>
  <si>
    <t>Nalu</t>
  </si>
  <si>
    <t>Guacamaya</t>
  </si>
  <si>
    <t xml:space="preserve"> Pez pargo, , , , </t>
  </si>
  <si>
    <t>Ammor</t>
  </si>
  <si>
    <t>Naluginnid</t>
  </si>
  <si>
    <t>Pargo rojo</t>
  </si>
  <si>
    <t>Nalled</t>
  </si>
  <si>
    <t>Tacañear</t>
  </si>
  <si>
    <t xml:space="preserve">Ser mezquino, No se generoso, , , </t>
  </si>
  <si>
    <t>Nallegala</t>
  </si>
  <si>
    <t>Tacaño</t>
  </si>
  <si>
    <t xml:space="preserve">Mezquino, , , , </t>
  </si>
  <si>
    <t>Nallegwa</t>
  </si>
  <si>
    <t>Nallesili</t>
  </si>
  <si>
    <t xml:space="preserve">Mezquino, Avaro, , , </t>
  </si>
  <si>
    <t>Namagged</t>
  </si>
  <si>
    <t>Cantar</t>
  </si>
  <si>
    <t xml:space="preserve">Tararear, , , , </t>
  </si>
  <si>
    <t>Nana</t>
  </si>
  <si>
    <t>Mamá</t>
  </si>
  <si>
    <t xml:space="preserve">Madre, , , , </t>
  </si>
  <si>
    <t>Nanaed</t>
  </si>
  <si>
    <t>Caminar</t>
  </si>
  <si>
    <t xml:space="preserve">Andar, , , , </t>
  </si>
  <si>
    <t>Nandummad</t>
  </si>
  <si>
    <t>Gran madre</t>
  </si>
  <si>
    <t xml:space="preserve">Ser supremo, , , , </t>
  </si>
  <si>
    <t>Ammolo</t>
  </si>
  <si>
    <t>Nanser</t>
  </si>
  <si>
    <t>Nansui</t>
  </si>
  <si>
    <t>Padrastro</t>
  </si>
  <si>
    <t>Narasdummad</t>
  </si>
  <si>
    <t>Naranja</t>
  </si>
  <si>
    <t>Narasgan</t>
  </si>
  <si>
    <t>Limonar</t>
  </si>
  <si>
    <t xml:space="preserve">Naranjal, , , , </t>
  </si>
  <si>
    <t>Narassole</t>
  </si>
  <si>
    <t>Limón</t>
  </si>
  <si>
    <t>Nared</t>
  </si>
  <si>
    <t>Asar</t>
  </si>
  <si>
    <t xml:space="preserve">Ahumar, , , , </t>
  </si>
  <si>
    <t>Nasi</t>
  </si>
  <si>
    <t>Garra</t>
  </si>
  <si>
    <t xml:space="preserve">Zarpa, , , , </t>
  </si>
  <si>
    <t>Nasigged</t>
  </si>
  <si>
    <t>Colgar</t>
  </si>
  <si>
    <t xml:space="preserve">Colocar, Poner, Suspender, , </t>
  </si>
  <si>
    <t>Neba</t>
  </si>
  <si>
    <t>Llanura</t>
  </si>
  <si>
    <t xml:space="preserve">Planicie, Llano, , , </t>
  </si>
  <si>
    <t>Órgano sexual femenino</t>
  </si>
  <si>
    <t xml:space="preserve">Centro, En medio, Por la mitad, , </t>
  </si>
  <si>
    <t xml:space="preserve">Abar </t>
  </si>
  <si>
    <t xml:space="preserve">En medio, Por la mitad, , , </t>
  </si>
  <si>
    <t xml:space="preserve">Mitad, , , , </t>
  </si>
  <si>
    <t>Negaddied</t>
  </si>
  <si>
    <t>Lluvia</t>
  </si>
  <si>
    <t xml:space="preserve">Aguacero, Chaparrón, Llover, , </t>
  </si>
  <si>
    <t>Diwied</t>
  </si>
  <si>
    <t>Llover</t>
  </si>
  <si>
    <t xml:space="preserve">Aguacero, Chaparrón, , , </t>
  </si>
  <si>
    <t>Negburba</t>
  </si>
  <si>
    <t>Símbolo de la realidad</t>
  </si>
  <si>
    <t>Negwilub</t>
  </si>
  <si>
    <t>Negburdagged</t>
  </si>
  <si>
    <t>Soñar</t>
  </si>
  <si>
    <t>Gabdagged</t>
  </si>
  <si>
    <t>Abargined</t>
  </si>
  <si>
    <t>aquel del medio</t>
  </si>
  <si>
    <t>organo sexual femenino</t>
  </si>
  <si>
    <t>Neggabgwen</t>
  </si>
  <si>
    <t>Medianoche</t>
  </si>
  <si>
    <t>Negagabigwen</t>
  </si>
  <si>
    <t>Negagabigwena</t>
  </si>
  <si>
    <t>Negguddulesa</t>
  </si>
  <si>
    <t>Al anochecer</t>
  </si>
  <si>
    <t xml:space="preserve">Al oscurecer, , , , </t>
  </si>
  <si>
    <t>Neggwaied</t>
  </si>
  <si>
    <t>Barrer</t>
  </si>
  <si>
    <t xml:space="preserve">Escobar, , , , </t>
  </si>
  <si>
    <t>Durmied</t>
  </si>
  <si>
    <t>Durwied</t>
  </si>
  <si>
    <t>ammanoo</t>
  </si>
  <si>
    <t>rana</t>
  </si>
  <si>
    <t>sapo</t>
  </si>
  <si>
    <t xml:space="preserve">ibgued </t>
  </si>
  <si>
    <t>Negoiboged</t>
  </si>
  <si>
    <t>Negimba</t>
  </si>
  <si>
    <t>Patio entre casas</t>
  </si>
  <si>
    <t xml:space="preserve">Callejas, Callejones, , , </t>
  </si>
  <si>
    <t>Negmadda</t>
  </si>
  <si>
    <t>Charco</t>
  </si>
  <si>
    <t>Dimadda</t>
  </si>
  <si>
    <t>Negnussuggwa</t>
  </si>
  <si>
    <t>Selva secundaria</t>
  </si>
  <si>
    <t>Neganussuggwagwa</t>
  </si>
  <si>
    <t>Negobandur</t>
  </si>
  <si>
    <t>Temblor</t>
  </si>
  <si>
    <t xml:space="preserve">Sismo, Terremoto, , , </t>
  </si>
  <si>
    <t>Negaobandule</t>
  </si>
  <si>
    <t xml:space="preserve">Sismo, Terrestre, , , </t>
  </si>
  <si>
    <t>Nonosibu</t>
  </si>
  <si>
    <t>Cana</t>
  </si>
  <si>
    <t xml:space="preserve">Pelo blanco, , , , </t>
  </si>
  <si>
    <t>Negabandur</t>
  </si>
  <si>
    <t>Ammaser</t>
  </si>
  <si>
    <t>Talingo o changamé</t>
  </si>
  <si>
    <t>Negoeged</t>
  </si>
  <si>
    <t>Desmayarse</t>
  </si>
  <si>
    <t xml:space="preserve">Perder conocimiento, , , , </t>
  </si>
  <si>
    <t>Oeged</t>
  </si>
  <si>
    <t>Negseed</t>
  </si>
  <si>
    <t>Guiar</t>
  </si>
  <si>
    <t xml:space="preserve">Servir a una comunidad, , , , </t>
  </si>
  <si>
    <t>Negsered</t>
  </si>
  <si>
    <t>Selva primaria</t>
  </si>
  <si>
    <t>Negseredi</t>
  </si>
  <si>
    <t>Neguan</t>
  </si>
  <si>
    <t>Cementerio</t>
  </si>
  <si>
    <t xml:space="preserve">Tumba, Composanto, , , </t>
  </si>
  <si>
    <t>Uan</t>
  </si>
  <si>
    <t>Cementario</t>
  </si>
  <si>
    <t>Neguyau</t>
  </si>
  <si>
    <t>Hogar</t>
  </si>
  <si>
    <t xml:space="preserve">Morada, , , , </t>
  </si>
  <si>
    <t>Neggureged</t>
  </si>
  <si>
    <t>Barranco</t>
  </si>
  <si>
    <t xml:space="preserve">Depresión de tierra, Hondonada, , , </t>
  </si>
  <si>
    <t>Negweered</t>
  </si>
  <si>
    <t>Ammasele</t>
  </si>
  <si>
    <t>Talingo changamé</t>
  </si>
  <si>
    <t>Negyorgued</t>
  </si>
  <si>
    <t>Escampar</t>
  </si>
  <si>
    <t>Nele</t>
  </si>
  <si>
    <t>Persona que diagnostica enfermedades</t>
  </si>
  <si>
    <t>Nelerba</t>
  </si>
  <si>
    <t>Sabio</t>
  </si>
  <si>
    <t xml:space="preserve">Sabe a profundidad, , , , </t>
  </si>
  <si>
    <t>Nerbundor</t>
  </si>
  <si>
    <t>Mujer nele</t>
  </si>
  <si>
    <t>Nergwa</t>
  </si>
  <si>
    <t>Seis</t>
  </si>
  <si>
    <t xml:space="preserve">Sexto, , , , </t>
  </si>
  <si>
    <t>Nia</t>
  </si>
  <si>
    <t>Diablo</t>
  </si>
  <si>
    <t xml:space="preserve">Satán, Fuerza maligna, , , </t>
  </si>
  <si>
    <t>Niaggwa</t>
  </si>
  <si>
    <t>Obsceno</t>
  </si>
  <si>
    <t xml:space="preserve">Escabroso, , , , </t>
  </si>
  <si>
    <t>Niba</t>
  </si>
  <si>
    <t>Arriba</t>
  </si>
  <si>
    <t xml:space="preserve">A lo alto, En alto, , , </t>
  </si>
  <si>
    <t>Nibgued</t>
  </si>
  <si>
    <t>Altura</t>
  </si>
  <si>
    <t>Nibir</t>
  </si>
  <si>
    <t>Libra</t>
  </si>
  <si>
    <t>Siggwisis</t>
  </si>
  <si>
    <t>Nidirbi</t>
  </si>
  <si>
    <t>Pez raya</t>
  </si>
  <si>
    <t>Nied</t>
  </si>
  <si>
    <t>Orientar a alguien</t>
  </si>
  <si>
    <t xml:space="preserve">Brote de semilla, , , , </t>
  </si>
  <si>
    <t>Niga</t>
  </si>
  <si>
    <t>Sobrino</t>
  </si>
  <si>
    <t xml:space="preserve">Aliento, Vigor, , , </t>
  </si>
  <si>
    <t>Nigga</t>
  </si>
  <si>
    <t>Hay</t>
  </si>
  <si>
    <t xml:space="preserve">Para sobrino, , , , </t>
  </si>
  <si>
    <t>Niggibili</t>
  </si>
  <si>
    <t>Jaiba</t>
  </si>
  <si>
    <t>Suggammi</t>
  </si>
  <si>
    <t>Niggoled</t>
  </si>
  <si>
    <t>Invitar</t>
  </si>
  <si>
    <t xml:space="preserve">Llamar, , , , </t>
  </si>
  <si>
    <t>Bingoled</t>
  </si>
  <si>
    <t>Abgoled</t>
  </si>
  <si>
    <t>Niggued</t>
  </si>
  <si>
    <t>Poseer</t>
  </si>
  <si>
    <t xml:space="preserve">Haber, Tener, Obtener, , </t>
  </si>
  <si>
    <t>Siggwisidsi</t>
  </si>
  <si>
    <t>Talingo</t>
  </si>
  <si>
    <t>Nii</t>
  </si>
  <si>
    <t>Luna</t>
  </si>
  <si>
    <t>Niigaled</t>
  </si>
  <si>
    <t>Eclipse lugar</t>
  </si>
  <si>
    <t>Nila</t>
  </si>
  <si>
    <t>Plátano maduro asado</t>
  </si>
  <si>
    <t>Nisale</t>
  </si>
  <si>
    <t>Obseno</t>
  </si>
  <si>
    <t>Obscene</t>
  </si>
  <si>
    <t>Nisaagwala</t>
  </si>
  <si>
    <t>Húmedo</t>
  </si>
  <si>
    <t>Nisar</t>
  </si>
  <si>
    <t>Achiote</t>
  </si>
  <si>
    <t>Annatto</t>
  </si>
  <si>
    <t>Nisagwale</t>
  </si>
  <si>
    <t xml:space="preserve">Empapado, , , , </t>
  </si>
  <si>
    <t>Nisgwa</t>
  </si>
  <si>
    <t>Estrella</t>
  </si>
  <si>
    <t>Noar</t>
  </si>
  <si>
    <t>Incorrecto</t>
  </si>
  <si>
    <t xml:space="preserve">Falso, , , , </t>
  </si>
  <si>
    <t>Noale</t>
  </si>
  <si>
    <t>Nobed</t>
  </si>
  <si>
    <t>Celo</t>
  </si>
  <si>
    <t xml:space="preserve">Envidia, , , , </t>
  </si>
  <si>
    <t>Noed</t>
  </si>
  <si>
    <t xml:space="preserve">Errar, Equivocarse, , , </t>
  </si>
  <si>
    <t>Nog</t>
  </si>
  <si>
    <t>Taza</t>
  </si>
  <si>
    <t xml:space="preserve">Totuma, , , , </t>
  </si>
  <si>
    <t>Noga</t>
  </si>
  <si>
    <t>Nogare</t>
  </si>
  <si>
    <t>Excavado</t>
  </si>
  <si>
    <t xml:space="preserve">Hendido, , , , </t>
  </si>
  <si>
    <t>Excavated</t>
  </si>
  <si>
    <t>Nagarege</t>
  </si>
  <si>
    <t>Nogdar</t>
  </si>
  <si>
    <t>Totuma para agua</t>
  </si>
  <si>
    <t>Totuma for water</t>
  </si>
  <si>
    <t>Noggobe</t>
  </si>
  <si>
    <t>Totuma para beber</t>
  </si>
  <si>
    <t>Totuma for drinking</t>
  </si>
  <si>
    <t>Nogi</t>
  </si>
  <si>
    <t>Rana</t>
  </si>
  <si>
    <t xml:space="preserve">Sapillo, , , , </t>
  </si>
  <si>
    <t>Toad,,,,</t>
  </si>
  <si>
    <t>Nogmaddar</t>
  </si>
  <si>
    <t>Totuma para tomar inna en ceremonia</t>
  </si>
  <si>
    <t>Totuma to drink inna in ceremony</t>
  </si>
  <si>
    <t>nogmur</t>
  </si>
  <si>
    <t>Cucharón</t>
  </si>
  <si>
    <t xml:space="preserve">Cacillo, Cazo, , , </t>
  </si>
  <si>
    <t>Tia</t>
  </si>
  <si>
    <t>Surnono</t>
  </si>
  <si>
    <t>Cucharon</t>
  </si>
  <si>
    <t>Nogsuid</t>
  </si>
  <si>
    <t xml:space="preserve">Adormecido, , , , </t>
  </si>
  <si>
    <t>Nollosuli</t>
  </si>
  <si>
    <t>Energico</t>
  </si>
  <si>
    <t xml:space="preserve">Vigoroso, , , , </t>
  </si>
  <si>
    <t>Nongar</t>
  </si>
  <si>
    <t>Calavera</t>
  </si>
  <si>
    <t>Noniggi</t>
  </si>
  <si>
    <t>Llegó</t>
  </si>
  <si>
    <t xml:space="preserve">Vino, , , , </t>
  </si>
  <si>
    <t>Arrive</t>
  </si>
  <si>
    <t>Came, , , ,</t>
  </si>
  <si>
    <t>Nono</t>
  </si>
  <si>
    <t>Cabeza</t>
  </si>
  <si>
    <t xml:space="preserve">Cráneo, , , , </t>
  </si>
  <si>
    <t>Nonsagwar</t>
  </si>
  <si>
    <t>Cerebro</t>
  </si>
  <si>
    <t>Saglasibu</t>
  </si>
  <si>
    <t>Gray hair</t>
  </si>
  <si>
    <t>Nonswili</t>
  </si>
  <si>
    <t>Calvo</t>
  </si>
  <si>
    <t xml:space="preserve">Rapado, , , , </t>
  </si>
  <si>
    <t>Shaved,,</t>
  </si>
  <si>
    <t>Nonswireged</t>
  </si>
  <si>
    <t>Noo</t>
  </si>
  <si>
    <t>Sapo</t>
  </si>
  <si>
    <t>Ammanoo</t>
  </si>
  <si>
    <t>Nubi</t>
  </si>
  <si>
    <t>Conejo</t>
  </si>
  <si>
    <t xml:space="preserve">Liebre, , , , </t>
  </si>
  <si>
    <t>Nubigwa</t>
  </si>
  <si>
    <t>Nudagged</t>
  </si>
  <si>
    <t>Reparar</t>
  </si>
  <si>
    <t xml:space="preserve">Arreglar, Remediar, , , </t>
  </si>
  <si>
    <t>Nudsu</t>
  </si>
  <si>
    <t>Imagen de madera tallada</t>
  </si>
  <si>
    <t xml:space="preserve">De uso terapeútico, , , , </t>
  </si>
  <si>
    <t>Excelente</t>
  </si>
  <si>
    <t xml:space="preserve">Con esmero, Con cuidado, , , </t>
  </si>
  <si>
    <t>ammuggued</t>
  </si>
  <si>
    <t>Desplomarse</t>
  </si>
  <si>
    <t xml:space="preserve">Tumbarse, , , , </t>
  </si>
  <si>
    <t>Lay down,,,,</t>
  </si>
  <si>
    <t>Nuedi</t>
  </si>
  <si>
    <t xml:space="preserve">Bueno, gracias, , </t>
  </si>
  <si>
    <t>Good,thank you, ,</t>
  </si>
  <si>
    <t>Yeerba</t>
  </si>
  <si>
    <t xml:space="preserve">Bueno, , , , </t>
  </si>
  <si>
    <t>Nuegwa</t>
  </si>
  <si>
    <t>Bien</t>
  </si>
  <si>
    <t>Neatly, carefully,,,</t>
  </si>
  <si>
    <t>Nueggwa</t>
  </si>
  <si>
    <t>Nuga</t>
  </si>
  <si>
    <t>Nombre</t>
  </si>
  <si>
    <t>Nugar</t>
  </si>
  <si>
    <t>Diente</t>
  </si>
  <si>
    <t xml:space="preserve">Filo, , , , </t>
  </si>
  <si>
    <t>Nugarnele</t>
  </si>
  <si>
    <t>Dentista</t>
  </si>
  <si>
    <t xml:space="preserve">Odontologo, , , , </t>
  </si>
  <si>
    <t>Nugarsan</t>
  </si>
  <si>
    <t>Encía</t>
  </si>
  <si>
    <t>Abba</t>
  </si>
  <si>
    <t>Boa</t>
  </si>
  <si>
    <t>Amurege</t>
  </si>
  <si>
    <t>Turbio</t>
  </si>
  <si>
    <t xml:space="preserve">Oscuro, Se refiere a liquido, , , </t>
  </si>
  <si>
    <t>Nuggu</t>
  </si>
  <si>
    <t>Regazo</t>
  </si>
  <si>
    <t>Nuggued</t>
  </si>
  <si>
    <t>Tener nombre</t>
  </si>
  <si>
    <t xml:space="preserve">Nominarse, Ser elegido, , , </t>
  </si>
  <si>
    <t>Nuggule</t>
  </si>
  <si>
    <t>Cóncavo</t>
  </si>
  <si>
    <t xml:space="preserve">Sinuoso, , , , </t>
  </si>
  <si>
    <t>Nugmesed</t>
  </si>
  <si>
    <t>Inscribirse</t>
  </si>
  <si>
    <t xml:space="preserve">Registrarse, , , , </t>
  </si>
  <si>
    <t>Nugued</t>
  </si>
  <si>
    <t>Sanar</t>
  </si>
  <si>
    <t xml:space="preserve">Restablecerse, Reponerse, , , </t>
  </si>
  <si>
    <t>Nulu</t>
  </si>
  <si>
    <t>Guayaba</t>
  </si>
  <si>
    <t>Nunis</t>
  </si>
  <si>
    <t>Leche materna</t>
  </si>
  <si>
    <t>Nunisa</t>
  </si>
  <si>
    <t>Naibid</t>
  </si>
  <si>
    <t xml:space="preserve">Sufrimiento, , , , </t>
  </si>
  <si>
    <t>An</t>
  </si>
  <si>
    <t>Yo</t>
  </si>
  <si>
    <t>Nunu</t>
  </si>
  <si>
    <t>Dañado</t>
  </si>
  <si>
    <t xml:space="preserve">Podrido, Putrefacto, , , </t>
  </si>
  <si>
    <t>Nus</t>
  </si>
  <si>
    <t>Gusano</t>
  </si>
  <si>
    <t>Nusu</t>
  </si>
  <si>
    <t>Nusa</t>
  </si>
  <si>
    <t>Ratón</t>
  </si>
  <si>
    <t xml:space="preserve">Rata, Roedor, , , </t>
  </si>
  <si>
    <t>Nuu</t>
  </si>
  <si>
    <t>Seno</t>
  </si>
  <si>
    <t xml:space="preserve">Teta, Ubre, Paloma, , </t>
  </si>
  <si>
    <t>Nuudagged</t>
  </si>
  <si>
    <t>Nussuggwa</t>
  </si>
  <si>
    <t>Joven</t>
  </si>
  <si>
    <t xml:space="preserve">Mozo, Se refiera a edad, , , </t>
  </si>
  <si>
    <t>Mozo, Refers to age,</t>
  </si>
  <si>
    <t>Ani</t>
  </si>
  <si>
    <t>Nussuggwagwa</t>
  </si>
  <si>
    <t xml:space="preserve">Mozo, , , , </t>
  </si>
  <si>
    <t>Oo</t>
  </si>
  <si>
    <t>Catarro</t>
  </si>
  <si>
    <t xml:space="preserve">Gripe, Resfriado, , , </t>
  </si>
  <si>
    <t>Oa</t>
  </si>
  <si>
    <t>Especie de maguey</t>
  </si>
  <si>
    <t>Oaed</t>
  </si>
  <si>
    <t>Tender algo al sol</t>
  </si>
  <si>
    <t xml:space="preserve">Asolear, , , , </t>
  </si>
  <si>
    <t>Tend something to the sun</t>
  </si>
  <si>
    <t>Oaramagged</t>
  </si>
  <si>
    <t>Avivar fuego</t>
  </si>
  <si>
    <t xml:space="preserve">Atiizar, , , , </t>
  </si>
  <si>
    <t>Fan fire</t>
  </si>
  <si>
    <t>Sogannoed</t>
  </si>
  <si>
    <t>Oba</t>
  </si>
  <si>
    <t>Maíz</t>
  </si>
  <si>
    <t xml:space="preserve">Mijo Huevo de pez, , , , </t>
  </si>
  <si>
    <t>Obadded</t>
  </si>
  <si>
    <t xml:space="preserve">Abatir  </t>
  </si>
  <si>
    <t xml:space="preserve">Tumbar frutas del arbol, Dejar caer , , , </t>
  </si>
  <si>
    <t>Knock down fruits from the tree, Drop,,,</t>
  </si>
  <si>
    <t>Obaggar</t>
  </si>
  <si>
    <t>Al otro lado</t>
  </si>
  <si>
    <t xml:space="preserve">En el lado opuesto, , , , </t>
  </si>
  <si>
    <t>Obagggale</t>
  </si>
  <si>
    <t>Ana</t>
  </si>
  <si>
    <t>Rama</t>
  </si>
  <si>
    <t xml:space="preserve">Parte de, , , , </t>
  </si>
  <si>
    <t>Obagged</t>
  </si>
  <si>
    <t>Cruzar</t>
  </si>
  <si>
    <t>Atravezar</t>
  </si>
  <si>
    <t>Go through</t>
  </si>
  <si>
    <t>Obaned</t>
  </si>
  <si>
    <t>Empujar</t>
  </si>
  <si>
    <t xml:space="preserve">Ladear, Marginar, , , </t>
  </si>
  <si>
    <t>Obannoged</t>
  </si>
  <si>
    <t>Alejar</t>
  </si>
  <si>
    <t xml:space="preserve">Apartar, Separar, , , </t>
  </si>
  <si>
    <t>Obared</t>
  </si>
  <si>
    <t>Mencionar</t>
  </si>
  <si>
    <t xml:space="preserve">Acordarse, Referirse, , , </t>
  </si>
  <si>
    <t>Obdudu</t>
  </si>
  <si>
    <t>Maíz nuevo</t>
  </si>
  <si>
    <t xml:space="preserve">Mazorca, , , , </t>
  </si>
  <si>
    <t>New corn</t>
  </si>
  <si>
    <t>Obed</t>
  </si>
  <si>
    <t>Bañarse</t>
  </si>
  <si>
    <t xml:space="preserve">Ducharse, Abandonar, , , </t>
  </si>
  <si>
    <t>Obeged</t>
  </si>
  <si>
    <t xml:space="preserve">Abandonar, , , , </t>
  </si>
  <si>
    <t>Obeloged</t>
  </si>
  <si>
    <t>Acabar</t>
  </si>
  <si>
    <t>Ogwinmagged</t>
  </si>
  <si>
    <t>Obgan</t>
  </si>
  <si>
    <t>Maizal</t>
  </si>
  <si>
    <t>Anar</t>
  </si>
  <si>
    <t>Por</t>
  </si>
  <si>
    <t xml:space="preserve">En lugar de,  En sustitución, , , </t>
  </si>
  <si>
    <t>Obgialed</t>
  </si>
  <si>
    <t>Sin bañarse</t>
  </si>
  <si>
    <t xml:space="preserve">Ropa sucia, Mujer que ha pasado por ceremonia, , , </t>
  </si>
  <si>
    <t>Laundry, woman that has gone through ceremony,</t>
  </si>
  <si>
    <t>Obined</t>
  </si>
  <si>
    <t>Sobrante</t>
  </si>
  <si>
    <t xml:space="preserve">Superar, Descollar, Voltear, , </t>
  </si>
  <si>
    <t>Obinoed</t>
  </si>
  <si>
    <t>Renovar</t>
  </si>
  <si>
    <t xml:space="preserve">Innovar, Remozar, , , </t>
  </si>
  <si>
    <t>Obinoged</t>
  </si>
  <si>
    <t xml:space="preserve">Innovar, , , , </t>
  </si>
  <si>
    <t>Binoed</t>
  </si>
  <si>
    <t xml:space="preserve">Innovar,Renovar, , , , </t>
  </si>
  <si>
    <t>Binoged</t>
  </si>
  <si>
    <t>REnovar</t>
  </si>
  <si>
    <t>Obinyed</t>
  </si>
  <si>
    <t>Crear</t>
  </si>
  <si>
    <t xml:space="preserve">Transformar, , , , </t>
  </si>
  <si>
    <t>Obired</t>
  </si>
  <si>
    <t>Devolver</t>
  </si>
  <si>
    <t xml:space="preserve">Restituir, Hcer regresar, , , </t>
  </si>
  <si>
    <t>Obnaged</t>
  </si>
  <si>
    <t>Moler maíz</t>
  </si>
  <si>
    <t xml:space="preserve">Maquina de moler maíz, , , , </t>
  </si>
  <si>
    <t>Obsag</t>
  </si>
  <si>
    <t>Sopa de harina de maíz</t>
  </si>
  <si>
    <t>Anale</t>
  </si>
  <si>
    <t xml:space="preserve">En lugar de,  En sustitucion de, , , </t>
  </si>
  <si>
    <t>Obsiga</t>
  </si>
  <si>
    <t>Pelusa de la mazorca</t>
  </si>
  <si>
    <t>Obu</t>
  </si>
  <si>
    <t>Granero de maíz</t>
  </si>
  <si>
    <t xml:space="preserve">Silo, , , , </t>
  </si>
  <si>
    <t>Obuu</t>
  </si>
  <si>
    <t>Obued</t>
  </si>
  <si>
    <t>Deshacer algo blando</t>
  </si>
  <si>
    <t xml:space="preserve">Machacar, , , , </t>
  </si>
  <si>
    <t>Obuloged</t>
  </si>
  <si>
    <t>Exagerar</t>
  </si>
  <si>
    <t xml:space="preserve">Extremar, Exceder, Agravar, , </t>
  </si>
  <si>
    <t>Obunnoged</t>
  </si>
  <si>
    <t>Descansar</t>
  </si>
  <si>
    <t xml:space="preserve">Reposar, Signode punto, , , </t>
  </si>
  <si>
    <t>Obur</t>
  </si>
  <si>
    <t>Canoa</t>
  </si>
  <si>
    <t xml:space="preserve">Batel, , , , </t>
  </si>
  <si>
    <t>Dabur</t>
  </si>
  <si>
    <t>Dabuulu</t>
  </si>
  <si>
    <t>Obured</t>
  </si>
  <si>
    <t>Mezclar</t>
  </si>
  <si>
    <t xml:space="preserve">Enredar, Confundir, , , </t>
  </si>
  <si>
    <t>Anbayo</t>
  </si>
  <si>
    <t>Todavía no</t>
  </si>
  <si>
    <t xml:space="preserve"> Un momento, Espere, , , </t>
  </si>
  <si>
    <t>luchar</t>
  </si>
  <si>
    <t>Obusged</t>
  </si>
  <si>
    <t>Pelar</t>
  </si>
  <si>
    <t xml:space="preserve">luchar </t>
  </si>
  <si>
    <t>Edared</t>
  </si>
  <si>
    <t xml:space="preserve">Quitar la cáscara, , , , </t>
  </si>
  <si>
    <t>Enubed</t>
  </si>
  <si>
    <t>Odagged</t>
  </si>
  <si>
    <t>Despertar</t>
  </si>
  <si>
    <t xml:space="preserve">Avivar, Estimular, , , </t>
  </si>
  <si>
    <t>Odaloged</t>
  </si>
  <si>
    <t>Explicar</t>
  </si>
  <si>
    <t xml:space="preserve">Interpretar, Traducir, , </t>
  </si>
  <si>
    <t>Oduloged</t>
  </si>
  <si>
    <t xml:space="preserve">Interpretar, Traducir, , , </t>
  </si>
  <si>
    <t>Odeged</t>
  </si>
  <si>
    <t>Bajar</t>
  </si>
  <si>
    <t xml:space="preserve">Descender algo, , , , </t>
  </si>
  <si>
    <t>Yoo</t>
  </si>
  <si>
    <t xml:space="preserve">Un momento, , , , </t>
  </si>
  <si>
    <t>Odeed</t>
  </si>
  <si>
    <t>Odigigwa</t>
  </si>
  <si>
    <t xml:space="preserve">Rectilíneo, , , , </t>
  </si>
  <si>
    <t>inniggigwa</t>
  </si>
  <si>
    <t>Odinnoged</t>
  </si>
  <si>
    <t>Secar</t>
  </si>
  <si>
    <t xml:space="preserve">Enjugar, Desaguar, , , </t>
  </si>
  <si>
    <t>Odinnoed</t>
  </si>
  <si>
    <t xml:space="preserve">Enugar, Desaguar, , , </t>
  </si>
  <si>
    <t>Odoged</t>
  </si>
  <si>
    <t>Meter</t>
  </si>
  <si>
    <t xml:space="preserve">Introducir, Encjar, Enclavar, , </t>
  </si>
  <si>
    <t>Oduggued</t>
  </si>
  <si>
    <t>Esconder</t>
  </si>
  <si>
    <t xml:space="preserve">Ocultar, , , , </t>
  </si>
  <si>
    <t>Odurdagged</t>
  </si>
  <si>
    <t>Enseñar</t>
  </si>
  <si>
    <t xml:space="preserve">Educar, Dsiciplinar, Docente, , </t>
  </si>
  <si>
    <t xml:space="preserve">Perderse, , , , </t>
  </si>
  <si>
    <t>Yoogwe</t>
  </si>
  <si>
    <t>Oyoggued</t>
  </si>
  <si>
    <t>Perder</t>
  </si>
  <si>
    <t>Ogaed</t>
  </si>
  <si>
    <t>Encender</t>
  </si>
  <si>
    <t xml:space="preserve">Hacer algo, , , , </t>
  </si>
  <si>
    <t>Ogaggarmagged</t>
  </si>
  <si>
    <t>Agitar ramas de árbol para hacer caer frutas</t>
  </si>
  <si>
    <t>Shake tree branches to make fruit fall</t>
  </si>
  <si>
    <t>Oged</t>
  </si>
  <si>
    <t>Bañar</t>
  </si>
  <si>
    <t xml:space="preserve">Mojar, duchar, , , </t>
  </si>
  <si>
    <t>Oginned</t>
  </si>
  <si>
    <t xml:space="preserve">Apagar </t>
  </si>
  <si>
    <t xml:space="preserve">Extinguir, , , , </t>
  </si>
  <si>
    <t>Put out the fire</t>
  </si>
  <si>
    <t>Ogob</t>
  </si>
  <si>
    <t>Coco</t>
  </si>
  <si>
    <t>Oggob</t>
  </si>
  <si>
    <t>Ogobasa</t>
  </si>
  <si>
    <t>Resto de coco rallado</t>
  </si>
  <si>
    <t>Ogobdudu</t>
  </si>
  <si>
    <t>Coco de maíz tierno</t>
  </si>
  <si>
    <t>Anbe</t>
  </si>
  <si>
    <t>Diez</t>
  </si>
  <si>
    <t xml:space="preserve">Cuñada dicho por un varón, , , , </t>
  </si>
  <si>
    <t>Ogobebinaled</t>
  </si>
  <si>
    <t>Cocor rayado</t>
  </si>
  <si>
    <t>Ogobnagaled</t>
  </si>
  <si>
    <t xml:space="preserve">Rayado, , , , </t>
  </si>
  <si>
    <t>Ogobenubed</t>
  </si>
  <si>
    <t>Tenaza de pelar cocos</t>
  </si>
  <si>
    <t xml:space="preserve">Descascarar coco, , , , </t>
  </si>
  <si>
    <t>Ogobgaa</t>
  </si>
  <si>
    <t>Hoja de cocotero</t>
  </si>
  <si>
    <t>Ogobgan</t>
  </si>
  <si>
    <t>Cocotal</t>
  </si>
  <si>
    <t>Coconut grove</t>
  </si>
  <si>
    <t>Ogobgana</t>
  </si>
  <si>
    <t>Ogobgwallu</t>
  </si>
  <si>
    <t>Aceite de coco</t>
  </si>
  <si>
    <t>Ogobnied</t>
  </si>
  <si>
    <t>Coco nacido</t>
  </si>
  <si>
    <t>Ogobnis</t>
  </si>
  <si>
    <t>Leche de coco</t>
  </si>
  <si>
    <t>Ogobnisa</t>
  </si>
  <si>
    <t>Abbagi</t>
  </si>
  <si>
    <t>Anbesui</t>
  </si>
  <si>
    <t>Concuñado</t>
  </si>
  <si>
    <t>Ogobugga</t>
  </si>
  <si>
    <t>Estopa</t>
  </si>
  <si>
    <t xml:space="preserve">Cáscara de coco, , , , </t>
  </si>
  <si>
    <t>Oakum</t>
  </si>
  <si>
    <t>Ogobwala</t>
  </si>
  <si>
    <t>Palma de coco</t>
  </si>
  <si>
    <t>Ogobwar</t>
  </si>
  <si>
    <t>Tronco de coco</t>
  </si>
  <si>
    <t>Ogoled</t>
  </si>
  <si>
    <t>Sonar</t>
  </si>
  <si>
    <t>Ogummagged</t>
  </si>
  <si>
    <t>Quemar</t>
  </si>
  <si>
    <t xml:space="preserve">Calcina, Chamusgar, , , </t>
  </si>
  <si>
    <t>Ogunned</t>
  </si>
  <si>
    <t>Dar de comer</t>
  </si>
  <si>
    <t xml:space="preserve">Alimentar, , , , </t>
  </si>
  <si>
    <t>Oiboged</t>
  </si>
  <si>
    <t>Trasnocharse</t>
  </si>
  <si>
    <t xml:space="preserve">Pernoctar, , , , </t>
  </si>
  <si>
    <t>Oied</t>
  </si>
  <si>
    <t>Talar</t>
  </si>
  <si>
    <t>Oimagged</t>
  </si>
  <si>
    <t>Bulla</t>
  </si>
  <si>
    <t xml:space="preserve">Escándolo, Griterío, Alboroto, , </t>
  </si>
  <si>
    <t>Oisoged</t>
  </si>
  <si>
    <t>Avisar</t>
  </si>
  <si>
    <t>Anbi</t>
  </si>
  <si>
    <t>Yo solo</t>
  </si>
  <si>
    <t>Olaed</t>
  </si>
  <si>
    <t>Tumbar</t>
  </si>
  <si>
    <t xml:space="preserve">Hacer caer, , , , </t>
  </si>
  <si>
    <t>Omuggued</t>
  </si>
  <si>
    <t>Olargan</t>
  </si>
  <si>
    <t>Anillo</t>
  </si>
  <si>
    <t xml:space="preserve">Aro, Sortija, , , </t>
  </si>
  <si>
    <t>Olasu</t>
  </si>
  <si>
    <t>Nariguera</t>
  </si>
  <si>
    <t xml:space="preserve">Anillo de la nariz, , , , </t>
  </si>
  <si>
    <t>Olli</t>
  </si>
  <si>
    <t>Barro</t>
  </si>
  <si>
    <t xml:space="preserve">Lodo, Fango, , , </t>
  </si>
  <si>
    <t>Olliggwa</t>
  </si>
  <si>
    <t>Bebida dulce de maiz o cacao</t>
  </si>
  <si>
    <t>Ollilele</t>
  </si>
  <si>
    <t>Espeso</t>
  </si>
  <si>
    <t xml:space="preserve">Gelatinoso, , , , </t>
  </si>
  <si>
    <t>Olliggwagwa</t>
  </si>
  <si>
    <t>Ollogwa</t>
  </si>
  <si>
    <t>Vacío</t>
  </si>
  <si>
    <t>Ollole</t>
  </si>
  <si>
    <t>Espacioso</t>
  </si>
  <si>
    <t xml:space="preserve">Ancho, Amplio, , , </t>
  </si>
  <si>
    <t>Anbo</t>
  </si>
  <si>
    <t>Conmigo</t>
  </si>
  <si>
    <t>Ollomagged</t>
  </si>
  <si>
    <t>Vaciar</t>
  </si>
  <si>
    <t xml:space="preserve">Desocupar, Ahuecar, , , </t>
  </si>
  <si>
    <t>Olobibbirgunyai</t>
  </si>
  <si>
    <t>Madre tierra que gira y avanza</t>
  </si>
  <si>
    <t>Oloiddirdili</t>
  </si>
  <si>
    <t xml:space="preserve">Dividida en continentes, , , , </t>
  </si>
  <si>
    <t>Ololele</t>
  </si>
  <si>
    <t>Circulo</t>
  </si>
  <si>
    <t xml:space="preserve">Redondo, , , , </t>
  </si>
  <si>
    <t>Oroggwagwa</t>
  </si>
  <si>
    <t>Redondo</t>
  </si>
  <si>
    <t>Dirbir</t>
  </si>
  <si>
    <t>Dirbile</t>
  </si>
  <si>
    <t xml:space="preserve">Redondo, Circular, , , </t>
  </si>
  <si>
    <t>Olonailasob</t>
  </si>
  <si>
    <t>Primera mujer</t>
  </si>
  <si>
    <t>Olonaiggabaler</t>
  </si>
  <si>
    <t>Personaje que simboliza el mal</t>
  </si>
  <si>
    <t>Biler</t>
  </si>
  <si>
    <t>Anbogwa</t>
  </si>
  <si>
    <t>Olor</t>
  </si>
  <si>
    <t>Cigarra</t>
  </si>
  <si>
    <t>Olornii</t>
  </si>
  <si>
    <t>Abril</t>
  </si>
  <si>
    <t>Olowagli</t>
  </si>
  <si>
    <t>Unica mujer entre hermanos</t>
  </si>
  <si>
    <t>Personaje central de Babigala</t>
  </si>
  <si>
    <t>Main character of Babigala</t>
  </si>
  <si>
    <t>Personaje central de Baigala</t>
  </si>
  <si>
    <t>Ololua</t>
  </si>
  <si>
    <t>Orejera</t>
  </si>
  <si>
    <t>Olugged</t>
  </si>
  <si>
    <t>Joyero</t>
  </si>
  <si>
    <t xml:space="preserve">Orfebre, Platero, , , </t>
  </si>
  <si>
    <t>Orsobed</t>
  </si>
  <si>
    <t xml:space="preserve">Orfebre, , , , </t>
  </si>
  <si>
    <t>Omaed</t>
  </si>
  <si>
    <t>Dar papilla  a bebe</t>
  </si>
  <si>
    <t xml:space="preserve">Animal, Juego de escondite, , , </t>
  </si>
  <si>
    <t>Animal, Hideout game,</t>
  </si>
  <si>
    <t>Anbogwad</t>
  </si>
  <si>
    <t>Mi pareja</t>
  </si>
  <si>
    <t xml:space="preserve">Consorte, Esposa, , , </t>
  </si>
  <si>
    <t>Ome</t>
  </si>
  <si>
    <t>Esposa</t>
  </si>
  <si>
    <t xml:space="preserve">Mujer, , , , </t>
  </si>
  <si>
    <t>Sanwa</t>
  </si>
  <si>
    <t>Omegid</t>
  </si>
  <si>
    <t>Afeminado</t>
  </si>
  <si>
    <t xml:space="preserve">Homosexual, , , , </t>
  </si>
  <si>
    <t>Omeloged</t>
  </si>
  <si>
    <t>Aumentar</t>
  </si>
  <si>
    <t xml:space="preserve">Sumar, Añadir, , , </t>
  </si>
  <si>
    <t>Meloged</t>
  </si>
  <si>
    <t>Omemmermagged</t>
  </si>
  <si>
    <t>Flamear</t>
  </si>
  <si>
    <t xml:space="preserve">Ondear, Agitar, , , </t>
  </si>
  <si>
    <t>Sisi</t>
  </si>
  <si>
    <t>Omoed</t>
  </si>
  <si>
    <t>Hacer llegar</t>
  </si>
  <si>
    <t xml:space="preserve">Reunirse con la mujer, , , , </t>
  </si>
  <si>
    <t>Make it arrive</t>
  </si>
  <si>
    <t>Angad</t>
  </si>
  <si>
    <t>Mío</t>
  </si>
  <si>
    <t xml:space="preserve">Mía, Mi, , , </t>
  </si>
  <si>
    <t>Mine, My</t>
  </si>
  <si>
    <t>Onaggwed</t>
  </si>
  <si>
    <t xml:space="preserve">Ascender, , , , </t>
  </si>
  <si>
    <t>Onasgued</t>
  </si>
  <si>
    <t>Extender</t>
  </si>
  <si>
    <t xml:space="preserve">Difundir, Divulgar, Multiplicar, , </t>
  </si>
  <si>
    <t>Onasoed</t>
  </si>
  <si>
    <t>Onired</t>
  </si>
  <si>
    <t>Mover del sitio</t>
  </si>
  <si>
    <t xml:space="preserve">Desplazar, Trasladar, , , </t>
  </si>
  <si>
    <t>Onmagged</t>
  </si>
  <si>
    <t>Reunir</t>
  </si>
  <si>
    <t xml:space="preserve">Convocar, Amontonar, , , </t>
  </si>
  <si>
    <t>Casa del Congreso</t>
  </si>
  <si>
    <t xml:space="preserve">Comienzo, Introducción, , , </t>
  </si>
  <si>
    <t>Angadi</t>
  </si>
  <si>
    <t>Onoged</t>
  </si>
  <si>
    <t>Sacar</t>
  </si>
  <si>
    <t xml:space="preserve">Titular a un alumno, , , , </t>
  </si>
  <si>
    <t>Onoed</t>
  </si>
  <si>
    <t>Ononnoged</t>
  </si>
  <si>
    <t>Ahuyentar</t>
  </si>
  <si>
    <t xml:space="preserve">Espantar, Atemorizar, Alejar, , </t>
  </si>
  <si>
    <t>Onued</t>
  </si>
  <si>
    <t>Dar pecho</t>
  </si>
  <si>
    <t xml:space="preserve">Amamantar, , , , </t>
  </si>
  <si>
    <t>Breastfeeding</t>
  </si>
  <si>
    <t>Ormer</t>
  </si>
  <si>
    <t>Cesta</t>
  </si>
  <si>
    <t xml:space="preserve">Canasta, , , , </t>
  </si>
  <si>
    <t>Circular</t>
  </si>
  <si>
    <t>Angi</t>
  </si>
  <si>
    <t>Langostino</t>
  </si>
  <si>
    <t xml:space="preserve">Crustaceo, En mi,  De mi, , </t>
  </si>
  <si>
    <t xml:space="preserve">Circular, , , , </t>
  </si>
  <si>
    <t>Oros</t>
  </si>
  <si>
    <t>Arroz</t>
  </si>
  <si>
    <t>Orossor</t>
  </si>
  <si>
    <t>Concolón</t>
  </si>
  <si>
    <t>Orossola</t>
  </si>
  <si>
    <t>Orsar</t>
  </si>
  <si>
    <t>Utensilio de cocina para amasar plátano</t>
  </si>
  <si>
    <t>Pez ballesta</t>
  </si>
  <si>
    <t>Triggerfish</t>
  </si>
  <si>
    <t>Pejepuerco,,</t>
  </si>
  <si>
    <t>Muusele</t>
  </si>
  <si>
    <t>Grey triggerfish</t>
  </si>
  <si>
    <t>Oseniggued</t>
  </si>
  <si>
    <t>Achicar</t>
  </si>
  <si>
    <t xml:space="preserve">Reducir, Disminuir, , , </t>
  </si>
  <si>
    <t>Osgomagged</t>
  </si>
  <si>
    <t>Sollozar</t>
  </si>
  <si>
    <t xml:space="preserve">Llorar, Lloriquear, , , </t>
  </si>
  <si>
    <t>Osgon</t>
  </si>
  <si>
    <t>Agallas</t>
  </si>
  <si>
    <t xml:space="preserve">Amigdalas, , , , </t>
  </si>
  <si>
    <t>Annagwa</t>
  </si>
  <si>
    <t>Cuñada</t>
  </si>
  <si>
    <t xml:space="preserve">Hermana del maridol, , , , </t>
  </si>
  <si>
    <t>Osi</t>
  </si>
  <si>
    <t>Piña</t>
  </si>
  <si>
    <t>Osidiggi</t>
  </si>
  <si>
    <t>Muy dulce</t>
  </si>
  <si>
    <t xml:space="preserve">Dulzón, , , , </t>
  </si>
  <si>
    <t>Osinis</t>
  </si>
  <si>
    <t>Jugo de piña</t>
  </si>
  <si>
    <t>Osinisa</t>
  </si>
  <si>
    <t>Osogwa</t>
  </si>
  <si>
    <t>Estrecho</t>
  </si>
  <si>
    <t xml:space="preserve">Angosto, Ceñido, , , </t>
  </si>
  <si>
    <t>Ossi</t>
  </si>
  <si>
    <t>Azucar</t>
  </si>
  <si>
    <t xml:space="preserve">Platano primitivo, , , , </t>
  </si>
  <si>
    <t>Sugar</t>
  </si>
  <si>
    <t>Azúcar</t>
  </si>
  <si>
    <t>Osuggued</t>
  </si>
  <si>
    <t>Enfriar alguna debida</t>
  </si>
  <si>
    <t>Osugued</t>
  </si>
  <si>
    <t>Alargar</t>
  </si>
  <si>
    <t xml:space="preserve">Prolongar, , , , </t>
  </si>
  <si>
    <t>Osuloged</t>
  </si>
  <si>
    <t>Anular</t>
  </si>
  <si>
    <t xml:space="preserve">Negar, , , , </t>
  </si>
  <si>
    <t xml:space="preserve">Hermana del marido, , , , </t>
  </si>
  <si>
    <t>Oswiswimagged</t>
  </si>
  <si>
    <t>Sacar punta</t>
  </si>
  <si>
    <t xml:space="preserve">Afilar, , , , </t>
  </si>
  <si>
    <t>Owardiggued</t>
  </si>
  <si>
    <t>Mojar</t>
  </si>
  <si>
    <t>Owiloed</t>
  </si>
  <si>
    <t>Añadir más líquido</t>
  </si>
  <si>
    <t>Wiloed</t>
  </si>
  <si>
    <t>Añadir</t>
  </si>
  <si>
    <t>Wiloged</t>
  </si>
  <si>
    <t>Owisoged</t>
  </si>
  <si>
    <t>Informar</t>
  </si>
  <si>
    <t xml:space="preserve">Avisar, Notificar, Anunciar, , </t>
  </si>
  <si>
    <t>Oyoed</t>
  </si>
  <si>
    <t>Mostrar</t>
  </si>
  <si>
    <t xml:space="preserve">Manifestar, Expresar, Exponer, , </t>
  </si>
  <si>
    <t>Oyeged</t>
  </si>
  <si>
    <t xml:space="preserve">Exponer, , , , </t>
  </si>
  <si>
    <t xml:space="preserve">Extraviar, , , , </t>
  </si>
  <si>
    <t>Aadi</t>
  </si>
  <si>
    <t>eso</t>
  </si>
  <si>
    <t>That</t>
  </si>
  <si>
    <t>Abbalalla</t>
  </si>
  <si>
    <t>Centrico</t>
  </si>
  <si>
    <t>Saa</t>
  </si>
  <si>
    <t>Excremento</t>
  </si>
  <si>
    <t xml:space="preserve">Heces, Excreta, Oxido, , </t>
  </si>
  <si>
    <t>Saabio</t>
  </si>
  <si>
    <t>Diarrea</t>
  </si>
  <si>
    <t xml:space="preserve">Evacuaciones liquidas, , , , </t>
  </si>
  <si>
    <t>Disegad</t>
  </si>
  <si>
    <t>Sadib</t>
  </si>
  <si>
    <t>Saamesed</t>
  </si>
  <si>
    <t>Oxidarse</t>
  </si>
  <si>
    <t xml:space="preserve">Corroerse, , , , </t>
  </si>
  <si>
    <t>Saban</t>
  </si>
  <si>
    <t>Estómago</t>
  </si>
  <si>
    <t xml:space="preserve">Vientre, , , , </t>
  </si>
  <si>
    <t>Sader</t>
  </si>
  <si>
    <t>Sagi</t>
  </si>
  <si>
    <t>Sabban</t>
  </si>
  <si>
    <t>Leña</t>
  </si>
  <si>
    <t>Sabbi</t>
  </si>
  <si>
    <t>Arbol</t>
  </si>
  <si>
    <t xml:space="preserve">Arbusto, , , , </t>
  </si>
  <si>
    <t>Tree</t>
  </si>
  <si>
    <t>Naa</t>
  </si>
  <si>
    <t>Sabbibenega</t>
  </si>
  <si>
    <t>Seno materno</t>
  </si>
  <si>
    <t>Sabbidurba</t>
  </si>
  <si>
    <t>Fruta</t>
  </si>
  <si>
    <t>Fruit</t>
  </si>
  <si>
    <t>Sabbigaa</t>
  </si>
  <si>
    <t>Hoja del arbol</t>
  </si>
  <si>
    <t>Sabbigarda</t>
  </si>
  <si>
    <t>Arbol de hojas amargas</t>
  </si>
  <si>
    <t>Sabbimali</t>
  </si>
  <si>
    <t>Raíz del árbol</t>
  </si>
  <si>
    <t>Sabbimima</t>
  </si>
  <si>
    <t>Cogollo de la raíz de la planta</t>
  </si>
  <si>
    <t>Sabbin</t>
  </si>
  <si>
    <t xml:space="preserve">Discíoulo, Alumno, , , </t>
  </si>
  <si>
    <t>Sabbir</t>
  </si>
  <si>
    <t>Zurdo</t>
  </si>
  <si>
    <t xml:space="preserve">Izquierda, , , , </t>
  </si>
  <si>
    <t>Sabbiled</t>
  </si>
  <si>
    <t>Sabbisagla</t>
  </si>
  <si>
    <t>Annaed</t>
  </si>
  <si>
    <t>Pisar</t>
  </si>
  <si>
    <t>Sabbiugga</t>
  </si>
  <si>
    <t>Corteza de árbol</t>
  </si>
  <si>
    <t>Sabbiwar</t>
  </si>
  <si>
    <t>Tronco de árbol</t>
  </si>
  <si>
    <t>Sabbiwala</t>
  </si>
  <si>
    <t>Sabbur</t>
  </si>
  <si>
    <t>Bosque</t>
  </si>
  <si>
    <t xml:space="preserve">Monte, Selva, , , </t>
  </si>
  <si>
    <t>Sabdur</t>
  </si>
  <si>
    <t>Jagua</t>
  </si>
  <si>
    <t>Sidsi</t>
  </si>
  <si>
    <t>Sabed</t>
  </si>
  <si>
    <t>Amor</t>
  </si>
  <si>
    <t xml:space="preserve">Cariño, Afecto, , , </t>
  </si>
  <si>
    <t>Sabga</t>
  </si>
  <si>
    <t>Carta</t>
  </si>
  <si>
    <t xml:space="preserve">Mensaje, Hoja, cuaderno, , </t>
  </si>
  <si>
    <t>Chocolate</t>
  </si>
  <si>
    <t>Annugged</t>
  </si>
  <si>
    <t>Lavarse las manos</t>
  </si>
  <si>
    <t>Sabgasuwar</t>
  </si>
  <si>
    <t>Lápiz</t>
  </si>
  <si>
    <t xml:space="preserve">Lapicero, , , , </t>
  </si>
  <si>
    <t>Sabgued</t>
  </si>
  <si>
    <t>Amar</t>
  </si>
  <si>
    <t xml:space="preserve">Encariñarse, , , , </t>
  </si>
  <si>
    <t>Saboged</t>
  </si>
  <si>
    <t>Guardar</t>
  </si>
  <si>
    <t xml:space="preserve">Ahorrar, Conservar, Archivar, , </t>
  </si>
  <si>
    <t>Sabsursaed</t>
  </si>
  <si>
    <t>Maltratar</t>
  </si>
  <si>
    <t xml:space="preserve">Dañar, Lastimar, , , </t>
  </si>
  <si>
    <t>Sabured</t>
  </si>
  <si>
    <t>Enagua</t>
  </si>
  <si>
    <t xml:space="preserve">Frazada, , , , </t>
  </si>
  <si>
    <t>Sadde</t>
  </si>
  <si>
    <t>No hay</t>
  </si>
  <si>
    <t xml:space="preserve">Nada, Cero, , , </t>
  </si>
  <si>
    <t>Saddewar</t>
  </si>
  <si>
    <t>Palo santo</t>
  </si>
  <si>
    <t>Saddewala</t>
  </si>
  <si>
    <t>Ansig</t>
  </si>
  <si>
    <t>Hacia mi</t>
  </si>
  <si>
    <t xml:space="preserve">Del lado mio, , , , </t>
  </si>
  <si>
    <t>To me</t>
  </si>
  <si>
    <t>Sadued</t>
  </si>
  <si>
    <t>Defecar</t>
  </si>
  <si>
    <t xml:space="preserve">Excretar, Deponer, , , </t>
  </si>
  <si>
    <t>Disnaed</t>
  </si>
  <si>
    <t>Sae</t>
  </si>
  <si>
    <t>Ayer</t>
  </si>
  <si>
    <t xml:space="preserve">Realizar, Ejecutar, , , </t>
  </si>
  <si>
    <t xml:space="preserve">Repudiar, , , , </t>
  </si>
  <si>
    <t>Saeiddoged</t>
  </si>
  <si>
    <t>Disgustarse</t>
  </si>
  <si>
    <t>Upset</t>
  </si>
  <si>
    <t>Ansiggi</t>
  </si>
  <si>
    <t>To my</t>
  </si>
  <si>
    <t>Sagbundor</t>
  </si>
  <si>
    <t>Suegra</t>
  </si>
  <si>
    <t>Saggabunadola</t>
  </si>
  <si>
    <t>Sagga</t>
  </si>
  <si>
    <t>Suegro o suegra</t>
  </si>
  <si>
    <t>Saggan</t>
  </si>
  <si>
    <t>Ala</t>
  </si>
  <si>
    <t xml:space="preserve">Aleta, , , , </t>
  </si>
  <si>
    <t>Saggi</t>
  </si>
  <si>
    <t>Red</t>
  </si>
  <si>
    <t xml:space="preserve">Malla, , , , </t>
  </si>
  <si>
    <t>Saggileged</t>
  </si>
  <si>
    <t>Machucarse</t>
  </si>
  <si>
    <t xml:space="preserve">Magullarse, Ser robado, , , </t>
  </si>
  <si>
    <t>Saggumagged</t>
  </si>
  <si>
    <t>Masticar</t>
  </si>
  <si>
    <t xml:space="preserve">Mascar, , , , </t>
  </si>
  <si>
    <t>Saggwa</t>
  </si>
  <si>
    <t>Brazo</t>
  </si>
  <si>
    <t>Surgan</t>
  </si>
  <si>
    <t>Swida</t>
  </si>
  <si>
    <t>Ansu</t>
  </si>
  <si>
    <t>Sirena</t>
  </si>
  <si>
    <t>Sagirburwa</t>
  </si>
  <si>
    <t>Viento del noroeste</t>
  </si>
  <si>
    <t>Sagisuid</t>
  </si>
  <si>
    <t>Glotón</t>
  </si>
  <si>
    <t xml:space="preserve">Insaciable, Hambriento, , , </t>
  </si>
  <si>
    <t>Sagla</t>
  </si>
  <si>
    <t>Guía religioso</t>
  </si>
  <si>
    <t xml:space="preserve">Autoridad de la comunidad, , , , </t>
  </si>
  <si>
    <t>Religious leader</t>
  </si>
  <si>
    <t>Sagladummad</t>
  </si>
  <si>
    <t>Autoridad mayor comarcal</t>
  </si>
  <si>
    <t>Greater local authority</t>
  </si>
  <si>
    <t>Saglagia</t>
  </si>
  <si>
    <t>Cabello</t>
  </si>
  <si>
    <t xml:space="preserve">Pelo, , , , </t>
  </si>
  <si>
    <t>Saglar</t>
  </si>
  <si>
    <t>Con toda la raíz</t>
  </si>
  <si>
    <t>Saglale</t>
  </si>
  <si>
    <t>Saglabela</t>
  </si>
  <si>
    <t>Anwar</t>
  </si>
  <si>
    <t>Envuelto</t>
  </si>
  <si>
    <t xml:space="preserve">Refiere a medicamento o alimento, , , , </t>
  </si>
  <si>
    <t>Cabello blanco</t>
  </si>
  <si>
    <t>Sagmassered</t>
  </si>
  <si>
    <t>Suegro</t>
  </si>
  <si>
    <t>Saggamassseredi</t>
  </si>
  <si>
    <t>Sagu</t>
  </si>
  <si>
    <t>Saco</t>
  </si>
  <si>
    <t xml:space="preserve">Bolsa, , , , </t>
  </si>
  <si>
    <t>Salli</t>
  </si>
  <si>
    <t>Martín Pescador</t>
  </si>
  <si>
    <t>Sallig</t>
  </si>
  <si>
    <t>Llevar algo a la cadera</t>
  </si>
  <si>
    <t>Salliggine</t>
  </si>
  <si>
    <t>Salluleged</t>
  </si>
  <si>
    <t>Magullarse</t>
  </si>
  <si>
    <t>Salu</t>
  </si>
  <si>
    <t>Almeja del río</t>
  </si>
  <si>
    <t>Samor</t>
  </si>
  <si>
    <t>Pañal</t>
  </si>
  <si>
    <t xml:space="preserve">Sabanilla, , , , </t>
  </si>
  <si>
    <t>Anwale</t>
  </si>
  <si>
    <t>Samu</t>
  </si>
  <si>
    <t>Comején</t>
  </si>
  <si>
    <t>Samur</t>
  </si>
  <si>
    <t>Intestino</t>
  </si>
  <si>
    <t xml:space="preserve">Entraña, Víscera, , , </t>
  </si>
  <si>
    <t>Carne</t>
  </si>
  <si>
    <t>Sanargued</t>
  </si>
  <si>
    <t>Demorar</t>
  </si>
  <si>
    <t xml:space="preserve">Apersonarse, Manifestarse, Aparecer, , </t>
  </si>
  <si>
    <t>Sangwa</t>
  </si>
  <si>
    <t xml:space="preserve"> Mujer de, , , , </t>
  </si>
  <si>
    <t>Sargag</t>
  </si>
  <si>
    <t>Variedad de Tucán</t>
  </si>
  <si>
    <t>Saligagga</t>
  </si>
  <si>
    <t>Anwed</t>
  </si>
  <si>
    <t>Envolver</t>
  </si>
  <si>
    <t>Sargi</t>
  </si>
  <si>
    <t>Bejuco</t>
  </si>
  <si>
    <t>Sarsoged</t>
  </si>
  <si>
    <t>Pegar</t>
  </si>
  <si>
    <t xml:space="preserve">Golpear, , , , </t>
  </si>
  <si>
    <t>Sasir</t>
  </si>
  <si>
    <t>Cintura</t>
  </si>
  <si>
    <t>Saya</t>
  </si>
  <si>
    <t>Ano</t>
  </si>
  <si>
    <t>Saataa</t>
  </si>
  <si>
    <t>Sayee</t>
  </si>
  <si>
    <t>Insípido</t>
  </si>
  <si>
    <t>Sayegwa</t>
  </si>
  <si>
    <t xml:space="preserve">Desaborido, , , , </t>
  </si>
  <si>
    <t>Sedaged</t>
  </si>
  <si>
    <t>Traer hacia uno</t>
  </si>
  <si>
    <t>Seded</t>
  </si>
  <si>
    <t>Cargar</t>
  </si>
  <si>
    <t xml:space="preserve">Transportar, , , , </t>
  </si>
  <si>
    <t>Sedo</t>
  </si>
  <si>
    <t>Tarde</t>
  </si>
  <si>
    <t xml:space="preserve">Por la tarde, , , , </t>
  </si>
  <si>
    <t>Abanned</t>
  </si>
  <si>
    <t>Arad</t>
  </si>
  <si>
    <t>Azul</t>
  </si>
  <si>
    <t>Dadnade</t>
  </si>
  <si>
    <t>Sedogwen</t>
  </si>
  <si>
    <t>Apenas anochecio</t>
  </si>
  <si>
    <t>Just got dark</t>
  </si>
  <si>
    <t>See</t>
  </si>
  <si>
    <t>Aleta</t>
  </si>
  <si>
    <t xml:space="preserve">De verbo semilla, , , , </t>
  </si>
  <si>
    <t>Seed</t>
  </si>
  <si>
    <t>Llevar</t>
  </si>
  <si>
    <t xml:space="preserve">Cargar, Guiar, Gobernar, , </t>
  </si>
  <si>
    <t>Segar</t>
  </si>
  <si>
    <t>Fósforo</t>
  </si>
  <si>
    <t xml:space="preserve">Cerilla, , , , </t>
  </si>
  <si>
    <t>Seggar</t>
  </si>
  <si>
    <t>Sela</t>
  </si>
  <si>
    <t>Marinero</t>
  </si>
  <si>
    <t xml:space="preserve">Navegante, , , , </t>
  </si>
  <si>
    <t>Selelleged</t>
  </si>
  <si>
    <t>Fuerte</t>
  </si>
  <si>
    <t xml:space="preserve">Duro, Macizo, Sólido, , </t>
  </si>
  <si>
    <t>Duddusulid</t>
  </si>
  <si>
    <t>Senigwa</t>
  </si>
  <si>
    <t>De tamaño menor</t>
  </si>
  <si>
    <t xml:space="preserve">No tan pequeño, , , , </t>
  </si>
  <si>
    <t>Aramagged</t>
  </si>
  <si>
    <t>Avivarse el fuego</t>
  </si>
  <si>
    <t>Saisaale</t>
  </si>
  <si>
    <t>De tamaño pequeño</t>
  </si>
  <si>
    <t>Yaigwa</t>
  </si>
  <si>
    <t>Senya</t>
  </si>
  <si>
    <t>Axila</t>
  </si>
  <si>
    <t xml:space="preserve">Sobaco, , , , </t>
  </si>
  <si>
    <t>Underarm,,,,</t>
  </si>
  <si>
    <t>Sered</t>
  </si>
  <si>
    <t>Viejo</t>
  </si>
  <si>
    <t xml:space="preserve">Mayores, Antepasados, , , </t>
  </si>
  <si>
    <t>Sergan</t>
  </si>
  <si>
    <t>Viejos</t>
  </si>
  <si>
    <t xml:space="preserve">Mayores, , , , </t>
  </si>
  <si>
    <t>Sergued</t>
  </si>
  <si>
    <t>Paso de pubertad</t>
  </si>
  <si>
    <t>Yaaleged</t>
  </si>
  <si>
    <t>Sese</t>
  </si>
  <si>
    <t>Saltamontes</t>
  </si>
  <si>
    <t xml:space="preserve">Insecto, Grillo, , , </t>
  </si>
  <si>
    <t>Siagwa</t>
  </si>
  <si>
    <t>Cacao</t>
  </si>
  <si>
    <t>Sia</t>
  </si>
  <si>
    <t>Sobrina</t>
  </si>
  <si>
    <t xml:space="preserve">Cacao, , , , </t>
  </si>
  <si>
    <t>Arbaed</t>
  </si>
  <si>
    <t>Trabajar</t>
  </si>
  <si>
    <t xml:space="preserve">Afanarse, Laborar, , , </t>
  </si>
  <si>
    <t>Sianar</t>
  </si>
  <si>
    <t>Brasero</t>
  </si>
  <si>
    <t xml:space="preserve">Recipiente de arcilla, , , </t>
  </si>
  <si>
    <t>Sianala</t>
  </si>
  <si>
    <t>Brasero de arcilla</t>
  </si>
  <si>
    <t>Sibad</t>
  </si>
  <si>
    <t>Chivo</t>
  </si>
  <si>
    <t xml:space="preserve">Cabra, , , , </t>
  </si>
  <si>
    <t>Sibbor</t>
  </si>
  <si>
    <t>Rubia</t>
  </si>
  <si>
    <t xml:space="preserve">Mujer de color claro, , , , </t>
  </si>
  <si>
    <t>Sibbu</t>
  </si>
  <si>
    <t>Rubio</t>
  </si>
  <si>
    <t xml:space="preserve">Varón de color claro, , , , </t>
  </si>
  <si>
    <t>Sibbugwad</t>
  </si>
  <si>
    <t>Blanco</t>
  </si>
  <si>
    <t xml:space="preserve">Tosco, Negro, , , </t>
  </si>
  <si>
    <t>Gorosuli</t>
  </si>
  <si>
    <t xml:space="preserve">Fosco, Negro, , , </t>
  </si>
  <si>
    <t>Sibeb</t>
  </si>
  <si>
    <t>Escarabajo</t>
  </si>
  <si>
    <t>Arbag</t>
  </si>
  <si>
    <t>A escondidas</t>
  </si>
  <si>
    <t xml:space="preserve">A espaldas,  A hurtadillas, , , </t>
  </si>
  <si>
    <t>Behind, Stealthily,</t>
  </si>
  <si>
    <t>Sidsid</t>
  </si>
  <si>
    <t>Negro</t>
  </si>
  <si>
    <t xml:space="preserve">Oscuro, Prieto, , , </t>
  </si>
  <si>
    <t>Dark, tight,</t>
  </si>
  <si>
    <t>Sidsir</t>
  </si>
  <si>
    <t>Hormiga</t>
  </si>
  <si>
    <t>Sied</t>
  </si>
  <si>
    <t>Sentar a alguien</t>
  </si>
  <si>
    <t xml:space="preserve">Colocar, Poner, Colocar, , </t>
  </si>
  <si>
    <t>Place, Put, Put,</t>
  </si>
  <si>
    <t>Siga</t>
  </si>
  <si>
    <t>Vello</t>
  </si>
  <si>
    <t xml:space="preserve">Barba, Pelo, , , </t>
  </si>
  <si>
    <t>Absar</t>
  </si>
  <si>
    <t xml:space="preserve">barba, Pelo, , , </t>
  </si>
  <si>
    <t>Absala</t>
  </si>
  <si>
    <t>Sigabula</t>
  </si>
  <si>
    <t>Pez barbudo</t>
  </si>
  <si>
    <t xml:space="preserve">Barbón, Barbudo, , , </t>
  </si>
  <si>
    <t>Sigali</t>
  </si>
  <si>
    <t>Cigarrillo</t>
  </si>
  <si>
    <t>Siged</t>
  </si>
  <si>
    <t>Sentarse</t>
  </si>
  <si>
    <t xml:space="preserve">Tomar asiento, Posarse, , , </t>
  </si>
  <si>
    <t>Arbagge</t>
  </si>
  <si>
    <t xml:space="preserve">A espaldas, , , , </t>
  </si>
  <si>
    <t>Siggasigga</t>
  </si>
  <si>
    <t>Picotear</t>
  </si>
  <si>
    <t xml:space="preserve">Picar, No dar en el blanco, , , </t>
  </si>
  <si>
    <t>Chopping, Not to hit the target,,,</t>
  </si>
  <si>
    <t>Sigged</t>
  </si>
  <si>
    <t>Cortar</t>
  </si>
  <si>
    <t xml:space="preserve">Seccionar, Trozar, Partir, , </t>
  </si>
  <si>
    <t>Siggirmagged</t>
  </si>
  <si>
    <t>Echarse atrás</t>
  </si>
  <si>
    <t xml:space="preserve">Retroceder, Retroceso, , , </t>
  </si>
  <si>
    <t>Siggwas</t>
  </si>
  <si>
    <t xml:space="preserve">Poco, No mucho, , , </t>
  </si>
  <si>
    <t>Siggwasobunnoged</t>
  </si>
  <si>
    <t xml:space="preserve">Descanso breve </t>
  </si>
  <si>
    <t xml:space="preserve">Signo de coma, , , , </t>
  </si>
  <si>
    <t>Siggwi</t>
  </si>
  <si>
    <t>Pájaro</t>
  </si>
  <si>
    <t xml:space="preserve">Ave, Secretario, Interprete, , </t>
  </si>
  <si>
    <t>Siggwigolo</t>
  </si>
  <si>
    <t>Canario</t>
  </si>
  <si>
    <t xml:space="preserve">Changamé, , , , </t>
  </si>
  <si>
    <t>Arbaggegwa</t>
  </si>
  <si>
    <t>Sigli</t>
  </si>
  <si>
    <t>Pavón</t>
  </si>
  <si>
    <t>Sigu</t>
  </si>
  <si>
    <t>Flecha</t>
  </si>
  <si>
    <t xml:space="preserve">Dardo, , , , </t>
  </si>
  <si>
    <t>Sile</t>
  </si>
  <si>
    <t>Canasta</t>
  </si>
  <si>
    <t xml:space="preserve">Cesto grande, , , , </t>
  </si>
  <si>
    <t>Silisilid</t>
  </si>
  <si>
    <t>Asma</t>
  </si>
  <si>
    <t>Sirsirid</t>
  </si>
  <si>
    <t>Simmur</t>
  </si>
  <si>
    <t>Nudo</t>
  </si>
  <si>
    <t>Simu</t>
  </si>
  <si>
    <t>Ombligo</t>
  </si>
  <si>
    <t>Arbi</t>
  </si>
  <si>
    <t>Estuvo</t>
  </si>
  <si>
    <t>Sina</t>
  </si>
  <si>
    <t>Puerco</t>
  </si>
  <si>
    <t xml:space="preserve">Cerdo, , , , </t>
  </si>
  <si>
    <t>Sindua</t>
  </si>
  <si>
    <t>Jamón</t>
  </si>
  <si>
    <t xml:space="preserve">Pierna de puerco, , , , </t>
  </si>
  <si>
    <t>Singalu</t>
  </si>
  <si>
    <t>Porqueriza</t>
  </si>
  <si>
    <t xml:space="preserve">Chiquero, , , , </t>
  </si>
  <si>
    <t>Sinneg</t>
  </si>
  <si>
    <t>Singwallu</t>
  </si>
  <si>
    <t xml:space="preserve">Matenca de puerco, , , , </t>
  </si>
  <si>
    <t>Sinna</t>
  </si>
  <si>
    <t>Pájaro Carpintero</t>
  </si>
  <si>
    <t>Sinnisinni</t>
  </si>
  <si>
    <t>Arrugado</t>
  </si>
  <si>
    <t xml:space="preserve">Ajado, , , , </t>
  </si>
  <si>
    <t>Babbibabbi</t>
  </si>
  <si>
    <t>Dunnudunnu</t>
  </si>
  <si>
    <t>Sisa</t>
  </si>
  <si>
    <t>Bebida alcoholica</t>
  </si>
  <si>
    <t>Sisgwa</t>
  </si>
  <si>
    <t>Hija</t>
  </si>
  <si>
    <t xml:space="preserve"> Pasada periodo de pubertad, , , , </t>
  </si>
  <si>
    <t>Sobed</t>
  </si>
  <si>
    <t>Construir</t>
  </si>
  <si>
    <t xml:space="preserve">Dibujar, Persona que prepara bebida fermentada de caña, , , </t>
  </si>
  <si>
    <t>Draw, Person preparing fermented cane juice,</t>
  </si>
  <si>
    <t>Sodso</t>
  </si>
  <si>
    <t>Sobra</t>
  </si>
  <si>
    <t xml:space="preserve">Pedazo medio usado, , , , </t>
  </si>
  <si>
    <t>Half used piece,,</t>
  </si>
  <si>
    <t>Gwiligwili</t>
  </si>
  <si>
    <t xml:space="preserve">Raspado, , , , </t>
  </si>
  <si>
    <t>Sogag</t>
  </si>
  <si>
    <t>Cocina</t>
  </si>
  <si>
    <t>Sogannoged</t>
  </si>
  <si>
    <t>Altizar el fuego</t>
  </si>
  <si>
    <t>Atizar fuego</t>
  </si>
  <si>
    <t>Soged</t>
  </si>
  <si>
    <t>Decir</t>
  </si>
  <si>
    <t xml:space="preserve">Manifestar, Comunicar, Expresar, , </t>
  </si>
  <si>
    <t>Bied</t>
  </si>
  <si>
    <t xml:space="preserve">Pronunciar, , , , </t>
  </si>
  <si>
    <t>Argaale</t>
  </si>
  <si>
    <t>Abierto</t>
  </si>
  <si>
    <t>Soggu</t>
  </si>
  <si>
    <t>Como es así</t>
  </si>
  <si>
    <t xml:space="preserve"> Como se dice eso, , , , </t>
  </si>
  <si>
    <t>Segegua</t>
  </si>
  <si>
    <t xml:space="preserve">Como se dice eso, , , , </t>
  </si>
  <si>
    <t>Sogun</t>
  </si>
  <si>
    <t>Brasa</t>
  </si>
  <si>
    <t xml:space="preserve">Carbón, , , , </t>
  </si>
  <si>
    <t>Solaba</t>
  </si>
  <si>
    <t>De último</t>
  </si>
  <si>
    <t>Solabali</t>
  </si>
  <si>
    <t xml:space="preserve">Ultimo, , , , </t>
  </si>
  <si>
    <t>Solanabbi</t>
  </si>
  <si>
    <t>Sole</t>
  </si>
  <si>
    <t>Acido</t>
  </si>
  <si>
    <t xml:space="preserve">Agrio, , , , </t>
  </si>
  <si>
    <t>Solerba</t>
  </si>
  <si>
    <t>Muy ácido</t>
  </si>
  <si>
    <t>Solesolegwa</t>
  </si>
  <si>
    <t>Ligeramente ácido</t>
  </si>
  <si>
    <t>Somgued</t>
  </si>
  <si>
    <t>Grosor</t>
  </si>
  <si>
    <t xml:space="preserve">Espesura, , , , </t>
  </si>
  <si>
    <t>Egaar</t>
  </si>
  <si>
    <t>Sone</t>
  </si>
  <si>
    <t>Anda</t>
  </si>
  <si>
    <t xml:space="preserve">Camina, Vamos, , , </t>
  </si>
  <si>
    <t>Soo</t>
  </si>
  <si>
    <t>Fuego</t>
  </si>
  <si>
    <t xml:space="preserve">Fogón, , , , </t>
  </si>
  <si>
    <t>Sor</t>
  </si>
  <si>
    <t>Trasero</t>
  </si>
  <si>
    <t xml:space="preserve">Nalga, Glúteo, , , </t>
  </si>
  <si>
    <t>Sola</t>
  </si>
  <si>
    <t xml:space="preserve">Nalga, , , , </t>
  </si>
  <si>
    <t>Sorba</t>
  </si>
  <si>
    <t>Detrás</t>
  </si>
  <si>
    <t xml:space="preserve">Después de, Atrás, , , </t>
  </si>
  <si>
    <t>Sorgaed</t>
  </si>
  <si>
    <t>Timonear</t>
  </si>
  <si>
    <t xml:space="preserve">Manejar, Conducir, , , </t>
  </si>
  <si>
    <t>Sorgar</t>
  </si>
  <si>
    <t>Pelvis</t>
  </si>
  <si>
    <t>Corto,Muy corto</t>
  </si>
  <si>
    <t>Yabbanned</t>
  </si>
  <si>
    <t>Egaale</t>
  </si>
  <si>
    <t xml:space="preserve">Muy Corto, , , , </t>
  </si>
  <si>
    <t>Sorsig</t>
  </si>
  <si>
    <t>Invertido</t>
  </si>
  <si>
    <t xml:space="preserve">Al revés, Inverso, , , </t>
  </si>
  <si>
    <t>Sorsiggi</t>
  </si>
  <si>
    <t>Por el trasero</t>
  </si>
  <si>
    <t>Sour</t>
  </si>
  <si>
    <t>Barco</t>
  </si>
  <si>
    <t xml:space="preserve">Navío, Buque, , , </t>
  </si>
  <si>
    <t>Soulu</t>
  </si>
  <si>
    <t>Avión</t>
  </si>
  <si>
    <t xml:space="preserve">Aeroplano, Aeronave, , , </t>
  </si>
  <si>
    <t>Suba</t>
  </si>
  <si>
    <t xml:space="preserve">Chaqueta, Gabán, , , </t>
  </si>
  <si>
    <t>Subbe</t>
  </si>
  <si>
    <t>Instrumento musical de bambú</t>
  </si>
  <si>
    <t>Sue</t>
  </si>
  <si>
    <t>Arcoiris</t>
  </si>
  <si>
    <t>Argaed</t>
  </si>
  <si>
    <t>Vigilar</t>
  </si>
  <si>
    <t xml:space="preserve">Rondar, Observar, Abrirse, , </t>
  </si>
  <si>
    <t>Sued</t>
  </si>
  <si>
    <t>Escoger</t>
  </si>
  <si>
    <t xml:space="preserve">Seleccionar, Coger, , , </t>
  </si>
  <si>
    <t>Suenamor</t>
  </si>
  <si>
    <t>Bandera</t>
  </si>
  <si>
    <t xml:space="preserve">Estandarte, , , , </t>
  </si>
  <si>
    <t>Suenamola</t>
  </si>
  <si>
    <t>Bander</t>
  </si>
  <si>
    <t>Suga</t>
  </si>
  <si>
    <t>Cangrejo</t>
  </si>
  <si>
    <t>Cangreso manglero</t>
  </si>
  <si>
    <t>Aglisug</t>
  </si>
  <si>
    <t>Cangrejo Manglero</t>
  </si>
  <si>
    <t>Argan</t>
  </si>
  <si>
    <t>Mano</t>
  </si>
  <si>
    <t>Sugge</t>
  </si>
  <si>
    <t>Corriente fluvial</t>
  </si>
  <si>
    <t>Suggu</t>
  </si>
  <si>
    <t>Pez espada</t>
  </si>
  <si>
    <t>Suggun</t>
  </si>
  <si>
    <t>Esquina</t>
  </si>
  <si>
    <t xml:space="preserve">Bahía, Ensenada, , , </t>
  </si>
  <si>
    <t>Sugmurmurud</t>
  </si>
  <si>
    <t>Centollo</t>
  </si>
  <si>
    <t>Sugsugsaed</t>
  </si>
  <si>
    <t>Chupar</t>
  </si>
  <si>
    <t xml:space="preserve">Sorber, , , , </t>
  </si>
  <si>
    <t>sugswili</t>
  </si>
  <si>
    <t>Cangrejo moro</t>
  </si>
  <si>
    <t>Sugued</t>
  </si>
  <si>
    <t>Medida de longitud</t>
  </si>
  <si>
    <t>Argana</t>
  </si>
  <si>
    <t>mano</t>
  </si>
  <si>
    <t>Sugweddar</t>
  </si>
  <si>
    <t>Sui</t>
  </si>
  <si>
    <t>Marido</t>
  </si>
  <si>
    <t xml:space="preserve">Esposo, , , , </t>
  </si>
  <si>
    <t>Uga</t>
  </si>
  <si>
    <t>Suibagga</t>
  </si>
  <si>
    <t>Largo</t>
  </si>
  <si>
    <t xml:space="preserve">Bastante largo, , , , </t>
  </si>
  <si>
    <t>Suidbagga</t>
  </si>
  <si>
    <t>Suiddonbo</t>
  </si>
  <si>
    <t>Un dólar</t>
  </si>
  <si>
    <t xml:space="preserve">Estirado, Muy largo, , , </t>
  </si>
  <si>
    <t>Arganmaddar</t>
  </si>
  <si>
    <t>Dorso de la mano</t>
  </si>
  <si>
    <t>No corto</t>
  </si>
  <si>
    <t>Suir</t>
  </si>
  <si>
    <t>Perdiz de rastrojo</t>
  </si>
  <si>
    <t>Suiraggwagiid</t>
  </si>
  <si>
    <t>Guddurgwa</t>
  </si>
  <si>
    <t>Suli</t>
  </si>
  <si>
    <t xml:space="preserve"> No desear algo, , , , </t>
  </si>
  <si>
    <t>Yabba</t>
  </si>
  <si>
    <t>Sulu</t>
  </si>
  <si>
    <t>Mono</t>
  </si>
  <si>
    <t xml:space="preserve">Primate, , , , </t>
  </si>
  <si>
    <t>Sulubagibebeniggad</t>
  </si>
  <si>
    <t>Aguila Harpía</t>
  </si>
  <si>
    <t>Argannuggwen</t>
  </si>
  <si>
    <t>Puñado</t>
  </si>
  <si>
    <t xml:space="preserve">Un puñado, , , , </t>
  </si>
  <si>
    <t>Sulubagi</t>
  </si>
  <si>
    <t>Aguila</t>
  </si>
  <si>
    <t>Sunmagged</t>
  </si>
  <si>
    <t>Hablar</t>
  </si>
  <si>
    <t xml:space="preserve">Expresar, Idioma, Oración, , </t>
  </si>
  <si>
    <t>Sunnasoged</t>
  </si>
  <si>
    <t xml:space="preserve">Optimo, , , , </t>
  </si>
  <si>
    <t xml:space="preserve">Dañado, Feo, , , </t>
  </si>
  <si>
    <t>Sur</t>
  </si>
  <si>
    <t>Racimo</t>
  </si>
  <si>
    <t>Suller</t>
  </si>
  <si>
    <t>Sullele</t>
  </si>
  <si>
    <t>Argar</t>
  </si>
  <si>
    <t>Costilla</t>
  </si>
  <si>
    <t xml:space="preserve">Interprete del canto de sagla, , , , </t>
  </si>
  <si>
    <t>Nogmur</t>
  </si>
  <si>
    <t>Sussu</t>
  </si>
  <si>
    <t>Susu</t>
  </si>
  <si>
    <t>Hermanito dicho por una mujer</t>
  </si>
  <si>
    <t>Suu</t>
  </si>
  <si>
    <t>Gorgojo</t>
  </si>
  <si>
    <t xml:space="preserve">Comején, , , , </t>
  </si>
  <si>
    <t>Argala</t>
  </si>
  <si>
    <t xml:space="preserve">Interprete del canto del sagla, , , , </t>
  </si>
  <si>
    <t>Suugwa</t>
  </si>
  <si>
    <t>Mareado</t>
  </si>
  <si>
    <t>aturdido</t>
  </si>
  <si>
    <t>Suusuu</t>
  </si>
  <si>
    <t xml:space="preserve">Ebrio, , , , </t>
  </si>
  <si>
    <t>Suurmagged</t>
  </si>
  <si>
    <t xml:space="preserve">Derramar </t>
  </si>
  <si>
    <t xml:space="preserve">Sudar, Derramar sudor, , , </t>
  </si>
  <si>
    <t>Suwar</t>
  </si>
  <si>
    <t>Palo</t>
  </si>
  <si>
    <t>Suwarbadde</t>
  </si>
  <si>
    <t>Vasija de madera</t>
  </si>
  <si>
    <t>Baddesuwar</t>
  </si>
  <si>
    <t>Vasija de de madera</t>
  </si>
  <si>
    <t>Suwaribed</t>
  </si>
  <si>
    <t>Custodio y guardián de la comunidad</t>
  </si>
  <si>
    <t>Ari</t>
  </si>
  <si>
    <t xml:space="preserve">Iguana </t>
  </si>
  <si>
    <t>Swara</t>
  </si>
  <si>
    <t>Instrumento musical hecho de bambú</t>
  </si>
  <si>
    <t>Surgued</t>
  </si>
  <si>
    <t>Perderse</t>
  </si>
  <si>
    <t xml:space="preserve">Morir, Fallecer, , , </t>
  </si>
  <si>
    <t>Swiddi</t>
  </si>
  <si>
    <t>Guanábana</t>
  </si>
  <si>
    <t>Swilidig</t>
  </si>
  <si>
    <t xml:space="preserve">Sin defecto, Limpio, , , </t>
  </si>
  <si>
    <t>Swilidiggi</t>
  </si>
  <si>
    <t>U</t>
  </si>
  <si>
    <t xml:space="preserve">Nido </t>
  </si>
  <si>
    <t xml:space="preserve">Nido, , , , </t>
  </si>
  <si>
    <t>Uu</t>
  </si>
  <si>
    <t>Nido</t>
  </si>
  <si>
    <t>Ua</t>
  </si>
  <si>
    <t>Pez</t>
  </si>
  <si>
    <t xml:space="preserve">Pescado, , , , </t>
  </si>
  <si>
    <t>Uadug</t>
  </si>
  <si>
    <t>Oreja</t>
  </si>
  <si>
    <t>Uaduggu</t>
  </si>
  <si>
    <t>Uagarba</t>
  </si>
  <si>
    <t>Nasa</t>
  </si>
  <si>
    <t>Arinii</t>
  </si>
  <si>
    <t>Febrero</t>
  </si>
  <si>
    <t>Uagi</t>
  </si>
  <si>
    <t>Delfín</t>
  </si>
  <si>
    <t>Uas</t>
  </si>
  <si>
    <t>Techo</t>
  </si>
  <si>
    <t xml:space="preserve">Paja que cubre la casa, , , , </t>
  </si>
  <si>
    <t>Uasaggan</t>
  </si>
  <si>
    <t>Aleta de pez</t>
  </si>
  <si>
    <t>Uaya</t>
  </si>
  <si>
    <t>Oído</t>
  </si>
  <si>
    <t>Dicho entre varones</t>
  </si>
  <si>
    <t>Uba</t>
  </si>
  <si>
    <t>Ubed</t>
  </si>
  <si>
    <t>Alero frontal o trasero de la casa</t>
  </si>
  <si>
    <t>Ubebe</t>
  </si>
  <si>
    <t>Alero frontal de la casa</t>
  </si>
  <si>
    <t>Ubi</t>
  </si>
  <si>
    <t>Harina de maíz tostado</t>
  </si>
  <si>
    <t>Abbarmagged</t>
  </si>
  <si>
    <t>Correr</t>
  </si>
  <si>
    <t>Aroged</t>
  </si>
  <si>
    <t>Derramarse</t>
  </si>
  <si>
    <t xml:space="preserve">Pulverizar, , , , </t>
  </si>
  <si>
    <t>Ubiubi</t>
  </si>
  <si>
    <t>En polvo</t>
  </si>
  <si>
    <t xml:space="preserve">Pulverizado, Molido, , , </t>
  </si>
  <si>
    <t>Uboged</t>
  </si>
  <si>
    <t>Ingresar</t>
  </si>
  <si>
    <t xml:space="preserve">Entrar, , , , </t>
  </si>
  <si>
    <t>Ubsan</t>
  </si>
  <si>
    <t>Algodón</t>
  </si>
  <si>
    <t>Uda</t>
  </si>
  <si>
    <t>Dame</t>
  </si>
  <si>
    <t>Del verbo dar</t>
  </si>
  <si>
    <t>Give to me</t>
  </si>
  <si>
    <t>Udage</t>
  </si>
  <si>
    <t xml:space="preserve">udded </t>
  </si>
  <si>
    <t>Agujerear</t>
  </si>
  <si>
    <t xml:space="preserve"> hacer hoyo, , , , </t>
  </si>
  <si>
    <t>Udged</t>
  </si>
  <si>
    <t>Perforar</t>
  </si>
  <si>
    <t>Arioged</t>
  </si>
  <si>
    <t>Derrarse</t>
  </si>
  <si>
    <t>Udu</t>
  </si>
  <si>
    <t>Moho</t>
  </si>
  <si>
    <t xml:space="preserve"> Hongo, , , , </t>
  </si>
  <si>
    <t>Udurun</t>
  </si>
  <si>
    <t xml:space="preserve">Tronco viejo y podrido </t>
  </si>
  <si>
    <t>Ued</t>
  </si>
  <si>
    <t>Oler</t>
  </si>
  <si>
    <t xml:space="preserve">Olfatear, Fumar, Calentura, , </t>
  </si>
  <si>
    <t>Uegwa</t>
  </si>
  <si>
    <t>Tibio</t>
  </si>
  <si>
    <t xml:space="preserve">Cálido, No tan caliente, , , </t>
  </si>
  <si>
    <t>Ueued</t>
  </si>
  <si>
    <t xml:space="preserve">Cálido, , , , </t>
  </si>
  <si>
    <t xml:space="preserve">Enfermarse </t>
  </si>
  <si>
    <t>Uereged</t>
  </si>
  <si>
    <t>Ardiente</t>
  </si>
  <si>
    <t xml:space="preserve">Caliente, , , , </t>
  </si>
  <si>
    <t>Diobbisulid</t>
  </si>
  <si>
    <t>Diyobbisulid</t>
  </si>
  <si>
    <t>Arsan</t>
  </si>
  <si>
    <t>Escalera</t>
  </si>
  <si>
    <t xml:space="preserve">Escalinata, , , , </t>
  </si>
  <si>
    <t>Cálido</t>
  </si>
  <si>
    <t xml:space="preserve">No tan caliente, , , , </t>
  </si>
  <si>
    <t>Ugargwag</t>
  </si>
  <si>
    <t>Huevo de iguana</t>
  </si>
  <si>
    <t>Ugarggwagwa</t>
  </si>
  <si>
    <t>Ugga</t>
  </si>
  <si>
    <t>Piel</t>
  </si>
  <si>
    <t xml:space="preserve">Cáscara, , , , </t>
  </si>
  <si>
    <t>Sarpullido</t>
  </si>
  <si>
    <t xml:space="preserve">Comezón, , , , </t>
  </si>
  <si>
    <t>Uggabbale</t>
  </si>
  <si>
    <t>Con cáscara</t>
  </si>
  <si>
    <t>Uggabela</t>
  </si>
  <si>
    <t>Arwed</t>
  </si>
  <si>
    <t>Romperse las olas</t>
  </si>
  <si>
    <t>Uggaelied</t>
  </si>
  <si>
    <t>Toalla</t>
  </si>
  <si>
    <t xml:space="preserve">Paño, , , , </t>
  </si>
  <si>
    <t>Uggamullu</t>
  </si>
  <si>
    <t xml:space="preserve">Absceso, , , , </t>
  </si>
  <si>
    <t>Uggaswan</t>
  </si>
  <si>
    <t>Desnudo</t>
  </si>
  <si>
    <t>Uggaswiri</t>
  </si>
  <si>
    <t>Ugged</t>
  </si>
  <si>
    <t>Dar</t>
  </si>
  <si>
    <t xml:space="preserve">Ceder,Entregar, Vender, , , </t>
  </si>
  <si>
    <t>Uggiasgin</t>
  </si>
  <si>
    <t>Encima</t>
  </si>
  <si>
    <t xml:space="preserve">Sobre, , , , </t>
  </si>
  <si>
    <t>Asgine</t>
  </si>
  <si>
    <t>Birgi</t>
  </si>
  <si>
    <t>Uggiar</t>
  </si>
  <si>
    <t xml:space="preserve">Repentino, , , , </t>
  </si>
  <si>
    <t>Uggiale</t>
  </si>
  <si>
    <t>As</t>
  </si>
  <si>
    <t>Yerno</t>
  </si>
  <si>
    <t>Uggiarmaggar</t>
  </si>
  <si>
    <t>Repentino</t>
  </si>
  <si>
    <t>Uggub</t>
  </si>
  <si>
    <t>Arena</t>
  </si>
  <si>
    <t>Uggubbiid</t>
  </si>
  <si>
    <t>Arenoso</t>
  </si>
  <si>
    <t>Uggubdug</t>
  </si>
  <si>
    <t>Pez lenguado</t>
  </si>
  <si>
    <t>Uggubdugu</t>
  </si>
  <si>
    <t>Uggubua</t>
  </si>
  <si>
    <t>Uggubir</t>
  </si>
  <si>
    <t>Playa</t>
  </si>
  <si>
    <t xml:space="preserve">Costa, , , , </t>
  </si>
  <si>
    <t>Uggubbir</t>
  </si>
  <si>
    <t>Uggud</t>
  </si>
  <si>
    <t>Hambre</t>
  </si>
  <si>
    <t xml:space="preserve">Apetito, , , , </t>
  </si>
  <si>
    <t>Uggugwa</t>
  </si>
  <si>
    <t>Liviano</t>
  </si>
  <si>
    <t xml:space="preserve">Leve, Bajo de peso, , , </t>
  </si>
  <si>
    <t>Uggunagbe</t>
  </si>
  <si>
    <t>Serpiente cascabel</t>
  </si>
  <si>
    <t>Uggurwala</t>
  </si>
  <si>
    <t>Balsa</t>
  </si>
  <si>
    <t>Uggusuli</t>
  </si>
  <si>
    <t>Pesado</t>
  </si>
  <si>
    <t xml:space="preserve">Sólido, , , , </t>
  </si>
  <si>
    <t>Agdiggi</t>
  </si>
  <si>
    <t>Agdiggirba</t>
  </si>
  <si>
    <t>Ugguuggud</t>
  </si>
  <si>
    <t>Sed</t>
  </si>
  <si>
    <t>Ugguugguiddoged</t>
  </si>
  <si>
    <t>Estar sediento</t>
  </si>
  <si>
    <t>Ugsi</t>
  </si>
  <si>
    <t>Armadillo</t>
  </si>
  <si>
    <t>Asabin</t>
  </si>
  <si>
    <t>De frente</t>
  </si>
  <si>
    <t xml:space="preserve">Frente a frente, , , , </t>
  </si>
  <si>
    <t>Ugsir</t>
  </si>
  <si>
    <t>Murciélago</t>
  </si>
  <si>
    <t>Ular</t>
  </si>
  <si>
    <t>Manzanillo</t>
  </si>
  <si>
    <t>Ulassui</t>
  </si>
  <si>
    <t>Piragua</t>
  </si>
  <si>
    <t>Uluasusuido</t>
  </si>
  <si>
    <t>Pragua</t>
  </si>
  <si>
    <t>Ulasu</t>
  </si>
  <si>
    <t>Proa</t>
  </si>
  <si>
    <t>Ulu</t>
  </si>
  <si>
    <t>Cayuco</t>
  </si>
  <si>
    <t>Ulugwa</t>
  </si>
  <si>
    <t>Baúl</t>
  </si>
  <si>
    <t xml:space="preserve">Maleta, Cajón, , , </t>
  </si>
  <si>
    <t>Ulur</t>
  </si>
  <si>
    <t>Mono aullador</t>
  </si>
  <si>
    <t>Uma</t>
  </si>
  <si>
    <t>Mono colorado</t>
  </si>
  <si>
    <t xml:space="preserve">Especie de primate </t>
  </si>
  <si>
    <t>Umamagged</t>
  </si>
  <si>
    <t>Ardor</t>
  </si>
  <si>
    <t xml:space="preserve">Picor, , , , </t>
  </si>
  <si>
    <t>Asabbin</t>
  </si>
  <si>
    <t>Aurmagged</t>
  </si>
  <si>
    <t>Unaed</t>
  </si>
  <si>
    <t>Aconsejar</t>
  </si>
  <si>
    <t xml:space="preserve">Orientar, , , , </t>
  </si>
  <si>
    <t>Undar</t>
  </si>
  <si>
    <t>Exagerado</t>
  </si>
  <si>
    <t xml:space="preserve">Desmedido, , , , </t>
  </si>
  <si>
    <t>Obbor</t>
  </si>
  <si>
    <t xml:space="preserve">En extremo, , , , </t>
  </si>
  <si>
    <t>Obbole</t>
  </si>
  <si>
    <t>Abbole</t>
  </si>
  <si>
    <t>Beedse</t>
  </si>
  <si>
    <t>Unged</t>
  </si>
  <si>
    <t>Arrancar</t>
  </si>
  <si>
    <t xml:space="preserve">Sacar, Quitar, , , </t>
  </si>
  <si>
    <t>Ungued</t>
  </si>
  <si>
    <t>Calambre</t>
  </si>
  <si>
    <t>Asayaa</t>
  </si>
  <si>
    <t>Fosa nasal</t>
  </si>
  <si>
    <t>Unid</t>
  </si>
  <si>
    <t>Cuadrúpedo</t>
  </si>
  <si>
    <t xml:space="preserve">De cuatro patas, , , , </t>
  </si>
  <si>
    <t>Unimagged</t>
  </si>
  <si>
    <t>Gatear</t>
  </si>
  <si>
    <t xml:space="preserve">Arrastrarse, , , , </t>
  </si>
  <si>
    <t>Basta</t>
  </si>
  <si>
    <t xml:space="preserve">Suficiente, , , , </t>
  </si>
  <si>
    <t>Yaibaa</t>
  </si>
  <si>
    <t>Unnila</t>
  </si>
  <si>
    <t>Solo</t>
  </si>
  <si>
    <t xml:space="preserve">Unico, Casi no, , , </t>
  </si>
  <si>
    <t>Unnilagwa</t>
  </si>
  <si>
    <t>Casi no</t>
  </si>
  <si>
    <t xml:space="preserve">Solo, , , , </t>
  </si>
  <si>
    <t>Unniladuggu</t>
  </si>
  <si>
    <t xml:space="preserve">Por poco, , , , </t>
  </si>
  <si>
    <t>Unsaed</t>
  </si>
  <si>
    <t>Medir</t>
  </si>
  <si>
    <t xml:space="preserve">Calcular, , , , </t>
  </si>
  <si>
    <t>Asban</t>
  </si>
  <si>
    <t>Sabandija</t>
  </si>
  <si>
    <t>Unus</t>
  </si>
  <si>
    <t>Variedad de sardina</t>
  </si>
  <si>
    <t>Urba</t>
  </si>
  <si>
    <t>Debajo de</t>
  </si>
  <si>
    <t xml:space="preserve"> Hermano menor, , , , </t>
  </si>
  <si>
    <t>Ulubali</t>
  </si>
  <si>
    <t>Debajo</t>
  </si>
  <si>
    <t xml:space="preserve">Con el cayuco, , , , </t>
  </si>
  <si>
    <t>Urbed</t>
  </si>
  <si>
    <t>Colocar</t>
  </si>
  <si>
    <t xml:space="preserve">Poner, , , , </t>
  </si>
  <si>
    <t>Urbode</t>
  </si>
  <si>
    <t>Bote salvavida</t>
  </si>
  <si>
    <t>Urdub</t>
  </si>
  <si>
    <t>Soga</t>
  </si>
  <si>
    <t xml:space="preserve">Cuerda, , , , </t>
  </si>
  <si>
    <t>Urduba</t>
  </si>
  <si>
    <t>Uluduba</t>
  </si>
  <si>
    <t>Urgasi</t>
  </si>
  <si>
    <t>Quilla</t>
  </si>
  <si>
    <t>Urgo</t>
  </si>
  <si>
    <t>Madera</t>
  </si>
  <si>
    <t>Abarmagged</t>
  </si>
  <si>
    <t>echar a correr</t>
  </si>
  <si>
    <t>Asdo</t>
  </si>
  <si>
    <t>Anteayer</t>
  </si>
  <si>
    <t xml:space="preserve">Hace dos días, , , , </t>
  </si>
  <si>
    <t>Urmor</t>
  </si>
  <si>
    <t>Vela</t>
  </si>
  <si>
    <t>Ulumola</t>
  </si>
  <si>
    <t>Ursir</t>
  </si>
  <si>
    <t>Bravucón</t>
  </si>
  <si>
    <t>Ursili</t>
  </si>
  <si>
    <t xml:space="preserve">Colérico, Reñidor, , , </t>
  </si>
  <si>
    <t>Ursor</t>
  </si>
  <si>
    <t>Popa</t>
  </si>
  <si>
    <t>Ursola</t>
  </si>
  <si>
    <t>Uluwala</t>
  </si>
  <si>
    <t>Árbol de cedro</t>
  </si>
  <si>
    <t>Arbol de cedro</t>
  </si>
  <si>
    <t>Urgwed</t>
  </si>
  <si>
    <t>Combatir</t>
  </si>
  <si>
    <t xml:space="preserve">Guerrear, , , , </t>
  </si>
  <si>
    <t>Bilaonoged</t>
  </si>
  <si>
    <t>Asdubin</t>
  </si>
  <si>
    <t>Mapache</t>
  </si>
  <si>
    <t>Urwed</t>
  </si>
  <si>
    <t>Us</t>
  </si>
  <si>
    <t>Ñeque</t>
  </si>
  <si>
    <t xml:space="preserve">Conejo, , , , </t>
  </si>
  <si>
    <t>Black agouti</t>
  </si>
  <si>
    <t>Usu</t>
  </si>
  <si>
    <t>Meddogwa</t>
  </si>
  <si>
    <t>Usgwin</t>
  </si>
  <si>
    <t>Ardilla</t>
  </si>
  <si>
    <t>Usgwini</t>
  </si>
  <si>
    <t>Asgin</t>
  </si>
  <si>
    <t>Gwin</t>
  </si>
  <si>
    <t>Usuyae</t>
  </si>
  <si>
    <t>Danza del ñeque</t>
  </si>
  <si>
    <t>Uugassi</t>
  </si>
  <si>
    <t>Hamaca</t>
  </si>
  <si>
    <t>Gassi</t>
  </si>
  <si>
    <t>Waa</t>
  </si>
  <si>
    <t>Humo</t>
  </si>
  <si>
    <t xml:space="preserve">Fumada, , , , </t>
  </si>
  <si>
    <t>Waagammu</t>
  </si>
  <si>
    <t>Chimenea</t>
  </si>
  <si>
    <t>Waar</t>
  </si>
  <si>
    <t>Breva</t>
  </si>
  <si>
    <t xml:space="preserve">Tabaco, , , , </t>
  </si>
  <si>
    <t>Waawaad</t>
  </si>
  <si>
    <t>Peludo</t>
  </si>
  <si>
    <t xml:space="preserve">Velludo, Asolearse, , , </t>
  </si>
  <si>
    <t>Wabun</t>
  </si>
  <si>
    <t>Hilastra</t>
  </si>
  <si>
    <t>Wadsi</t>
  </si>
  <si>
    <t>Reloj</t>
  </si>
  <si>
    <t>Waed</t>
  </si>
  <si>
    <t>Sahumarse</t>
  </si>
  <si>
    <t xml:space="preserve">Medicarse, Asolearse, , , </t>
  </si>
  <si>
    <t>Waga</t>
  </si>
  <si>
    <t>Extranjero</t>
  </si>
  <si>
    <t xml:space="preserve">Ladino, No guna,  No indígena, , </t>
  </si>
  <si>
    <t>Wagab</t>
  </si>
  <si>
    <t>En presencia de</t>
  </si>
  <si>
    <t xml:space="preserve"> Delante de, , , , </t>
  </si>
  <si>
    <t>Wagar</t>
  </si>
  <si>
    <t>Cara</t>
  </si>
  <si>
    <t xml:space="preserve">Rostro, Semblante, , , </t>
  </si>
  <si>
    <t>Wagala</t>
  </si>
  <si>
    <t xml:space="preserve">Rostro, , , , </t>
  </si>
  <si>
    <t>Wagargaed</t>
  </si>
  <si>
    <t>Retratar</t>
  </si>
  <si>
    <t xml:space="preserve">Fotografiar, , , , </t>
  </si>
  <si>
    <t>Burbagaed</t>
  </si>
  <si>
    <t>Wagarwilubgaed</t>
  </si>
  <si>
    <t>Wagarsan</t>
  </si>
  <si>
    <t>Mejilla</t>
  </si>
  <si>
    <t>Wagarsana</t>
  </si>
  <si>
    <t>Wagarued</t>
  </si>
  <si>
    <t>Besar</t>
  </si>
  <si>
    <t>Wagarwilub</t>
  </si>
  <si>
    <t>Fotografia</t>
  </si>
  <si>
    <t xml:space="preserve">Foto, , , , </t>
  </si>
  <si>
    <t>Wagbinnu</t>
  </si>
  <si>
    <t>Marañon</t>
  </si>
  <si>
    <t>Wagdar</t>
  </si>
  <si>
    <t>Temprano</t>
  </si>
  <si>
    <t>Wagdara</t>
  </si>
  <si>
    <t>Waggudaea</t>
  </si>
  <si>
    <t>Wagdub</t>
  </si>
  <si>
    <t>Wagaduba</t>
  </si>
  <si>
    <t>Waggaga</t>
  </si>
  <si>
    <t>Idioma extranjero</t>
  </si>
  <si>
    <t>Waggaya</t>
  </si>
  <si>
    <t>Birgine</t>
  </si>
  <si>
    <t>Waggagga</t>
  </si>
  <si>
    <t>Waggindiid</t>
  </si>
  <si>
    <t>Prófugo</t>
  </si>
  <si>
    <t xml:space="preserve">Fugitivo, , , , </t>
  </si>
  <si>
    <t>Wagginned</t>
  </si>
  <si>
    <t>Escaparse</t>
  </si>
  <si>
    <t xml:space="preserve">Huir, Fugarse, , , </t>
  </si>
  <si>
    <t>Waggudaryala</t>
  </si>
  <si>
    <t>Muy temprano</t>
  </si>
  <si>
    <t>Wagi</t>
  </si>
  <si>
    <t>Lora de cabeza azul</t>
  </si>
  <si>
    <t>Wagibler</t>
  </si>
  <si>
    <t>Nele de la historia</t>
  </si>
  <si>
    <t xml:space="preserve">Especialista de aves, , , , </t>
  </si>
  <si>
    <t>Wagibelele</t>
  </si>
  <si>
    <t>Wagmadun</t>
  </si>
  <si>
    <t>Banano</t>
  </si>
  <si>
    <t>Wagneg</t>
  </si>
  <si>
    <t>Ciudad</t>
  </si>
  <si>
    <t xml:space="preserve">Comunidad de extranjero, , , , </t>
  </si>
  <si>
    <t>Waganega</t>
  </si>
  <si>
    <t xml:space="preserve">Comunidad de extranjeros, , , , </t>
  </si>
  <si>
    <t>Asgun</t>
  </si>
  <si>
    <t>Boca abajo</t>
  </si>
  <si>
    <t>Wago</t>
  </si>
  <si>
    <t>Primera criatura  en la tierra</t>
  </si>
  <si>
    <t xml:space="preserve"> Padre de arboles, , , , </t>
  </si>
  <si>
    <t>Wagub</t>
  </si>
  <si>
    <t>Ñame</t>
  </si>
  <si>
    <t>Wagwa</t>
  </si>
  <si>
    <t>Nieto</t>
  </si>
  <si>
    <t>Waladiggi</t>
  </si>
  <si>
    <t>Mojado</t>
  </si>
  <si>
    <t>Waragwa</t>
  </si>
  <si>
    <t>Walar</t>
  </si>
  <si>
    <t>Alargado</t>
  </si>
  <si>
    <t xml:space="preserve">Largo, , , , </t>
  </si>
  <si>
    <t>Walale</t>
  </si>
  <si>
    <t xml:space="preserve">Junto a, Pegado a, , , </t>
  </si>
  <si>
    <t>Iddigigwa</t>
  </si>
  <si>
    <t>Cerquita</t>
  </si>
  <si>
    <t>Waliggued</t>
  </si>
  <si>
    <t>Arrimarse</t>
  </si>
  <si>
    <t>Wan</t>
  </si>
  <si>
    <t>Bane</t>
  </si>
  <si>
    <t>Wannug</t>
  </si>
  <si>
    <t>Variedad de palma para techo de la casa</t>
  </si>
  <si>
    <t>Variety of palm for house roof</t>
  </si>
  <si>
    <t>Waraggwa</t>
  </si>
  <si>
    <t>Delgado</t>
  </si>
  <si>
    <t xml:space="preserve">Estrecho, , , , </t>
  </si>
  <si>
    <t>Thin</t>
  </si>
  <si>
    <t>Waraggwagwa</t>
  </si>
  <si>
    <t>Wardad</t>
  </si>
  <si>
    <t>Gordo</t>
  </si>
  <si>
    <t xml:space="preserve">Obeso, , , , </t>
  </si>
  <si>
    <t>Waladada</t>
  </si>
  <si>
    <t>Wardummad</t>
  </si>
  <si>
    <t>Wardiggued</t>
  </si>
  <si>
    <t>Mojarse</t>
  </si>
  <si>
    <t>Adsiggied</t>
  </si>
  <si>
    <t>Wargwen</t>
  </si>
  <si>
    <t xml:space="preserve">Objeto alargado, , , , </t>
  </si>
  <si>
    <t>Walagwena</t>
  </si>
  <si>
    <t>Wari</t>
  </si>
  <si>
    <t>Ñampí</t>
  </si>
  <si>
    <t>Purple yam</t>
  </si>
  <si>
    <t>Asmu</t>
  </si>
  <si>
    <t>Variedad de abejas</t>
  </si>
  <si>
    <t xml:space="preserve">Alcanzar, Lograr, , , </t>
  </si>
  <si>
    <t>Bebé</t>
  </si>
  <si>
    <t xml:space="preserve">Nene, , , , </t>
  </si>
  <si>
    <t xml:space="preserve">Venado, , , , </t>
  </si>
  <si>
    <t>Wawadiggi</t>
  </si>
  <si>
    <t>Perfumado</t>
  </si>
  <si>
    <t xml:space="preserve">Oloroso, , , , </t>
  </si>
  <si>
    <t>Perfumed</t>
  </si>
  <si>
    <t>Scented,,,,</t>
  </si>
  <si>
    <t>Wawagwa</t>
  </si>
  <si>
    <t>Wawanmagged</t>
  </si>
  <si>
    <t>Temblar</t>
  </si>
  <si>
    <t xml:space="preserve">Tiritar, , , , </t>
  </si>
  <si>
    <t>We</t>
  </si>
  <si>
    <t>Este</t>
  </si>
  <si>
    <t xml:space="preserve">Esta, Ese, , , </t>
  </si>
  <si>
    <t>Wedi</t>
  </si>
  <si>
    <t>Iddi</t>
  </si>
  <si>
    <t>Weba</t>
  </si>
  <si>
    <t>Allá</t>
  </si>
  <si>
    <t xml:space="preserve">Lejos, Distante, , , </t>
  </si>
  <si>
    <t>Webali</t>
  </si>
  <si>
    <t>Por allá</t>
  </si>
  <si>
    <t>Abbinnii</t>
  </si>
  <si>
    <t>Septiembre</t>
  </si>
  <si>
    <t>Adsa</t>
  </si>
  <si>
    <t>Wedar</t>
  </si>
  <si>
    <t>Saíno</t>
  </si>
  <si>
    <t xml:space="preserve">Puerco de monte, , , , </t>
  </si>
  <si>
    <t>Weed</t>
  </si>
  <si>
    <t>Recoger</t>
  </si>
  <si>
    <t xml:space="preserve">Acopiar, , , , </t>
  </si>
  <si>
    <t>Bised</t>
  </si>
  <si>
    <t>Weggo</t>
  </si>
  <si>
    <t>Halcón</t>
  </si>
  <si>
    <t>WegiAquí</t>
  </si>
  <si>
    <t>Acá</t>
  </si>
  <si>
    <t>Wegine</t>
  </si>
  <si>
    <t>Aquí</t>
  </si>
  <si>
    <t xml:space="preserve">Acá, , , , </t>
  </si>
  <si>
    <t>Wegii</t>
  </si>
  <si>
    <t>Así</t>
  </si>
  <si>
    <t>Weyob</t>
  </si>
  <si>
    <t xml:space="preserve">De esta manera, , , , </t>
  </si>
  <si>
    <t>Weligwar</t>
  </si>
  <si>
    <t>Feliz</t>
  </si>
  <si>
    <t xml:space="preserve">Radiante, , , , </t>
  </si>
  <si>
    <t>Weligwale</t>
  </si>
  <si>
    <t>Assaed</t>
  </si>
  <si>
    <t>Dar señas</t>
  </si>
  <si>
    <t xml:space="preserve">Molestar, , , , </t>
  </si>
  <si>
    <t>Wergued</t>
  </si>
  <si>
    <t>Disfrutar</t>
  </si>
  <si>
    <t xml:space="preserve">Gozar, Alegrarse, , , </t>
  </si>
  <si>
    <t>Werug</t>
  </si>
  <si>
    <t>Guágara</t>
  </si>
  <si>
    <t>Werwer</t>
  </si>
  <si>
    <t>Tucán</t>
  </si>
  <si>
    <t>Wesar</t>
  </si>
  <si>
    <t>Cuchara</t>
  </si>
  <si>
    <t xml:space="preserve">Cucharón, , , , </t>
  </si>
  <si>
    <t>Wese</t>
  </si>
  <si>
    <t>Fin</t>
  </si>
  <si>
    <t xml:space="preserve">Hasta aquí, , , , </t>
  </si>
  <si>
    <t>Bela</t>
  </si>
  <si>
    <t>Hacia allá</t>
  </si>
  <si>
    <t>Wewe</t>
  </si>
  <si>
    <t>Grillo pequeño de la arena</t>
  </si>
  <si>
    <t>Small sand cricket</t>
  </si>
  <si>
    <t>Assirmagged</t>
  </si>
  <si>
    <t>Rasgarse algún tejido</t>
  </si>
  <si>
    <t xml:space="preserve"> De esta manera, , , , </t>
  </si>
  <si>
    <t>Wiagged</t>
  </si>
  <si>
    <t>Escupir</t>
  </si>
  <si>
    <t>Wiaged</t>
  </si>
  <si>
    <t>Widsub</t>
  </si>
  <si>
    <t>Hicaco</t>
  </si>
  <si>
    <t>Wied</t>
  </si>
  <si>
    <t>Pereza</t>
  </si>
  <si>
    <t>Wiegala</t>
  </si>
  <si>
    <t>Perezoso</t>
  </si>
  <si>
    <t xml:space="preserve">Vago, , , , </t>
  </si>
  <si>
    <t>Wigoed</t>
  </si>
  <si>
    <t>Silbar</t>
  </si>
  <si>
    <t>Wii</t>
  </si>
  <si>
    <t>Saliva</t>
  </si>
  <si>
    <t xml:space="preserve">Baba, , , , </t>
  </si>
  <si>
    <t>Galis</t>
  </si>
  <si>
    <t>Assu</t>
  </si>
  <si>
    <t>Jaguar</t>
  </si>
  <si>
    <t xml:space="preserve">Perro, , , , </t>
  </si>
  <si>
    <t>Gaglis</t>
  </si>
  <si>
    <t>Wila</t>
  </si>
  <si>
    <t>Hondo del mar o de río</t>
  </si>
  <si>
    <t>Deep part of the sea or river</t>
  </si>
  <si>
    <t>Wilasagla</t>
  </si>
  <si>
    <t>Aguas muy profundas</t>
  </si>
  <si>
    <t>Wiledagged</t>
  </si>
  <si>
    <t xml:space="preserve">Compadecer </t>
  </si>
  <si>
    <t xml:space="preserve">Tener lastima hacia otra persona </t>
  </si>
  <si>
    <t>Wileged</t>
  </si>
  <si>
    <t>Sufrir</t>
  </si>
  <si>
    <t xml:space="preserve">Empobrecido, Falto de, , , </t>
  </si>
  <si>
    <t>Wileiddoged</t>
  </si>
  <si>
    <t>Tristeza</t>
  </si>
  <si>
    <t xml:space="preserve">Pesadumbre, , , , </t>
  </si>
  <si>
    <t>Buggibbinsaed</t>
  </si>
  <si>
    <t>Wilub</t>
  </si>
  <si>
    <t>Señal</t>
  </si>
  <si>
    <t xml:space="preserve">Símbolo, , , , </t>
  </si>
  <si>
    <t>Wilubira</t>
  </si>
  <si>
    <t xml:space="preserve">Justo, , , , </t>
  </si>
  <si>
    <t>Wilubbiragwa</t>
  </si>
  <si>
    <t>Assunned</t>
  </si>
  <si>
    <t>Abrise la flor</t>
  </si>
  <si>
    <t xml:space="preserve">brotar, , , , </t>
  </si>
  <si>
    <t>Wilubdagged</t>
  </si>
  <si>
    <t>Experimentar</t>
  </si>
  <si>
    <t xml:space="preserve">Probar, , , , </t>
  </si>
  <si>
    <t>Wilubgan</t>
  </si>
  <si>
    <t>Simbolismo</t>
  </si>
  <si>
    <t>Burbagan</t>
  </si>
  <si>
    <t>Wilubsaed</t>
  </si>
  <si>
    <t>Probar</t>
  </si>
  <si>
    <t xml:space="preserve">Medir, , , , </t>
  </si>
  <si>
    <t>Wilubimagged</t>
  </si>
  <si>
    <t>Wimagged</t>
  </si>
  <si>
    <t>Sudar</t>
  </si>
  <si>
    <t xml:space="preserve">Transpirar, , , , </t>
  </si>
  <si>
    <t>Wini</t>
  </si>
  <si>
    <t>Abalorio</t>
  </si>
  <si>
    <t xml:space="preserve">Collar, Chaquira, , , </t>
  </si>
  <si>
    <t>Wingwa</t>
  </si>
  <si>
    <t>Asu</t>
  </si>
  <si>
    <t>Nariz</t>
  </si>
  <si>
    <t>Winni</t>
  </si>
  <si>
    <t>Orina</t>
  </si>
  <si>
    <t xml:space="preserve">Oríne, , , , </t>
  </si>
  <si>
    <t>Winonied</t>
  </si>
  <si>
    <t>Deseñador abalorios para dorno</t>
  </si>
  <si>
    <t>Wirgued</t>
  </si>
  <si>
    <t>Medida de profundidad de liquido</t>
  </si>
  <si>
    <t>Gigsiggwi</t>
  </si>
  <si>
    <t>Wirwir</t>
  </si>
  <si>
    <t>Batidora</t>
  </si>
  <si>
    <t>Wisde</t>
  </si>
  <si>
    <t>No sé</t>
  </si>
  <si>
    <t xml:space="preserve"> Quien sabe, , , , </t>
  </si>
  <si>
    <t>Wissurmo</t>
  </si>
  <si>
    <t>Wissuli</t>
  </si>
  <si>
    <t>Wisgued</t>
  </si>
  <si>
    <t>Saber</t>
  </si>
  <si>
    <t xml:space="preserve">Conocer, Estar al tanto, , , </t>
  </si>
  <si>
    <t>Asudug</t>
  </si>
  <si>
    <t>Punta de la nariz</t>
  </si>
  <si>
    <t xml:space="preserve">Delantera,  el que va primero, , , </t>
  </si>
  <si>
    <t>Yaa</t>
  </si>
  <si>
    <t>Puerta</t>
  </si>
  <si>
    <t xml:space="preserve">Portón, , , , </t>
  </si>
  <si>
    <t>Yawagag</t>
  </si>
  <si>
    <t>Yawag</t>
  </si>
  <si>
    <t>Yaagwa</t>
  </si>
  <si>
    <t>Señorita</t>
  </si>
  <si>
    <t xml:space="preserve">Joven, Soltera, , , </t>
  </si>
  <si>
    <t>Paso a la pubertad</t>
  </si>
  <si>
    <t>Paso a pubertad</t>
  </si>
  <si>
    <t>Yaba</t>
  </si>
  <si>
    <t>Dentro</t>
  </si>
  <si>
    <t xml:space="preserve">Adentro, , , , </t>
  </si>
  <si>
    <t>Yaaba</t>
  </si>
  <si>
    <t xml:space="preserve">No desear algo, , , , </t>
  </si>
  <si>
    <t>Asuduggu</t>
  </si>
  <si>
    <t xml:space="preserve">Delantera, El que va primero, , , </t>
  </si>
  <si>
    <t>Abbanned</t>
  </si>
  <si>
    <t>Yabi</t>
  </si>
  <si>
    <t>Llave</t>
  </si>
  <si>
    <t>Yabised</t>
  </si>
  <si>
    <t>Llavero</t>
  </si>
  <si>
    <t>Yagganna</t>
  </si>
  <si>
    <t>Bastante grande</t>
  </si>
  <si>
    <t>Yagged</t>
  </si>
  <si>
    <t>Gotear</t>
  </si>
  <si>
    <t>Deemagged</t>
  </si>
  <si>
    <t>Yaggumagged</t>
  </si>
  <si>
    <t>Cabecear</t>
  </si>
  <si>
    <t xml:space="preserve">Dar brincos, , , , </t>
  </si>
  <si>
    <t>Aswe</t>
  </si>
  <si>
    <t>Aguacate</t>
  </si>
  <si>
    <t>Yaisaale</t>
  </si>
  <si>
    <t>No tan pequeño</t>
  </si>
  <si>
    <t>Yassuli</t>
  </si>
  <si>
    <t>Cuantioso</t>
  </si>
  <si>
    <t xml:space="preserve">Abundante, , , , </t>
  </si>
  <si>
    <t>Buggidara</t>
  </si>
  <si>
    <t>Abundante</t>
  </si>
  <si>
    <t>Yala</t>
  </si>
  <si>
    <t>Montaña</t>
  </si>
  <si>
    <t xml:space="preserve">Territorio, , , , </t>
  </si>
  <si>
    <t>Yaladela</t>
  </si>
  <si>
    <t>Pez cola amarillo</t>
  </si>
  <si>
    <t xml:space="preserve">Pez cola amarilla </t>
  </si>
  <si>
    <t>Yellowtail fish</t>
  </si>
  <si>
    <t>Bunnugoro</t>
  </si>
  <si>
    <t>Pez pargo sesí</t>
  </si>
  <si>
    <t>Red snapper fish</t>
  </si>
  <si>
    <t xml:space="preserve">quemazon </t>
  </si>
  <si>
    <t>Yallile</t>
  </si>
  <si>
    <t>Sordo</t>
  </si>
  <si>
    <t xml:space="preserve">No sigue órdenes, , , , </t>
  </si>
  <si>
    <t>Yamodaed</t>
  </si>
  <si>
    <t>Aparentar</t>
  </si>
  <si>
    <t xml:space="preserve">Simular, Fingir, , , </t>
  </si>
  <si>
    <t>Yannu</t>
  </si>
  <si>
    <t>Jabalí</t>
  </si>
  <si>
    <t>Yanwan</t>
  </si>
  <si>
    <t>Taladro</t>
  </si>
  <si>
    <t xml:space="preserve">Broca, , , , </t>
  </si>
  <si>
    <t>Yarba</t>
  </si>
  <si>
    <t>Al lado</t>
  </si>
  <si>
    <t xml:space="preserve">Inmediatamente después, , , , </t>
  </si>
  <si>
    <t>Yalaba</t>
  </si>
  <si>
    <t>Yarbi</t>
  </si>
  <si>
    <t>Anguila</t>
  </si>
  <si>
    <t>Yarbir</t>
  </si>
  <si>
    <t>Cima</t>
  </si>
  <si>
    <t xml:space="preserve">Cumbre, , , , </t>
  </si>
  <si>
    <t>Yalabiri</t>
  </si>
  <si>
    <t>Yalabilli</t>
  </si>
  <si>
    <t>Abbured</t>
  </si>
  <si>
    <t>Enredarse</t>
  </si>
  <si>
    <t>Yarduddur</t>
  </si>
  <si>
    <t>Yarburwa</t>
  </si>
  <si>
    <t>Viento del sur</t>
  </si>
  <si>
    <t>Yalaburwa</t>
  </si>
  <si>
    <t>Yardagged</t>
  </si>
  <si>
    <t>Competir</t>
  </si>
  <si>
    <t xml:space="preserve">Disputar, , , , </t>
  </si>
  <si>
    <t>Yargan</t>
  </si>
  <si>
    <t>Espalda</t>
  </si>
  <si>
    <t xml:space="preserve">Dorso, , , , </t>
  </si>
  <si>
    <t>Yarolo</t>
  </si>
  <si>
    <t>Cerro</t>
  </si>
  <si>
    <t xml:space="preserve">Montaña de poca altura, , , , </t>
  </si>
  <si>
    <t>Yalaolo</t>
  </si>
  <si>
    <t>Yaug</t>
  </si>
  <si>
    <t>Tortuga</t>
  </si>
  <si>
    <t xml:space="preserve">Carey, , , , </t>
  </si>
  <si>
    <t>Yaugnii</t>
  </si>
  <si>
    <t>Mayo</t>
  </si>
  <si>
    <t>Yeer</t>
  </si>
  <si>
    <t>Bueno</t>
  </si>
  <si>
    <t xml:space="preserve">Bonito, , , , </t>
  </si>
  <si>
    <t xml:space="preserve">Fatigarse, , , , </t>
  </si>
  <si>
    <t>Yobbiragwad</t>
  </si>
  <si>
    <t>Equitativo</t>
  </si>
  <si>
    <t>Yobbo</t>
  </si>
  <si>
    <t>Inflamación de ganglios</t>
  </si>
  <si>
    <t>Nayobi</t>
  </si>
  <si>
    <t>Yobiyobi</t>
  </si>
  <si>
    <t>De igual cantidad</t>
  </si>
  <si>
    <t>Yoed</t>
  </si>
  <si>
    <t xml:space="preserve">Conectar, Poner, Asar, , </t>
  </si>
  <si>
    <t>Yoggor</t>
  </si>
  <si>
    <t>Rodilla</t>
  </si>
  <si>
    <t>Yogsaar</t>
  </si>
  <si>
    <t>De cualquier manera</t>
  </si>
  <si>
    <t>Yogasaale</t>
  </si>
  <si>
    <t>Yola</t>
  </si>
  <si>
    <t>Verano</t>
  </si>
  <si>
    <t xml:space="preserve">Sin lluvia, , , , </t>
  </si>
  <si>
    <t>Yolasagla</t>
  </si>
  <si>
    <t>Día claro</t>
  </si>
  <si>
    <t>Yoleba</t>
  </si>
  <si>
    <t>Veranillo</t>
  </si>
  <si>
    <t>Yoleged</t>
  </si>
  <si>
    <t>Tropezarse</t>
  </si>
  <si>
    <t xml:space="preserve">Encallar, , , , </t>
  </si>
  <si>
    <t>Yolle</t>
  </si>
  <si>
    <t>Ladeado</t>
  </si>
  <si>
    <t xml:space="preserve">Inclinado, , , , </t>
  </si>
  <si>
    <t>Aigwalw</t>
  </si>
  <si>
    <t>Yoreged</t>
  </si>
  <si>
    <t>Yollemagged</t>
  </si>
  <si>
    <t>Ladearse</t>
  </si>
  <si>
    <t>Yollemaggerba</t>
  </si>
  <si>
    <t>Que se ladea mucho</t>
  </si>
  <si>
    <t>That tilts a lot</t>
  </si>
  <si>
    <t>Yolleyolle</t>
  </si>
  <si>
    <t>Todavía</t>
  </si>
  <si>
    <t xml:space="preserve">Aún no, , , , </t>
  </si>
  <si>
    <t>Anbayoo</t>
  </si>
  <si>
    <t>Yoddedaed</t>
  </si>
  <si>
    <t>Indecoroso</t>
  </si>
  <si>
    <t xml:space="preserve">Impúdico, , , , </t>
  </si>
  <si>
    <t>Yorgued</t>
  </si>
  <si>
    <t>Dejar de llover</t>
  </si>
  <si>
    <t xml:space="preserve">Escampar, , , , </t>
  </si>
  <si>
    <t>Yornii</t>
  </si>
  <si>
    <t>Enero</t>
  </si>
  <si>
    <t>Yolanii</t>
  </si>
  <si>
    <t>Yoruggu</t>
  </si>
  <si>
    <t>Mediodía</t>
  </si>
  <si>
    <t>Dadyoruggu</t>
  </si>
  <si>
    <t>Balibi</t>
  </si>
  <si>
    <t>Bengile</t>
  </si>
  <si>
    <t>A credito</t>
  </si>
  <si>
    <t>Binasdiggi</t>
  </si>
  <si>
    <t>Poco a poco</t>
  </si>
  <si>
    <t>Binsar</t>
  </si>
  <si>
    <t>Gratis</t>
  </si>
  <si>
    <t>Esuwar</t>
  </si>
  <si>
    <t>Punzón</t>
  </si>
  <si>
    <t>Interprete</t>
  </si>
  <si>
    <t>Baba</t>
  </si>
  <si>
    <t>Gran Padre</t>
  </si>
  <si>
    <t>Biired</t>
  </si>
  <si>
    <t>Torcido</t>
  </si>
  <si>
    <t>Diirmagged</t>
  </si>
  <si>
    <t>Eswar</t>
  </si>
  <si>
    <t>Chuzo</t>
  </si>
  <si>
    <t>Negburgandagged</t>
  </si>
  <si>
    <t>Enter</t>
  </si>
  <si>
    <t>Aye</t>
  </si>
  <si>
    <t>Sí</t>
  </si>
  <si>
    <t xml:space="preserve">De acuerdo, , , , </t>
  </si>
  <si>
    <t>Eye</t>
  </si>
  <si>
    <t>Baa</t>
  </si>
  <si>
    <t>Tres</t>
  </si>
  <si>
    <t>Baabag</t>
  </si>
  <si>
    <t>Ocho</t>
  </si>
  <si>
    <t xml:space="preserve">Octavo, , , , </t>
  </si>
  <si>
    <t>Abured</t>
  </si>
  <si>
    <t>Confundirse</t>
  </si>
  <si>
    <t>baabagga</t>
  </si>
  <si>
    <t xml:space="preserve">Ocatvo, , , , </t>
  </si>
  <si>
    <t>Bab</t>
  </si>
  <si>
    <t>Papà</t>
  </si>
  <si>
    <t xml:space="preserve">Padre, Progenitor, , , </t>
  </si>
  <si>
    <t>Babdummad</t>
  </si>
  <si>
    <t xml:space="preserve">Ser Supremo . Dios </t>
  </si>
  <si>
    <t>Babbarmagged</t>
  </si>
  <si>
    <t>Rodar</t>
  </si>
  <si>
    <t xml:space="preserve">Girar, Ser arrastrado, , , </t>
  </si>
  <si>
    <t>Antepasados</t>
  </si>
  <si>
    <t>Dadgan</t>
  </si>
  <si>
    <t>Babigar</t>
  </si>
  <si>
    <t>Camino de Baba</t>
  </si>
  <si>
    <t xml:space="preserve">Tratado de Baba y Nana, , , , </t>
  </si>
  <si>
    <t>Abdagged</t>
  </si>
  <si>
    <t>Esperar</t>
  </si>
  <si>
    <t>Babigala</t>
  </si>
  <si>
    <t>Camino de Baba y Nana</t>
  </si>
  <si>
    <t xml:space="preserve"> Tratado de Baba y Nana, , , , </t>
  </si>
  <si>
    <t>Babneg</t>
  </si>
  <si>
    <t>Morada de Baba y Nana</t>
  </si>
  <si>
    <t>Babnega</t>
  </si>
  <si>
    <t>Babome</t>
  </si>
  <si>
    <t>Madrastra</t>
  </si>
  <si>
    <t>Babser</t>
  </si>
  <si>
    <t>Abuelo</t>
  </si>
  <si>
    <t>Babsered</t>
  </si>
  <si>
    <t>Badde</t>
  </si>
  <si>
    <t xml:space="preserve">Bandeja, Platillo, , , </t>
  </si>
  <si>
    <t>Badded</t>
  </si>
  <si>
    <t xml:space="preserve">Bajar, , , , </t>
  </si>
  <si>
    <t>Vasija de madera para amasar</t>
  </si>
  <si>
    <t>Baddiggwa</t>
  </si>
  <si>
    <t>Tortuga de agua dulce</t>
  </si>
  <si>
    <t xml:space="preserve">Jocotea, , , , </t>
  </si>
  <si>
    <t>Abiddoged</t>
  </si>
  <si>
    <t>Aguardar</t>
  </si>
  <si>
    <t>Badir</t>
  </si>
  <si>
    <t>Sacerdote</t>
  </si>
  <si>
    <t xml:space="preserve">Cura, , , , </t>
  </si>
  <si>
    <t>Badu</t>
  </si>
  <si>
    <t>Pato</t>
  </si>
  <si>
    <t>Baged</t>
  </si>
  <si>
    <t>Abstenerse</t>
  </si>
  <si>
    <t>Bagga</t>
  </si>
  <si>
    <t>Ballena</t>
  </si>
  <si>
    <t>Baggar</t>
  </si>
  <si>
    <t>Exresiòn franca</t>
  </si>
  <si>
    <t xml:space="preserve">Directa, De frente, Comprado, , , </t>
  </si>
  <si>
    <t>Baggale</t>
  </si>
  <si>
    <t>Expresiòn franca</t>
  </si>
  <si>
    <t xml:space="preserve">Directa, De frente, Comprado, , </t>
  </si>
  <si>
    <t>Bagged</t>
  </si>
  <si>
    <t>Comprar</t>
  </si>
  <si>
    <t xml:space="preserve">Adquirir, , , , </t>
  </si>
  <si>
    <t>Baglawar</t>
  </si>
  <si>
    <t>Guayacàn</t>
  </si>
  <si>
    <t>Guayacan</t>
  </si>
  <si>
    <t xml:space="preserve">Venus, Lucero, , , </t>
  </si>
  <si>
    <t>Ibeler's brother</t>
  </si>
  <si>
    <t>Venus, Bright star,,,</t>
  </si>
  <si>
    <t>Baglawala</t>
  </si>
  <si>
    <t>Baid</t>
  </si>
  <si>
    <t>Otro</t>
  </si>
  <si>
    <t xml:space="preserve">Ademàs, , , , </t>
  </si>
  <si>
    <t>Aaga</t>
  </si>
  <si>
    <t>Por eso</t>
  </si>
  <si>
    <t>Edarbed</t>
  </si>
  <si>
    <t>Ir al encuentro</t>
  </si>
  <si>
    <t>Baidi</t>
  </si>
  <si>
    <t>Otro,Además</t>
  </si>
  <si>
    <t>Baisuli</t>
  </si>
  <si>
    <t>No importa</t>
  </si>
  <si>
    <t xml:space="preserve">No vale la pena, , , , </t>
  </si>
  <si>
    <t>Nuera</t>
  </si>
  <si>
    <t>Baled</t>
  </si>
  <si>
    <t>Introducir liquido en recipiente</t>
  </si>
  <si>
    <t>Baleginned</t>
  </si>
  <si>
    <t>Perseguir</t>
  </si>
  <si>
    <t xml:space="preserve">Ir detrás de, , , , </t>
  </si>
  <si>
    <t>Balibali</t>
  </si>
  <si>
    <t>Frecuentemente</t>
  </si>
  <si>
    <t xml:space="preserve">Siempre, Repetidas veces, , , </t>
  </si>
  <si>
    <t>Balibalidi</t>
  </si>
  <si>
    <t xml:space="preserve">Siempre, , , , </t>
  </si>
  <si>
    <t>Emarbi</t>
  </si>
  <si>
    <t xml:space="preserve">Lo mismo, Uniforme, , , </t>
  </si>
  <si>
    <t>Baliwiddur</t>
  </si>
  <si>
    <t>Espìritu guia</t>
  </si>
  <si>
    <t xml:space="preserve">Custodio, Guardian, Protector, , </t>
  </si>
  <si>
    <t>Spirit guides</t>
  </si>
  <si>
    <t>Baliwiddule</t>
  </si>
  <si>
    <t xml:space="preserve">Custodia, Guardian, Protector, , </t>
  </si>
  <si>
    <t>Abe</t>
  </si>
  <si>
    <t>Sangre</t>
  </si>
  <si>
    <t>Balu</t>
  </si>
  <si>
    <t>Sal</t>
  </si>
  <si>
    <t>Balubalu</t>
  </si>
  <si>
    <t>Con poca sal</t>
  </si>
  <si>
    <t xml:space="preserve">Saladito, , , , </t>
  </si>
  <si>
    <t>Balurba</t>
  </si>
  <si>
    <t>Salado</t>
  </si>
  <si>
    <t xml:space="preserve">Pasado de sal,  Salobre, , , </t>
  </si>
  <si>
    <t>Balusagla</t>
  </si>
  <si>
    <t xml:space="preserve">Pasado de sal, Salobre, , , </t>
  </si>
  <si>
    <t xml:space="preserve">Simbología de opresiòn, , , , </t>
  </si>
  <si>
    <t xml:space="preserve">Simbologìa de opresiòn, , , , </t>
  </si>
  <si>
    <t>Banamagged</t>
  </si>
  <si>
    <t>Tambalearse</t>
  </si>
  <si>
    <t xml:space="preserve">Balancearse, , , , </t>
  </si>
  <si>
    <t>Banbaa</t>
  </si>
  <si>
    <t>Lejos</t>
  </si>
  <si>
    <t xml:space="preserve">Distante, Alejado, , , </t>
  </si>
  <si>
    <t>Ablis</t>
  </si>
  <si>
    <t>Banbagwa</t>
  </si>
  <si>
    <t>Bannabaa</t>
  </si>
  <si>
    <t>Flag</t>
  </si>
  <si>
    <t>Virile member,,,,</t>
  </si>
  <si>
    <t>Mañana</t>
  </si>
  <si>
    <t xml:space="preserve">Otro dìa, , , , </t>
  </si>
  <si>
    <t>Morning</t>
  </si>
  <si>
    <t>Baneswida</t>
  </si>
  <si>
    <t>Tijereta</t>
  </si>
  <si>
    <t>Abedub</t>
  </si>
  <si>
    <t>Vena</t>
  </si>
  <si>
    <t>Banebane</t>
  </si>
  <si>
    <t>Adiario</t>
  </si>
  <si>
    <t xml:space="preserve">Diariamente, , , , </t>
  </si>
  <si>
    <t>Bangi</t>
  </si>
  <si>
    <t>Al otro día</t>
  </si>
  <si>
    <t xml:space="preserve">Al dia siguiente, , , , </t>
  </si>
  <si>
    <t>Banegine</t>
  </si>
  <si>
    <t>Al otro dìa</t>
  </si>
  <si>
    <t>Banmalo</t>
  </si>
  <si>
    <t>Hasta mañana</t>
  </si>
  <si>
    <t>Banemalo</t>
  </si>
  <si>
    <t>Banna</t>
  </si>
  <si>
    <t>A què distancia</t>
  </si>
  <si>
    <t xml:space="preserve"> Por dónde, , , , </t>
  </si>
  <si>
    <t>Bulebanna</t>
  </si>
  <si>
    <t xml:space="preserve"> Por donde, , , , </t>
  </si>
  <si>
    <t>Bansus</t>
  </si>
  <si>
    <t>Colibrì</t>
  </si>
  <si>
    <t xml:space="preserve">Chupamiel, , , , </t>
  </si>
  <si>
    <t>Barbuloged</t>
  </si>
  <si>
    <t>Agravar</t>
  </si>
  <si>
    <t xml:space="preserve">Empeorar, Desmejorar, , , </t>
  </si>
  <si>
    <t>Abeduba</t>
  </si>
  <si>
    <t>Arteria</t>
  </si>
  <si>
    <t>Burgued</t>
  </si>
  <si>
    <t>Bardagged</t>
  </si>
  <si>
    <t>Acompañar</t>
  </si>
  <si>
    <t xml:space="preserve">Guiar, Acompañante, , , </t>
  </si>
  <si>
    <t>Bardani</t>
  </si>
  <si>
    <t>Al regreso</t>
  </si>
  <si>
    <t xml:space="preserve">A la vuelta, , , , </t>
  </si>
  <si>
    <t>Bardudnii</t>
  </si>
  <si>
    <t>Diciembre</t>
  </si>
  <si>
    <t>Balududdunii</t>
  </si>
  <si>
    <t>Bargaed</t>
  </si>
  <si>
    <t>Alcanzar</t>
  </si>
  <si>
    <t xml:space="preserve">Controlar, Sostener, Aguantar, , </t>
  </si>
  <si>
    <t>Bargo</t>
  </si>
  <si>
    <t>Burgado</t>
  </si>
  <si>
    <t xml:space="preserve">Caracol </t>
  </si>
  <si>
    <t>Bargonus</t>
  </si>
  <si>
    <t>Bargonusu</t>
  </si>
  <si>
    <t>Barmayed</t>
  </si>
  <si>
    <t xml:space="preserve">Apoyar, Palo superior de una vela, , , </t>
  </si>
  <si>
    <t>Ablisdudub</t>
  </si>
  <si>
    <t>Barmied</t>
  </si>
  <si>
    <t>Enviar</t>
  </si>
  <si>
    <t xml:space="preserve">Mandar, Remitir, , , </t>
  </si>
  <si>
    <t>Barsoged</t>
  </si>
  <si>
    <t>Atestiguar</t>
  </si>
  <si>
    <t xml:space="preserve">Interpretar, , , , </t>
  </si>
  <si>
    <t>Barwisoged</t>
  </si>
  <si>
    <t>Imitar</t>
  </si>
  <si>
    <t xml:space="preserve">Remedar, , , , </t>
  </si>
  <si>
    <t>Baryawar</t>
  </si>
  <si>
    <t>Arbol de pino</t>
  </si>
  <si>
    <t>Baryawala</t>
  </si>
  <si>
    <t>Basgwa</t>
  </si>
  <si>
    <t>Camaròn</t>
  </si>
  <si>
    <t>Busgu</t>
  </si>
  <si>
    <t>Camarón</t>
  </si>
  <si>
    <t>Basumagged</t>
  </si>
  <si>
    <t>Hamaquearse</t>
  </si>
  <si>
    <t xml:space="preserve">Mecerse, Balancearse, Columpiarse, , </t>
  </si>
  <si>
    <t>Basur</t>
  </si>
  <si>
    <t xml:space="preserve">No se preocupe, , , , </t>
  </si>
  <si>
    <t>Basuli</t>
  </si>
  <si>
    <t>Ablisduba</t>
  </si>
  <si>
    <t>Basursunna</t>
  </si>
  <si>
    <t>Facilìsimo</t>
  </si>
  <si>
    <t xml:space="preserve">Muy fàcil, , , , </t>
  </si>
  <si>
    <t>Basursunnagwa</t>
  </si>
  <si>
    <t>Be</t>
  </si>
  <si>
    <t>Tù, tu</t>
  </si>
  <si>
    <t>Bebe</t>
  </si>
  <si>
    <t>Frente</t>
  </si>
  <si>
    <t xml:space="preserve">Cuerno, , , , </t>
  </si>
  <si>
    <t>Bebesiga</t>
  </si>
  <si>
    <t>Ceja</t>
  </si>
  <si>
    <t>Bebi</t>
  </si>
  <si>
    <t>Tù solo</t>
  </si>
  <si>
    <t>beed</t>
  </si>
  <si>
    <t>permanecerse</t>
  </si>
  <si>
    <t xml:space="preserve">Quedarse atràs, , , , </t>
  </si>
  <si>
    <t xml:space="preserve">Desmedido, grave, , , </t>
  </si>
  <si>
    <t>Abeged</t>
  </si>
  <si>
    <t>Querer</t>
  </si>
  <si>
    <t xml:space="preserve">Hasta aquì, , , , </t>
  </si>
  <si>
    <t>Belawabba</t>
  </si>
  <si>
    <t>Sin dejar nada</t>
  </si>
  <si>
    <t xml:space="preserve">Todo, , , , </t>
  </si>
  <si>
    <t>Belagwable</t>
  </si>
  <si>
    <t>Bendagged</t>
  </si>
  <si>
    <t>Ayudar</t>
  </si>
  <si>
    <t xml:space="preserve">Socorrer, Apoyar, Solidarse, , </t>
  </si>
  <si>
    <t>Bengir</t>
  </si>
  <si>
    <t>A crèdito</t>
  </si>
  <si>
    <t>Abga</t>
  </si>
  <si>
    <t>Hacer a tiempo</t>
  </si>
  <si>
    <t>Bengued</t>
  </si>
  <si>
    <t>Desconfiar</t>
  </si>
  <si>
    <t xml:space="preserve">No creer,  No poder con el peso, , , </t>
  </si>
  <si>
    <t>Bennuged</t>
  </si>
  <si>
    <t>Bensuleged</t>
  </si>
  <si>
    <t>Ser traicionado por su pareja</t>
  </si>
  <si>
    <t>Berbeged</t>
  </si>
  <si>
    <t xml:space="preserve">Transportar, acarrear, , , </t>
  </si>
  <si>
    <t>Bia</t>
  </si>
  <si>
    <t>Dònde Por dònde</t>
  </si>
  <si>
    <t>Biali</t>
  </si>
  <si>
    <t>Donde</t>
  </si>
  <si>
    <t>Dònde</t>
  </si>
  <si>
    <t xml:space="preserve">Por dónde, , , , </t>
  </si>
  <si>
    <t>Bibbigwa</t>
  </si>
  <si>
    <t xml:space="preserve">Diminuto, Menudo, , , </t>
  </si>
  <si>
    <t>Bibbinmagged</t>
  </si>
  <si>
    <t>Revolcarse</t>
  </si>
  <si>
    <t>Bindumagged</t>
  </si>
  <si>
    <t>Abbayala</t>
  </si>
  <si>
    <t>Bibbirmagged</t>
  </si>
  <si>
    <t>Dar vueltas</t>
  </si>
  <si>
    <t xml:space="preserve">Girar, , , , </t>
  </si>
  <si>
    <t>Bibyoged</t>
  </si>
  <si>
    <t>Azotar</t>
  </si>
  <si>
    <t xml:space="preserve">Zurrar, , , , </t>
  </si>
  <si>
    <t xml:space="preserve">Pronunciar, Proferir, Hablar, , </t>
  </si>
  <si>
    <t xml:space="preserve">Pronunciar, Mencionar, Proferir, Hablar, </t>
  </si>
  <si>
    <t>Bigbaa</t>
  </si>
  <si>
    <t>Varios</t>
  </si>
  <si>
    <t xml:space="preserve">Muchos, No pocos, , , </t>
  </si>
  <si>
    <t>Muchos</t>
  </si>
  <si>
    <t>Bigbi</t>
  </si>
  <si>
    <t>Abanico</t>
  </si>
  <si>
    <t xml:space="preserve">Ventilador, , , , </t>
  </si>
  <si>
    <t>Bignimagged</t>
  </si>
  <si>
    <t>Darse vueltas</t>
  </si>
  <si>
    <t>Aagala</t>
  </si>
  <si>
    <t>Para él</t>
  </si>
  <si>
    <t>Abgan</t>
  </si>
  <si>
    <t>Cuerpo</t>
  </si>
  <si>
    <t>Cuàntos</t>
  </si>
  <si>
    <t xml:space="preserve">Encorvado, , , , </t>
  </si>
  <si>
    <t>Bila</t>
  </si>
  <si>
    <t>Lucha</t>
  </si>
  <si>
    <t xml:space="preserve">Guerra, Combate, , , </t>
  </si>
  <si>
    <t>Bilubilu</t>
  </si>
  <si>
    <t>Rizado</t>
  </si>
  <si>
    <t xml:space="preserve">Ensortijado, Ondulado, , , </t>
  </si>
  <si>
    <t>Bina</t>
  </si>
  <si>
    <t>Hígado</t>
  </si>
  <si>
    <t>Abgana</t>
  </si>
  <si>
    <t>Organismo</t>
  </si>
  <si>
    <t>Binabina</t>
  </si>
  <si>
    <t xml:space="preserve">Despacio, Lento, Pausado, , </t>
  </si>
  <si>
    <t>Binasdiggii</t>
  </si>
  <si>
    <t>Binagoled</t>
  </si>
  <si>
    <t>Hipo</t>
  </si>
  <si>
    <t>Binasgar</t>
  </si>
  <si>
    <t>Pecho</t>
  </si>
  <si>
    <t>Binasgala</t>
  </si>
  <si>
    <t>Binasgudsu</t>
  </si>
  <si>
    <t>Binged</t>
  </si>
  <si>
    <t>Pena</t>
  </si>
  <si>
    <t xml:space="preserve">Verguenza, Rubor, Bochorno, , </t>
  </si>
  <si>
    <t>Abgayala</t>
  </si>
  <si>
    <t>Bingedsulid</t>
  </si>
  <si>
    <t>Sinverguenza</t>
  </si>
  <si>
    <t xml:space="preserve">Insolente, , , , </t>
  </si>
  <si>
    <t>Bingegued</t>
  </si>
  <si>
    <t>Avergonzarse</t>
  </si>
  <si>
    <t xml:space="preserve">Apenarse, Ruborizarse, , , </t>
  </si>
  <si>
    <t>Binibini</t>
  </si>
  <si>
    <t>Muy nuevo</t>
  </si>
  <si>
    <t xml:space="preserve">Novìsimo, , , , </t>
  </si>
  <si>
    <t xml:space="preserve">Reciente, Intacto, Novedoso, , </t>
  </si>
  <si>
    <t>Gwabbidi</t>
  </si>
  <si>
    <t xml:space="preserve">Reciente, Intacto, Novedeso, , </t>
  </si>
  <si>
    <t>Binnagwa</t>
  </si>
  <si>
    <t>Lento</t>
  </si>
  <si>
    <t xml:space="preserve">Despacio, Suave, Tardo, , </t>
  </si>
  <si>
    <t>Binnasur</t>
  </si>
  <si>
    <t xml:space="preserve">Muy ligero, No despacio, Alto, Fuerte, </t>
  </si>
  <si>
    <t>Binnasuli</t>
  </si>
  <si>
    <t xml:space="preserve">Ligero, No despacio, Alto, Fuerte, </t>
  </si>
  <si>
    <t>Abgila</t>
  </si>
  <si>
    <t>Criatura</t>
  </si>
  <si>
    <t>Binnuwar</t>
  </si>
  <si>
    <t>Arbol de espavé</t>
  </si>
  <si>
    <t>Tree espave</t>
  </si>
  <si>
    <t>Binnuwala</t>
  </si>
  <si>
    <t xml:space="preserve">Innovar, Remozar, Reorganizar, , </t>
  </si>
  <si>
    <t>Binasdiggigwa</t>
  </si>
  <si>
    <t xml:space="preserve">Con prudencia, , , , </t>
  </si>
  <si>
    <t>Binsaed</t>
  </si>
  <si>
    <t>Pensar</t>
  </si>
  <si>
    <t xml:space="preserve">Reflexionar, Meditar, , , </t>
  </si>
  <si>
    <t>Gratuito</t>
  </si>
  <si>
    <t xml:space="preserve">Gratis, , , , </t>
  </si>
  <si>
    <t>Binyed</t>
  </si>
  <si>
    <t>Transformarse</t>
  </si>
  <si>
    <t xml:space="preserve">Transfigurarse, , , , </t>
  </si>
  <si>
    <t>Abiayala</t>
  </si>
  <si>
    <t>Territorio salvado</t>
  </si>
  <si>
    <t xml:space="preserve">Continente americano, , , , </t>
  </si>
  <si>
    <t>Biogged</t>
  </si>
  <si>
    <t>Clavar</t>
  </si>
  <si>
    <t xml:space="preserve">Incrustar, , , , </t>
  </si>
  <si>
    <t>Biomagged</t>
  </si>
  <si>
    <t>Brotar algùn lìquido</t>
  </si>
  <si>
    <t>Birbir</t>
  </si>
  <si>
    <t>Huso</t>
  </si>
  <si>
    <t>Birbirid</t>
  </si>
  <si>
    <t>Helicóptero</t>
  </si>
  <si>
    <t>Bired</t>
  </si>
  <si>
    <t>Volver</t>
  </si>
  <si>
    <t xml:space="preserve">Regresar, Retornar,Tornar, , </t>
  </si>
  <si>
    <t>Agbired</t>
  </si>
  <si>
    <t xml:space="preserve">Regresar, Retornar, Tornar, , </t>
  </si>
  <si>
    <t>Bireged</t>
  </si>
  <si>
    <t>Loro azul pez</t>
  </si>
  <si>
    <t xml:space="preserve">Torcido, , , , </t>
  </si>
  <si>
    <t>Birga</t>
  </si>
  <si>
    <t>Año</t>
  </si>
  <si>
    <t xml:space="preserve">Edad, , , , </t>
  </si>
  <si>
    <t>Birgag</t>
  </si>
  <si>
    <t>Cestillo</t>
  </si>
  <si>
    <t>Gogbir</t>
  </si>
  <si>
    <t>Fruto del arbol cocobolo</t>
  </si>
  <si>
    <t>Fruto de arbol de cocobolo</t>
  </si>
  <si>
    <t>Biseb</t>
  </si>
  <si>
    <t>Hierbabuena</t>
  </si>
  <si>
    <t>Bisged</t>
  </si>
  <si>
    <t>Quebrar</t>
  </si>
  <si>
    <t xml:space="preserve">Romper, , , , </t>
  </si>
  <si>
    <t>Bissa</t>
  </si>
  <si>
    <t>Petticoat</t>
  </si>
  <si>
    <t>Bisubisu</t>
  </si>
  <si>
    <t>Serpenteo</t>
  </si>
  <si>
    <t xml:space="preserve">Tortuoso, Garabato, , , </t>
  </si>
  <si>
    <t>Wriggle</t>
  </si>
  <si>
    <t>Boed</t>
  </si>
  <si>
    <t>Llorar</t>
  </si>
  <si>
    <t xml:space="preserve">Gemir, Sollozar, , , </t>
  </si>
  <si>
    <t>Moaning, Sobbing,</t>
  </si>
  <si>
    <t>Addied</t>
  </si>
  <si>
    <t>Boegala</t>
  </si>
  <si>
    <t>Llorón</t>
  </si>
  <si>
    <t>Gagdar</t>
  </si>
  <si>
    <t>Bogileged</t>
  </si>
  <si>
    <t>Calmarse</t>
  </si>
  <si>
    <t xml:space="preserve">Tranquilizarser, apaciguarse, aquietarse, , </t>
  </si>
  <si>
    <t>Bogimaggar</t>
  </si>
  <si>
    <t>Stillness deep</t>
  </si>
  <si>
    <t>Bogimaggale</t>
  </si>
  <si>
    <t>Naimaggar</t>
  </si>
  <si>
    <t>Quietud</t>
  </si>
  <si>
    <t>Naimaggale</t>
  </si>
  <si>
    <t>Bogwa</t>
  </si>
  <si>
    <t>Dos</t>
  </si>
  <si>
    <t>Bo</t>
  </si>
  <si>
    <t>Bolego</t>
  </si>
  <si>
    <t>Madrugada</t>
  </si>
  <si>
    <t xml:space="preserve">Aurora, Alba, Temprano, , </t>
  </si>
  <si>
    <t>Bolegoe</t>
  </si>
  <si>
    <t>Bomied</t>
  </si>
  <si>
    <t>Chispear el agua</t>
  </si>
  <si>
    <t xml:space="preserve">Lloviznar, , , , </t>
  </si>
  <si>
    <t>Gaggarmagged</t>
  </si>
  <si>
    <t>Chispear</t>
  </si>
  <si>
    <t>Enfermedad</t>
  </si>
  <si>
    <t>Peligro</t>
  </si>
  <si>
    <t xml:space="preserve">Dificultad, , , , </t>
  </si>
  <si>
    <t>Bonigoordiggid</t>
  </si>
  <si>
    <t>Malaria</t>
  </si>
  <si>
    <t>Bonisagla</t>
  </si>
  <si>
    <t>Peligroso</t>
  </si>
  <si>
    <t xml:space="preserve">Muy peligroso, De alto riesgo, , , </t>
  </si>
  <si>
    <t>Very dangerous, High-risk,</t>
  </si>
  <si>
    <t>Boo</t>
  </si>
  <si>
    <t>Neblina</t>
  </si>
  <si>
    <t xml:space="preserve">Bruma, , , , </t>
  </si>
  <si>
    <t>Bubbunmagged</t>
  </si>
  <si>
    <t>Brotar en estado semilicuado</t>
  </si>
  <si>
    <t>Sprout in semi-liquified state</t>
  </si>
  <si>
    <t>Abindagged</t>
  </si>
  <si>
    <t>Recibir</t>
  </si>
  <si>
    <t xml:space="preserve">Acoger, , , , </t>
  </si>
  <si>
    <t>Bubburmagged</t>
  </si>
  <si>
    <t>Brotar algo en estado gaseoso</t>
  </si>
  <si>
    <t>Budariddoged</t>
  </si>
  <si>
    <t>Flojera</t>
  </si>
  <si>
    <t xml:space="preserve">Somnolencia, , , , </t>
  </si>
  <si>
    <t>Buddarar</t>
  </si>
  <si>
    <t>Erizo</t>
  </si>
  <si>
    <t>Budde</t>
  </si>
  <si>
    <t>Botella</t>
  </si>
  <si>
    <t>Buddu</t>
  </si>
  <si>
    <t xml:space="preserve">Perdiz de arca, , , , </t>
  </si>
  <si>
    <t>Boxfish</t>
  </si>
  <si>
    <t>Buddugnoed</t>
  </si>
  <si>
    <t>Salir apresurado</t>
  </si>
  <si>
    <t>Budi</t>
  </si>
  <si>
    <t>Cerbatana</t>
  </si>
  <si>
    <t>Bugbu</t>
  </si>
  <si>
    <t>Colador</t>
  </si>
  <si>
    <t>Buggib</t>
  </si>
  <si>
    <t xml:space="preserve">Numeroso, , , , </t>
  </si>
  <si>
    <t>Abingued</t>
  </si>
  <si>
    <t>Encontrarse</t>
  </si>
  <si>
    <t xml:space="preserve">Toparse,Hallarse, , , , </t>
  </si>
  <si>
    <t>Buggidar</t>
  </si>
  <si>
    <t>Yaisuli</t>
  </si>
  <si>
    <t>Buggwa</t>
  </si>
  <si>
    <t>Están</t>
  </si>
  <si>
    <t xml:space="preserve">Verbo de estar </t>
  </si>
  <si>
    <t>To be</t>
  </si>
  <si>
    <t>Buglu</t>
  </si>
  <si>
    <t>Calabaza para llevar chicha de maiz</t>
  </si>
  <si>
    <t xml:space="preserve">Cantimplora, , , , </t>
  </si>
  <si>
    <t>Igwaoginyabibbiler</t>
  </si>
  <si>
    <t>hermano de Ibeler</t>
  </si>
  <si>
    <t>Bula</t>
  </si>
  <si>
    <t>Maleza</t>
  </si>
  <si>
    <t xml:space="preserve">Matorral, Basura, , , </t>
  </si>
  <si>
    <t>Buladig</t>
  </si>
  <si>
    <t>Entre todos</t>
  </si>
  <si>
    <t xml:space="preserve">Juntos, Unidos, , , </t>
  </si>
  <si>
    <t>Aaular</t>
  </si>
  <si>
    <t>En lugar de</t>
  </si>
  <si>
    <t>Por algo</t>
  </si>
  <si>
    <t>Buladiggi</t>
  </si>
  <si>
    <t>Together, United,,,</t>
  </si>
  <si>
    <t>Bulaggwa</t>
  </si>
  <si>
    <t>Unidos</t>
  </si>
  <si>
    <t xml:space="preserve">Juntos como la hierba, , , , </t>
  </si>
  <si>
    <t>Bulaggwagwa</t>
  </si>
  <si>
    <t>A qué distancia</t>
  </si>
  <si>
    <t>Buled</t>
  </si>
  <si>
    <t>Valiente</t>
  </si>
  <si>
    <t xml:space="preserve">Capaz, , , , </t>
  </si>
  <si>
    <t>Buledi</t>
  </si>
  <si>
    <t>valiente</t>
  </si>
  <si>
    <t>Gandiggid</t>
  </si>
  <si>
    <t>Bulemelu</t>
  </si>
  <si>
    <t>Abirgunar</t>
  </si>
  <si>
    <t>En pareja</t>
  </si>
  <si>
    <t>Buna</t>
  </si>
  <si>
    <t>Hermana dicho por una varón</t>
  </si>
  <si>
    <t>Bunagwa</t>
  </si>
  <si>
    <t xml:space="preserve">Muchacha, Chica, , , </t>
  </si>
  <si>
    <t>Girl, Girl,,,</t>
  </si>
  <si>
    <t>Bunmarnele</t>
  </si>
  <si>
    <t>Ginecologo</t>
  </si>
  <si>
    <t>Bunnoged</t>
  </si>
  <si>
    <t>Respirar</t>
  </si>
  <si>
    <t>Bunnu</t>
  </si>
  <si>
    <t>Cola</t>
  </si>
  <si>
    <t xml:space="preserve">Rabo, , , , </t>
  </si>
  <si>
    <t>Bunnogoro</t>
  </si>
  <si>
    <t>Pez pargo</t>
  </si>
  <si>
    <t>Bunor</t>
  </si>
  <si>
    <t>Niña</t>
  </si>
  <si>
    <t xml:space="preserve">Pequeña, , , , </t>
  </si>
  <si>
    <t>Bunur</t>
  </si>
  <si>
    <t>Variedad de helicona</t>
  </si>
  <si>
    <t xml:space="preserve">Medicamento, , , , </t>
  </si>
  <si>
    <t>Abirgunagwale</t>
  </si>
  <si>
    <t>Bunurnii</t>
  </si>
  <si>
    <t>Julio</t>
  </si>
  <si>
    <t>Bur</t>
  </si>
  <si>
    <t>Avispa</t>
  </si>
  <si>
    <t>Bulu</t>
  </si>
  <si>
    <t>Burba</t>
  </si>
  <si>
    <t>Sombra</t>
  </si>
  <si>
    <t xml:space="preserve">Espiritu, Aliento, , , </t>
  </si>
  <si>
    <t xml:space="preserve">Fotografiar, Fotógrafo, , , </t>
  </si>
  <si>
    <t>Burbaled</t>
  </si>
  <si>
    <t>Simbolico</t>
  </si>
  <si>
    <t xml:space="preserve">Lo oculto, , , , </t>
  </si>
  <si>
    <t>Burdagged</t>
  </si>
  <si>
    <t>Espejo</t>
  </si>
  <si>
    <t>Burdied</t>
  </si>
  <si>
    <t>Bucear</t>
  </si>
  <si>
    <t xml:space="preserve">Sumergirse, Resistir, , , </t>
  </si>
  <si>
    <t>Burdugges</t>
  </si>
  <si>
    <t>Pez besugo</t>
  </si>
  <si>
    <t>Agravarse</t>
  </si>
  <si>
    <t>Burgwed</t>
  </si>
  <si>
    <t>Morirse</t>
  </si>
  <si>
    <t xml:space="preserve">Fallecer, , , , </t>
  </si>
  <si>
    <t>Burged</t>
  </si>
  <si>
    <t>Bursob</t>
  </si>
  <si>
    <t>Primera mujer ne la tierra</t>
  </si>
  <si>
    <t>Buru</t>
  </si>
  <si>
    <t>Fruta de pan</t>
  </si>
  <si>
    <t xml:space="preserve"> Ceniza, , , , </t>
  </si>
  <si>
    <t>Burwa</t>
  </si>
  <si>
    <t>Viento</t>
  </si>
  <si>
    <t xml:space="preserve">Brisa, Aire, Soplo, , </t>
  </si>
  <si>
    <t>Breeze, Air, Blow,</t>
  </si>
  <si>
    <t>Burwagammu</t>
  </si>
  <si>
    <t>Tornado</t>
  </si>
  <si>
    <t xml:space="preserve">Tifón, , , , </t>
  </si>
  <si>
    <t>Burwaored</t>
  </si>
  <si>
    <t>Viento huracanado</t>
  </si>
  <si>
    <t>vendaval</t>
  </si>
  <si>
    <t>Gale,,,,</t>
  </si>
  <si>
    <t>Buwar</t>
  </si>
  <si>
    <t>Palo principal de la casa</t>
  </si>
  <si>
    <t>Dabgala</t>
  </si>
  <si>
    <t>Garza</t>
  </si>
  <si>
    <t xml:space="preserve">Garzota, Cigueña, , , </t>
  </si>
  <si>
    <t>Garzota, Storks,,,</t>
  </si>
  <si>
    <t>Barracuda</t>
  </si>
  <si>
    <t xml:space="preserve">Pez, , , , </t>
  </si>
  <si>
    <t>Dabugared</t>
  </si>
  <si>
    <t>Pez aguja</t>
  </si>
  <si>
    <t xml:space="preserve">Pez aguja </t>
  </si>
  <si>
    <t>Needle fish</t>
  </si>
  <si>
    <t>Vello,Barba</t>
  </si>
  <si>
    <t xml:space="preserve">Pelo, Pelusa, , , </t>
  </si>
  <si>
    <t>Canao</t>
  </si>
  <si>
    <t>Dabuswiili</t>
  </si>
  <si>
    <t>Pez sierra</t>
  </si>
  <si>
    <t>Dada</t>
  </si>
  <si>
    <t>Dad</t>
  </si>
  <si>
    <t>Anciano</t>
  </si>
  <si>
    <t xml:space="preserve">Veterano, Viejo, Sol, , </t>
  </si>
  <si>
    <t>Dadag</t>
  </si>
  <si>
    <t>Sobrio</t>
  </si>
  <si>
    <t xml:space="preserve">Despierto, , , , </t>
  </si>
  <si>
    <t>Dadagga</t>
  </si>
  <si>
    <t xml:space="preserve">Barba, Pelo, Pelusa, , </t>
  </si>
  <si>
    <t>Daddummad</t>
  </si>
  <si>
    <t>Bisabuelo</t>
  </si>
  <si>
    <t>Dadgaleged</t>
  </si>
  <si>
    <t>Eclipse solar</t>
  </si>
  <si>
    <t>Solar eclipse</t>
  </si>
  <si>
    <t>Babgan</t>
  </si>
  <si>
    <t>Dadibe</t>
  </si>
  <si>
    <t>Sol</t>
  </si>
  <si>
    <t>Dadnaggwe</t>
  </si>
  <si>
    <t xml:space="preserve">Levante, Por donde sale el sol, Oriente, , </t>
  </si>
  <si>
    <t>Rise, where the sun rises, East,</t>
  </si>
  <si>
    <t>Absoged</t>
  </si>
  <si>
    <t>Leer</t>
  </si>
  <si>
    <t xml:space="preserve">Dialogar, Conversar, Especialista, , </t>
  </si>
  <si>
    <t>Talk, Talk, Specialist,</t>
  </si>
  <si>
    <t>Dadyoggor</t>
  </si>
  <si>
    <t>Tatarabuelo</t>
  </si>
  <si>
    <t>Dadyoggu</t>
  </si>
  <si>
    <t>Mediodia</t>
  </si>
  <si>
    <t>Daed</t>
  </si>
  <si>
    <t>Cultura</t>
  </si>
  <si>
    <t xml:space="preserve">Conducta, Estilo de vida, Compartarse, , </t>
  </si>
  <si>
    <t>Behavior, Lifestyle, Compartarse,</t>
  </si>
  <si>
    <t>Dagar</t>
  </si>
  <si>
    <t>Helicona hojas parecidas al de guineo</t>
  </si>
  <si>
    <t>Daged</t>
  </si>
  <si>
    <t>Venir</t>
  </si>
  <si>
    <t>Daggarmagged</t>
  </si>
  <si>
    <t>Brillar</t>
  </si>
  <si>
    <t xml:space="preserve">Resplandecer, Fulgurar, , , </t>
  </si>
  <si>
    <t>Shine, Fulgurar,,,</t>
  </si>
  <si>
    <t>Dagge</t>
  </si>
  <si>
    <t>Ortiga</t>
  </si>
  <si>
    <t xml:space="preserve">Planta medicinal </t>
  </si>
  <si>
    <t>Dagged</t>
  </si>
  <si>
    <t xml:space="preserve">Observar, No perder de vista, Otear, , </t>
  </si>
  <si>
    <t>Dagnaed</t>
  </si>
  <si>
    <t>Ir a ver</t>
  </si>
  <si>
    <t xml:space="preserve">Encaminarse a observar, , , , </t>
  </si>
  <si>
    <t>Abu</t>
  </si>
  <si>
    <t>Pez loro</t>
  </si>
  <si>
    <t>Dagsig</t>
  </si>
  <si>
    <t>Atrás</t>
  </si>
  <si>
    <t xml:space="preserve">Detrás, , , , </t>
  </si>
  <si>
    <t>Dagsiggi</t>
  </si>
  <si>
    <t>Dagu</t>
  </si>
  <si>
    <t>Aguamala</t>
  </si>
  <si>
    <t xml:space="preserve">Medusa, , , , </t>
  </si>
  <si>
    <t>Dain</t>
  </si>
  <si>
    <t>Cocodrilo</t>
  </si>
  <si>
    <t xml:space="preserve">Caimán, Lagarto, , , </t>
  </si>
  <si>
    <t>Alligator, Lizard,,,</t>
  </si>
  <si>
    <t>Dali</t>
  </si>
  <si>
    <t>Una brazada</t>
  </si>
  <si>
    <t>An armful</t>
  </si>
  <si>
    <t>Abuabu</t>
  </si>
  <si>
    <t>Objeto blando desmenuzado</t>
  </si>
  <si>
    <t>Dalued</t>
  </si>
  <si>
    <t>Derretir</t>
  </si>
  <si>
    <t xml:space="preserve">Licuar, Disolver, , , </t>
  </si>
  <si>
    <t>Dambed</t>
  </si>
  <si>
    <t>Frío</t>
  </si>
  <si>
    <t>Danar</t>
  </si>
  <si>
    <t>Grupo</t>
  </si>
  <si>
    <t xml:space="preserve">Conjunto, Agrupado, , , </t>
  </si>
  <si>
    <t>Danale</t>
  </si>
  <si>
    <t>Darbogwad</t>
  </si>
  <si>
    <t>Doble</t>
  </si>
  <si>
    <t xml:space="preserve">Gemelo, , , , </t>
  </si>
  <si>
    <t>Dargwa</t>
  </si>
  <si>
    <t>Oteo</t>
  </si>
  <si>
    <t>Dasi</t>
  </si>
  <si>
    <t>Pez candil</t>
  </si>
  <si>
    <t xml:space="preserve">Zorro, , , , </t>
  </si>
  <si>
    <t>Fish candil</t>
  </si>
  <si>
    <t>Dear</t>
  </si>
  <si>
    <t>Río abajo</t>
  </si>
  <si>
    <t>Deale</t>
  </si>
  <si>
    <t>Río abjo</t>
  </si>
  <si>
    <t>Aulale</t>
  </si>
  <si>
    <t>Adared</t>
  </si>
  <si>
    <t>Destruirsse</t>
  </si>
  <si>
    <t xml:space="preserve">Espacirse, Desparramarse, , , </t>
  </si>
  <si>
    <t>Deddereged</t>
  </si>
  <si>
    <t>Sin punta</t>
  </si>
  <si>
    <t xml:space="preserve">Romo, , , , </t>
  </si>
  <si>
    <t>Gaggored</t>
  </si>
  <si>
    <t>Dedgar</t>
  </si>
  <si>
    <t>Instrumento hecho de cráneo de armadillo</t>
  </si>
  <si>
    <t>Instrument made of armadillo's skull</t>
  </si>
  <si>
    <t>Dedegala</t>
  </si>
  <si>
    <t>Instrumento de armadillo</t>
  </si>
  <si>
    <t xml:space="preserve">Expresión de saludo, , , , </t>
  </si>
  <si>
    <t>Degii</t>
  </si>
  <si>
    <t>Así es</t>
  </si>
  <si>
    <t>Addagged</t>
  </si>
  <si>
    <t>Despertarse</t>
  </si>
  <si>
    <t xml:space="preserve">Fijarse, Pelarse, , , </t>
  </si>
  <si>
    <t>Fixed, Peeling,,,</t>
  </si>
  <si>
    <t>Candil fish</t>
  </si>
  <si>
    <t xml:space="preserve">Oceáno, , , , </t>
  </si>
  <si>
    <t>Muubille</t>
  </si>
  <si>
    <t>Demargagan</t>
  </si>
  <si>
    <t>Algas marinas</t>
  </si>
  <si>
    <t>Demarob</t>
  </si>
  <si>
    <t>Demarmullugan</t>
  </si>
  <si>
    <t>Oleajes</t>
  </si>
  <si>
    <t xml:space="preserve">Olas, , , , </t>
  </si>
  <si>
    <t>Surges</t>
  </si>
  <si>
    <t>Demarwellegan</t>
  </si>
  <si>
    <t>Dendenne</t>
  </si>
  <si>
    <t>Pez ronquito</t>
  </si>
  <si>
    <t>Di</t>
  </si>
  <si>
    <t>Agua</t>
  </si>
  <si>
    <t>Addar</t>
  </si>
  <si>
    <t>Cinco</t>
  </si>
  <si>
    <t>Dia</t>
  </si>
  <si>
    <t>Pozo</t>
  </si>
  <si>
    <t>Dian</t>
  </si>
  <si>
    <t>Riachuelo</t>
  </si>
  <si>
    <t xml:space="preserve">Arroyo, , , , </t>
  </si>
  <si>
    <t>Diba</t>
  </si>
  <si>
    <t>Araña casera</t>
  </si>
  <si>
    <t>Spider home</t>
  </si>
  <si>
    <t>Dibamor</t>
  </si>
  <si>
    <t>Tul</t>
  </si>
  <si>
    <t xml:space="preserve">Gasa, , , , </t>
  </si>
  <si>
    <t>Dibbagwa</t>
  </si>
  <si>
    <t>Flaco</t>
  </si>
  <si>
    <t>Garagwa</t>
  </si>
  <si>
    <t xml:space="preserve">Enjuto, , , , </t>
  </si>
  <si>
    <t>Dibur</t>
  </si>
  <si>
    <t>Calabaza para agua</t>
  </si>
  <si>
    <t>Diburwa</t>
  </si>
  <si>
    <t xml:space="preserve">Del este, , , , </t>
  </si>
  <si>
    <t>Dibyed</t>
  </si>
  <si>
    <t>Freir</t>
  </si>
  <si>
    <t>Diddiregwa</t>
  </si>
  <si>
    <t>Agua cristalina</t>
  </si>
  <si>
    <t xml:space="preserve">Clara, , , , </t>
  </si>
  <si>
    <t>Addale</t>
  </si>
  <si>
    <t>Didi</t>
  </si>
  <si>
    <t>Mono tití</t>
  </si>
  <si>
    <t>Didigwa</t>
  </si>
  <si>
    <t>Monto tití</t>
  </si>
  <si>
    <t>Didod</t>
  </si>
  <si>
    <t>Cormorán</t>
  </si>
  <si>
    <t xml:space="preserve">Cuervo marino, , , , </t>
  </si>
  <si>
    <t>Dodo</t>
  </si>
  <si>
    <t>Didordo</t>
  </si>
  <si>
    <t>Paraguas</t>
  </si>
  <si>
    <t>Digammu</t>
  </si>
  <si>
    <t>Acueducto</t>
  </si>
  <si>
    <t>Digar</t>
  </si>
  <si>
    <t>Agua caliente</t>
  </si>
  <si>
    <t>Diged</t>
  </si>
  <si>
    <t>Sembrar</t>
  </si>
  <si>
    <t xml:space="preserve">Cultivar, enterrar, sepultar, , </t>
  </si>
  <si>
    <t>Digegwa</t>
  </si>
  <si>
    <t>Ratoncillo</t>
  </si>
  <si>
    <t xml:space="preserve">Ratilla, , , , </t>
  </si>
  <si>
    <t>Diggar</t>
  </si>
  <si>
    <t>Cadera</t>
  </si>
  <si>
    <t xml:space="preserve">Al lado de, , , , </t>
  </si>
  <si>
    <t>Diggala</t>
  </si>
  <si>
    <t>Diggarba</t>
  </si>
  <si>
    <t>Alrededor</t>
  </si>
  <si>
    <t xml:space="preserve">Derredor, , , , </t>
  </si>
  <si>
    <t>Daggarbali</t>
  </si>
  <si>
    <t>Diggasur</t>
  </si>
  <si>
    <t xml:space="preserve">Lejano, Allá, , , </t>
  </si>
  <si>
    <t>Diggasuli</t>
  </si>
  <si>
    <t>Lejoslejano</t>
  </si>
  <si>
    <t xml:space="preserve">Allá, , , , </t>
  </si>
  <si>
    <t>Edsaa</t>
  </si>
  <si>
    <t>Digwar</t>
  </si>
  <si>
    <t>Limo</t>
  </si>
  <si>
    <t xml:space="preserve">Algas, , , , </t>
  </si>
  <si>
    <t>llorar</t>
  </si>
  <si>
    <t>Cry</t>
  </si>
  <si>
    <t>Dibormo</t>
  </si>
  <si>
    <t>Balde</t>
  </si>
  <si>
    <t xml:space="preserve">Vasija grande, , , , </t>
  </si>
  <si>
    <t>Dibuglu</t>
  </si>
  <si>
    <t>Digurguli</t>
  </si>
  <si>
    <t>Lluvia torrencial</t>
  </si>
  <si>
    <t>Current river</t>
  </si>
  <si>
    <t>Luvia</t>
  </si>
  <si>
    <t xml:space="preserve">Aguacero, , , , </t>
  </si>
  <si>
    <t>Dilla</t>
  </si>
  <si>
    <t>Arbol de palo santo</t>
  </si>
  <si>
    <t xml:space="preserve">Guayabo, , , , </t>
  </si>
  <si>
    <t>Dillanii</t>
  </si>
  <si>
    <t>Marzo</t>
  </si>
  <si>
    <t>addoged</t>
  </si>
  <si>
    <t>Juntar</t>
  </si>
  <si>
    <t xml:space="preserve">Unir, , , , </t>
  </si>
  <si>
    <t>Charca</t>
  </si>
  <si>
    <t xml:space="preserve">Lodo, Estanque, , , </t>
  </si>
  <si>
    <t>Dimaddadummad</t>
  </si>
  <si>
    <t>Lago</t>
  </si>
  <si>
    <t xml:space="preserve">Pántano, Cenagal, , , </t>
  </si>
  <si>
    <t>Dimmur</t>
  </si>
  <si>
    <t>Ostra</t>
  </si>
  <si>
    <t>Dimoli</t>
  </si>
  <si>
    <t>Manatí</t>
  </si>
  <si>
    <t xml:space="preserve">Foca, , , , </t>
  </si>
  <si>
    <t>Dinagbe</t>
  </si>
  <si>
    <t>Serpiente marina</t>
  </si>
  <si>
    <t>Dinarsiggaled</t>
  </si>
  <si>
    <t>Alimento de jugo de plátano</t>
  </si>
  <si>
    <t xml:space="preserve">Cacao, Desayuno, , , </t>
  </si>
  <si>
    <t>Dinna</t>
  </si>
  <si>
    <t>Seco</t>
  </si>
  <si>
    <t>Dinnagwa</t>
  </si>
  <si>
    <t>Dinned</t>
  </si>
  <si>
    <t>Enlazar con arte</t>
  </si>
  <si>
    <t>Addued</t>
  </si>
  <si>
    <t>Arroparse</t>
  </si>
  <si>
    <t xml:space="preserve">Cubrirse, Sábana, Cobija, , </t>
  </si>
  <si>
    <t>Diobbigwa</t>
  </si>
  <si>
    <t>Fresco</t>
  </si>
  <si>
    <t xml:space="preserve">Frío, , , , </t>
  </si>
  <si>
    <t>Diyobbigwa</t>
  </si>
  <si>
    <t>Caliente</t>
  </si>
  <si>
    <t>Dior</t>
  </si>
  <si>
    <t>Alacran</t>
  </si>
  <si>
    <t xml:space="preserve">Escorpión, , , , </t>
  </si>
  <si>
    <t>Círculo</t>
  </si>
  <si>
    <t>Olole</t>
  </si>
  <si>
    <t>Addursaed</t>
  </si>
  <si>
    <t>robar</t>
  </si>
  <si>
    <t xml:space="preserve">Despojar, Asaltar, Ladron, Bandido, </t>
  </si>
  <si>
    <t>Dirigwa</t>
  </si>
  <si>
    <t>Líquido</t>
  </si>
  <si>
    <t xml:space="preserve">Transparente, Claro, , , </t>
  </si>
  <si>
    <t>diarrea</t>
  </si>
  <si>
    <t>Disla</t>
  </si>
  <si>
    <t>Tijera</t>
  </si>
  <si>
    <t xml:space="preserve">Excretar, , , , </t>
  </si>
  <si>
    <t>Diwar</t>
  </si>
  <si>
    <t>Río</t>
  </si>
  <si>
    <t>Diwala</t>
  </si>
  <si>
    <t>Rio</t>
  </si>
  <si>
    <t xml:space="preserve">Corriente, , , , </t>
  </si>
  <si>
    <t>Doa</t>
  </si>
  <si>
    <t>Quién</t>
  </si>
  <si>
    <t>Dobed</t>
  </si>
  <si>
    <t>Miedo</t>
  </si>
  <si>
    <t>Temer</t>
  </si>
  <si>
    <t xml:space="preserve">Asustarse, Atemorizarse, , , </t>
  </si>
  <si>
    <t xml:space="preserve">Asustarse, , , , </t>
  </si>
  <si>
    <t>Doddo</t>
  </si>
  <si>
    <t xml:space="preserve">Infante, Pequeño, , , </t>
  </si>
  <si>
    <t>Doggogalu</t>
  </si>
  <si>
    <t>Jardín de párvulos</t>
  </si>
  <si>
    <t xml:space="preserve">Hogar de niños, , , , </t>
  </si>
  <si>
    <t>Caromorón</t>
  </si>
  <si>
    <t>Dodoar</t>
  </si>
  <si>
    <t>Relajado</t>
  </si>
  <si>
    <t xml:space="preserve">De broma, No serio, , , </t>
  </si>
  <si>
    <t>Dodoale</t>
  </si>
  <si>
    <t xml:space="preserve">De broma, , , , </t>
  </si>
  <si>
    <t>Dodoged</t>
  </si>
  <si>
    <t>Jugar</t>
  </si>
  <si>
    <t xml:space="preserve">Bromear, , , , </t>
  </si>
  <si>
    <t>Por alguien</t>
  </si>
  <si>
    <t xml:space="preserve">Empaparse, , , , </t>
  </si>
  <si>
    <t>Dodoed</t>
  </si>
  <si>
    <t>Dodua</t>
  </si>
  <si>
    <t>Pez Corvina</t>
  </si>
  <si>
    <t>Doed</t>
  </si>
  <si>
    <t>Tragar</t>
  </si>
  <si>
    <t xml:space="preserve">Devorar, Engullir, , , </t>
  </si>
  <si>
    <t xml:space="preserve">Suficiente, Bastante, , , </t>
  </si>
  <si>
    <t xml:space="preserve">suficientte, Bastante, , , </t>
  </si>
  <si>
    <t>Dogdar</t>
  </si>
  <si>
    <t>Demasiado</t>
  </si>
  <si>
    <t xml:space="preserve">En extremo, Excesivo, , , </t>
  </si>
  <si>
    <t>Dogdara</t>
  </si>
  <si>
    <t xml:space="preserve">Excede, , , , </t>
  </si>
  <si>
    <t>Doged</t>
  </si>
  <si>
    <t>Penetrar</t>
  </si>
  <si>
    <t xml:space="preserve">Ingresar, Hundir, , , </t>
  </si>
  <si>
    <t>Adsule</t>
  </si>
  <si>
    <t>pasado mañana</t>
  </si>
  <si>
    <t>Doggus</t>
  </si>
  <si>
    <t>Doggusa</t>
  </si>
  <si>
    <t>Dogagusa</t>
  </si>
  <si>
    <t>Dollomagged</t>
  </si>
  <si>
    <t>Toser</t>
  </si>
  <si>
    <t xml:space="preserve">Tos, , , , </t>
  </si>
  <si>
    <t>Dolo</t>
  </si>
  <si>
    <t>Dongwen</t>
  </si>
  <si>
    <t>Cuarenta centavos</t>
  </si>
  <si>
    <t>Donni</t>
  </si>
  <si>
    <t>Pequeñito</t>
  </si>
  <si>
    <t xml:space="preserve">Cortito, Diminuto, , , </t>
  </si>
  <si>
    <t>Adswer</t>
  </si>
  <si>
    <t>Anzuelo</t>
  </si>
  <si>
    <t>Donnigwa</t>
  </si>
  <si>
    <t>Dosin</t>
  </si>
  <si>
    <t>Docena</t>
  </si>
  <si>
    <t>Dua</t>
  </si>
  <si>
    <t>Muslo</t>
  </si>
  <si>
    <t xml:space="preserve">Pierna, , , , </t>
  </si>
  <si>
    <t>Duagar</t>
  </si>
  <si>
    <t>Fémur</t>
  </si>
  <si>
    <t>Duagala</t>
  </si>
  <si>
    <t>Duamagged</t>
  </si>
  <si>
    <t>Patalear</t>
  </si>
  <si>
    <t xml:space="preserve">Revolcarse, , , , </t>
  </si>
  <si>
    <t>Kick</t>
  </si>
  <si>
    <t>Dub</t>
  </si>
  <si>
    <t>Hilo</t>
  </si>
  <si>
    <t xml:space="preserve">Cuerda, Soga, , , </t>
  </si>
  <si>
    <t>Duba</t>
  </si>
  <si>
    <t xml:space="preserve">Soga, Cuerda, , , </t>
  </si>
  <si>
    <t>Isla</t>
  </si>
  <si>
    <t xml:space="preserve">Islote, , , , </t>
  </si>
  <si>
    <t>Adswerdub</t>
  </si>
  <si>
    <t>Hilo de pescar</t>
  </si>
  <si>
    <t>Dubbu</t>
  </si>
  <si>
    <t>Duddu</t>
  </si>
  <si>
    <t>Flor</t>
  </si>
  <si>
    <t>Duddugalu</t>
  </si>
  <si>
    <t>Jardín</t>
  </si>
  <si>
    <t>Duddugwa</t>
  </si>
  <si>
    <t>Blando</t>
  </si>
  <si>
    <t xml:space="preserve">Suave, , , , </t>
  </si>
  <si>
    <t>Duddumola</t>
  </si>
  <si>
    <t>Gorogwad</t>
  </si>
  <si>
    <t xml:space="preserve">Duro, Recio, Sólido, , </t>
  </si>
  <si>
    <t>Dudied</t>
  </si>
  <si>
    <t>Sumergir</t>
  </si>
  <si>
    <t xml:space="preserve">Remojar, , , , </t>
  </si>
  <si>
    <t>Dudu</t>
  </si>
  <si>
    <t>Coloradilla</t>
  </si>
  <si>
    <t xml:space="preserve">Cresta de gallina, , , , </t>
  </si>
  <si>
    <t>Adsweryala</t>
  </si>
  <si>
    <t>Albahaca</t>
  </si>
  <si>
    <t>Duggar</t>
  </si>
  <si>
    <t>Cuello</t>
  </si>
  <si>
    <t xml:space="preserve">Pescuezo, , , , </t>
  </si>
  <si>
    <t>Duggin</t>
  </si>
  <si>
    <t>Inclinado</t>
  </si>
  <si>
    <t xml:space="preserve">Por sí mismo, , , , </t>
  </si>
  <si>
    <t>Duggu</t>
  </si>
  <si>
    <t>Punta</t>
  </si>
  <si>
    <t xml:space="preserve">Extremo, Cumbre, Fin, , </t>
  </si>
  <si>
    <t>Duggued</t>
  </si>
  <si>
    <t>Esconderse</t>
  </si>
  <si>
    <t xml:space="preserve">Refugiarse, Ocultarse, , , </t>
  </si>
  <si>
    <t>Dugla</t>
  </si>
  <si>
    <t>Conchas pequeñas de mar</t>
  </si>
  <si>
    <t>Dugu</t>
  </si>
  <si>
    <t>Mero</t>
  </si>
  <si>
    <t>Dula</t>
  </si>
  <si>
    <t>Vivo</t>
  </si>
  <si>
    <t xml:space="preserve">Comunidad, Gente, , , </t>
  </si>
  <si>
    <t>Guía</t>
  </si>
  <si>
    <t>Agbined</t>
  </si>
  <si>
    <t>Volterearse</t>
  </si>
  <si>
    <t xml:space="preserve">Girar, rodar, volverse, , </t>
  </si>
  <si>
    <t>Dulasagla</t>
  </si>
  <si>
    <t>Está bien vivo</t>
  </si>
  <si>
    <t>Dule</t>
  </si>
  <si>
    <t>Persona</t>
  </si>
  <si>
    <t xml:space="preserve">Individuo, , , , </t>
  </si>
  <si>
    <t>Duled</t>
  </si>
  <si>
    <t>Pus</t>
  </si>
  <si>
    <t xml:space="preserve">Supuración, , , , </t>
  </si>
  <si>
    <t>Dulemas</t>
  </si>
  <si>
    <t>Comida guna</t>
  </si>
  <si>
    <t>Guna food</t>
  </si>
  <si>
    <t>Dulemasi</t>
  </si>
  <si>
    <t>Dullumagged</t>
  </si>
  <si>
    <t>Agacharse</t>
  </si>
  <si>
    <t xml:space="preserve">Inclinarse, esquinarse, , , </t>
  </si>
  <si>
    <t>Dulub</t>
  </si>
  <si>
    <t>Langosta</t>
  </si>
  <si>
    <t>Dumgued</t>
  </si>
  <si>
    <t>Tamaño</t>
  </si>
  <si>
    <t xml:space="preserve">crecer, agrandarse, , , </t>
  </si>
  <si>
    <t>Grande</t>
  </si>
  <si>
    <t xml:space="preserve">Jefe, Guía, , , </t>
  </si>
  <si>
    <t xml:space="preserve">ajado, , , , </t>
  </si>
  <si>
    <t>Abired</t>
  </si>
  <si>
    <t>volver</t>
  </si>
  <si>
    <t xml:space="preserve">regresar, retornar, tornar, , </t>
  </si>
  <si>
    <t>Dunu</t>
  </si>
  <si>
    <t>Cocuyo</t>
  </si>
  <si>
    <t>Head scarf</t>
  </si>
  <si>
    <t>Pañuelo</t>
  </si>
  <si>
    <t>Durbamagged</t>
  </si>
  <si>
    <t>Florecer</t>
  </si>
  <si>
    <t>durdagged</t>
  </si>
  <si>
    <t>Aprender</t>
  </si>
  <si>
    <t xml:space="preserve">instruirse, educarse, , , </t>
  </si>
  <si>
    <t>Objetivo</t>
  </si>
  <si>
    <t>Objective</t>
  </si>
  <si>
    <t>Durgwen</t>
  </si>
  <si>
    <t>Veinte</t>
  </si>
  <si>
    <t>Agdeged</t>
  </si>
  <si>
    <t>Bajarse</t>
  </si>
  <si>
    <t xml:space="preserve">descender, , , , </t>
  </si>
  <si>
    <t>Dulagwen</t>
  </si>
  <si>
    <t xml:space="preserve">desperdicio, sobrante, , , </t>
  </si>
  <si>
    <t xml:space="preserve">desperdicio, , , , </t>
  </si>
  <si>
    <t>Dusi</t>
  </si>
  <si>
    <t>Papera</t>
  </si>
  <si>
    <t xml:space="preserve">papo, , , , </t>
  </si>
  <si>
    <t>Dusolo</t>
  </si>
  <si>
    <t>Abseso</t>
  </si>
  <si>
    <t>Duule</t>
  </si>
  <si>
    <t>abambado</t>
  </si>
  <si>
    <t xml:space="preserve">arqueado, , , , </t>
  </si>
  <si>
    <t>Agdied</t>
  </si>
  <si>
    <t>Pértiga</t>
  </si>
  <si>
    <t xml:space="preserve">palanca, palo para mover cayuco, , , </t>
  </si>
  <si>
    <t>Duuru</t>
  </si>
  <si>
    <t>Fruta verde</t>
  </si>
  <si>
    <t>El</t>
  </si>
  <si>
    <t>Su</t>
  </si>
  <si>
    <t>Eared</t>
  </si>
  <si>
    <t>Desmantelar</t>
  </si>
  <si>
    <t xml:space="preserve">deshacer, demoler, , , </t>
  </si>
  <si>
    <t>Earmagged</t>
  </si>
  <si>
    <t>Desenrollar</t>
  </si>
  <si>
    <t>Ebayed</t>
  </si>
  <si>
    <t>Enrollar</t>
  </si>
  <si>
    <t xml:space="preserve">devanar, , , , </t>
  </si>
  <si>
    <t>Ebenne</t>
  </si>
  <si>
    <t>Hace tiempo</t>
  </si>
  <si>
    <t>Ebbinne</t>
  </si>
  <si>
    <t>Ebibbied</t>
  </si>
  <si>
    <t>Arrastrar</t>
  </si>
  <si>
    <t xml:space="preserve">Tirar, impulsar, , , </t>
  </si>
  <si>
    <t>Ebied</t>
  </si>
  <si>
    <t>Jalar</t>
  </si>
  <si>
    <t xml:space="preserve">tirar, halar, , , </t>
  </si>
  <si>
    <t>Ebined</t>
  </si>
  <si>
    <t>Rayar</t>
  </si>
  <si>
    <t xml:space="preserve">afilar, , , , </t>
  </si>
  <si>
    <t>pesado</t>
  </si>
  <si>
    <t xml:space="preserve">sólido, , , , </t>
  </si>
  <si>
    <t xml:space="preserve">acordarse, conmemorar, , , </t>
  </si>
  <si>
    <t xml:space="preserve">acordarse,conmemorar, , , , </t>
  </si>
  <si>
    <t>Ebired</t>
  </si>
  <si>
    <t>rodear</t>
  </si>
  <si>
    <t xml:space="preserve">Rondar, Cercar, asediar, , </t>
  </si>
  <si>
    <t>Ebised</t>
  </si>
  <si>
    <t>Contar</t>
  </si>
  <si>
    <t xml:space="preserve">enumerar, , , , </t>
  </si>
  <si>
    <t>Ebo</t>
  </si>
  <si>
    <t>Juntos los dos</t>
  </si>
  <si>
    <t xml:space="preserve">en par, aparejado, , , </t>
  </si>
  <si>
    <t>Ebogwa</t>
  </si>
  <si>
    <t xml:space="preserve">en par, parajeado, , , </t>
  </si>
  <si>
    <t>Ebued</t>
  </si>
  <si>
    <t>Tocar</t>
  </si>
  <si>
    <t xml:space="preserve">manipular, manosear, usar, , </t>
  </si>
  <si>
    <t xml:space="preserve">aguardar, , , , </t>
  </si>
  <si>
    <t xml:space="preserve">quitar cáscara, , , , </t>
  </si>
  <si>
    <t xml:space="preserve">quitr cáscara, , , , </t>
  </si>
  <si>
    <t xml:space="preserve">quitar la cáscara, , , , </t>
  </si>
  <si>
    <t>Edied</t>
  </si>
  <si>
    <t>Cerrar</t>
  </si>
  <si>
    <t xml:space="preserve">Trancar, Obstruir, , , </t>
  </si>
  <si>
    <t>Edinned</t>
  </si>
  <si>
    <t>Amarrar</t>
  </si>
  <si>
    <t xml:space="preserve">Atar, ligar, , , </t>
  </si>
  <si>
    <t xml:space="preserve">lejano, allá, , , </t>
  </si>
  <si>
    <t xml:space="preserve">lejano, , , , </t>
  </si>
  <si>
    <t>Edued</t>
  </si>
  <si>
    <t>Tapar</t>
  </si>
  <si>
    <t xml:space="preserve">cubir, resguardar, cerrar, , </t>
  </si>
  <si>
    <t>Argaar</t>
  </si>
  <si>
    <t>Egaed</t>
  </si>
  <si>
    <t>Abrir</t>
  </si>
  <si>
    <t xml:space="preserve">partir, , , , </t>
  </si>
  <si>
    <t>Egised</t>
  </si>
  <si>
    <t>Pedir</t>
  </si>
  <si>
    <t xml:space="preserve">indagar, exigir, , , </t>
  </si>
  <si>
    <t>Egured</t>
  </si>
  <si>
    <t>Escurrir</t>
  </si>
  <si>
    <t xml:space="preserve">Secar, , , , </t>
  </si>
  <si>
    <t>Ogured</t>
  </si>
  <si>
    <t xml:space="preserve">secar, moler, , , </t>
  </si>
  <si>
    <t>Egwaed</t>
  </si>
  <si>
    <t>Seleccionar</t>
  </si>
  <si>
    <t xml:space="preserve">escoger, , , , </t>
  </si>
  <si>
    <t>Agdiggued</t>
  </si>
  <si>
    <t>Peso</t>
  </si>
  <si>
    <t>Elied</t>
  </si>
  <si>
    <t>Borrar</t>
  </si>
  <si>
    <t xml:space="preserve">tachar, eliiminar, , , </t>
  </si>
  <si>
    <t>Eloed</t>
  </si>
  <si>
    <t>Lamer</t>
  </si>
  <si>
    <t xml:space="preserve">relamer, , , , </t>
  </si>
  <si>
    <t xml:space="preserve"> cómo, , , , </t>
  </si>
  <si>
    <t xml:space="preserve">como, , , , </t>
  </si>
  <si>
    <t xml:space="preserve">lo mismo, uniforme, , , </t>
  </si>
  <si>
    <t>Emi</t>
  </si>
  <si>
    <t>Hoy</t>
  </si>
  <si>
    <t xml:space="preserve">Actualmente, , , , </t>
  </si>
  <si>
    <t>Emied</t>
  </si>
  <si>
    <t>Socolar</t>
  </si>
  <si>
    <t xml:space="preserve">desmontar, , , , </t>
  </si>
  <si>
    <t>Emigi</t>
  </si>
  <si>
    <t>Ya</t>
  </si>
  <si>
    <t xml:space="preserve">ahora, en este momento, , , </t>
  </si>
  <si>
    <t>Agdir</t>
  </si>
  <si>
    <t>Piedra lija</t>
  </si>
  <si>
    <t>Emisgi</t>
  </si>
  <si>
    <t xml:space="preserve">ahora, en este moemnto, , , </t>
  </si>
  <si>
    <t>Emis</t>
  </si>
  <si>
    <t>Ahora</t>
  </si>
  <si>
    <t xml:space="preserve">hace poco, , , , </t>
  </si>
  <si>
    <t>Emisgwa</t>
  </si>
  <si>
    <t>Emisbinne</t>
  </si>
  <si>
    <t>Ahora mismo</t>
  </si>
  <si>
    <t xml:space="preserve">en acto, al instante, , , </t>
  </si>
  <si>
    <t>Emissunna</t>
  </si>
  <si>
    <t>Enaed</t>
  </si>
  <si>
    <t>Patear</t>
  </si>
  <si>
    <t xml:space="preserve">inflarse, abultarse, , , </t>
  </si>
  <si>
    <t xml:space="preserve">inflarse, , , , </t>
  </si>
  <si>
    <t>Enied</t>
  </si>
  <si>
    <t>Desplumar</t>
  </si>
  <si>
    <t>Enired</t>
  </si>
  <si>
    <t xml:space="preserve">engomar, soldar, , , </t>
  </si>
  <si>
    <t>Agdoged</t>
  </si>
  <si>
    <t>Levantar</t>
  </si>
  <si>
    <t xml:space="preserve">alzat, , , , </t>
  </si>
  <si>
    <t>Enoed</t>
  </si>
  <si>
    <t>Llenar</t>
  </si>
  <si>
    <t xml:space="preserve">Rellenar, Colmar, , , </t>
  </si>
  <si>
    <t>Enoged</t>
  </si>
  <si>
    <t xml:space="preserve">rellenar, , , , </t>
  </si>
  <si>
    <t xml:space="preserve">quitar la cascara, , , , </t>
  </si>
  <si>
    <t>Enugged</t>
  </si>
  <si>
    <t>Lavar</t>
  </si>
  <si>
    <t xml:space="preserve">fregar, enjuagar, , , </t>
  </si>
  <si>
    <t>Onugged</t>
  </si>
  <si>
    <t>Eoed</t>
  </si>
  <si>
    <t>Derramar</t>
  </si>
  <si>
    <t xml:space="preserve">verter, , , , </t>
  </si>
  <si>
    <t>Eoged</t>
  </si>
  <si>
    <t>derramar</t>
  </si>
  <si>
    <t>Esa</t>
  </si>
  <si>
    <t>Machete</t>
  </si>
  <si>
    <t>Aged</t>
  </si>
  <si>
    <t>Vomitar</t>
  </si>
  <si>
    <t>Esbibbi</t>
  </si>
  <si>
    <t>Cuchillo pequeño</t>
  </si>
  <si>
    <t>Esdin</t>
  </si>
  <si>
    <t>Cuchillo</t>
  </si>
  <si>
    <t xml:space="preserve">navaja, , , , </t>
  </si>
  <si>
    <t>Esgoro</t>
  </si>
  <si>
    <t>Clavo</t>
  </si>
  <si>
    <t xml:space="preserve">hierro, tachuela, , , </t>
  </si>
  <si>
    <t>Esgorodub</t>
  </si>
  <si>
    <t>Cadena</t>
  </si>
  <si>
    <t>Esgoroduba</t>
  </si>
  <si>
    <t>Esied</t>
  </si>
  <si>
    <t>Raspar</t>
  </si>
  <si>
    <t xml:space="preserve">cepillar, , , , </t>
  </si>
  <si>
    <t>Esigged</t>
  </si>
  <si>
    <t>Desatar</t>
  </si>
  <si>
    <t xml:space="preserve">desamarrar, soltar, , , </t>
  </si>
  <si>
    <t>Esirmagged</t>
  </si>
  <si>
    <t>Desgarrar</t>
  </si>
  <si>
    <t xml:space="preserve">romper, , , , </t>
  </si>
  <si>
    <t>Eslo</t>
  </si>
  <si>
    <t>Caimito</t>
  </si>
  <si>
    <t>Esmed</t>
  </si>
  <si>
    <t>Paila</t>
  </si>
  <si>
    <t>Aggaagga</t>
  </si>
  <si>
    <t>Torpeza</t>
  </si>
  <si>
    <t xml:space="preserve"> a tiendas, , , , </t>
  </si>
  <si>
    <t>Esnali</t>
  </si>
  <si>
    <t>Serrucho</t>
  </si>
  <si>
    <t>Esnar</t>
  </si>
  <si>
    <t>Ancla</t>
  </si>
  <si>
    <t>Esnardub</t>
  </si>
  <si>
    <t>Cadena de ancla</t>
  </si>
  <si>
    <t>Esnugar</t>
  </si>
  <si>
    <t>Filo del machete</t>
  </si>
  <si>
    <t>Esanugala</t>
  </si>
  <si>
    <t>Esnun</t>
  </si>
  <si>
    <t>Cobre</t>
  </si>
  <si>
    <t xml:space="preserve">latón, , , , </t>
  </si>
  <si>
    <t>Esnundub</t>
  </si>
  <si>
    <t>Cable</t>
  </si>
  <si>
    <t xml:space="preserve">cadena de cobre, , , , </t>
  </si>
  <si>
    <t>Esnunduba</t>
  </si>
  <si>
    <t xml:space="preserve">Cadena de cobre, , , , </t>
  </si>
  <si>
    <t>Eswala</t>
  </si>
  <si>
    <t>Aggabagga</t>
  </si>
  <si>
    <t>profundo</t>
  </si>
  <si>
    <t xml:space="preserve">hondo, , , , </t>
  </si>
  <si>
    <t>Esweed</t>
  </si>
  <si>
    <t>Perfilar cayuco</t>
  </si>
  <si>
    <t xml:space="preserve">labrar, , , , </t>
  </si>
  <si>
    <t>Si</t>
  </si>
  <si>
    <t>Gaa</t>
  </si>
  <si>
    <t>Ají</t>
  </si>
  <si>
    <t xml:space="preserve">guindilla, picante, , , </t>
  </si>
  <si>
    <t>Gabboled</t>
  </si>
  <si>
    <t>Bastón</t>
  </si>
  <si>
    <t xml:space="preserve">Cayado, báculo, , , </t>
  </si>
  <si>
    <t>Gabboledi</t>
  </si>
  <si>
    <t>Gaamagged</t>
  </si>
  <si>
    <t>Andar sin rumbo</t>
  </si>
  <si>
    <t>Gabban</t>
  </si>
  <si>
    <t>Campana</t>
  </si>
  <si>
    <t>Aggaed</t>
  </si>
  <si>
    <t>aferrarse</t>
  </si>
  <si>
    <t xml:space="preserve">agarrarse, , , , </t>
  </si>
  <si>
    <t>Gabed</t>
  </si>
  <si>
    <t>Dormir</t>
  </si>
  <si>
    <t>Gabgi</t>
  </si>
  <si>
    <t>Mientras uno duerme</t>
  </si>
  <si>
    <t xml:space="preserve">dormido, , , , </t>
  </si>
  <si>
    <t>Gabi</t>
  </si>
  <si>
    <t>Café</t>
  </si>
  <si>
    <t>Gabigan</t>
  </si>
  <si>
    <t>Cafetal</t>
  </si>
  <si>
    <t>Gabur</t>
  </si>
  <si>
    <t>Ají conguito</t>
  </si>
  <si>
    <t>Más aún</t>
  </si>
  <si>
    <t xml:space="preserve">Todavía más, , , , </t>
  </si>
  <si>
    <t>Más áun</t>
  </si>
  <si>
    <t>Gaed</t>
  </si>
  <si>
    <t>Agarrar</t>
  </si>
  <si>
    <t xml:space="preserve">Detener, sujetar, , , </t>
  </si>
  <si>
    <t>Gagamagged</t>
  </si>
  <si>
    <t>Cacarear</t>
  </si>
  <si>
    <t>Aggan</t>
  </si>
  <si>
    <t>Hacha</t>
  </si>
  <si>
    <t>Gaga</t>
  </si>
  <si>
    <t>Hierba</t>
  </si>
  <si>
    <t xml:space="preserve">paja, , , , </t>
  </si>
  <si>
    <t>Gagana</t>
  </si>
  <si>
    <t>Gagandug</t>
  </si>
  <si>
    <t>Guabina de arena</t>
  </si>
  <si>
    <t>Gagandugu</t>
  </si>
  <si>
    <t>Gagga</t>
  </si>
  <si>
    <t>Boca</t>
  </si>
  <si>
    <t>Gaya</t>
  </si>
  <si>
    <t>Gaggagannoed</t>
  </si>
  <si>
    <t>Abaggar</t>
  </si>
  <si>
    <t>Por si acaso</t>
  </si>
  <si>
    <t>Aggangar</t>
  </si>
  <si>
    <t>mango de hacha</t>
  </si>
  <si>
    <t>Gaggan</t>
  </si>
  <si>
    <t>Mentira</t>
  </si>
  <si>
    <t xml:space="preserve">chisme, embuste, , , </t>
  </si>
  <si>
    <t>Gagganna</t>
  </si>
  <si>
    <t>Gaggansaed</t>
  </si>
  <si>
    <t>Mentir</t>
  </si>
  <si>
    <t xml:space="preserve">Falsear, timar, , , </t>
  </si>
  <si>
    <t>Gaggansili</t>
  </si>
  <si>
    <t>Mentiroso</t>
  </si>
  <si>
    <t xml:space="preserve">Embustero, , , , </t>
  </si>
  <si>
    <t>Lloviznar</t>
  </si>
  <si>
    <t>Gaggulig</t>
  </si>
  <si>
    <t>Labios</t>
  </si>
  <si>
    <t>Gayabir</t>
  </si>
  <si>
    <t xml:space="preserve">baba, , , , </t>
  </si>
  <si>
    <t>Distinto</t>
  </si>
  <si>
    <t>diverso</t>
  </si>
  <si>
    <t xml:space="preserve">diferente, , , , </t>
  </si>
  <si>
    <t>Gai</t>
  </si>
  <si>
    <t>Caña de azucar</t>
  </si>
  <si>
    <t>Gaibid</t>
  </si>
  <si>
    <t>Amargo</t>
  </si>
  <si>
    <t>Gaibigaibi</t>
  </si>
  <si>
    <t>Poco amargo</t>
  </si>
  <si>
    <t>Gaibigaibigwa</t>
  </si>
  <si>
    <t>poco amargo</t>
  </si>
  <si>
    <t>Jugo fermentada de caña</t>
  </si>
  <si>
    <t>Aggala</t>
  </si>
  <si>
    <t>distingo</t>
  </si>
  <si>
    <t xml:space="preserve">diverso, diferente, , , </t>
  </si>
  <si>
    <t>Casa de la chicha</t>
  </si>
  <si>
    <t>Innanega</t>
  </si>
  <si>
    <t>Gaigandug</t>
  </si>
  <si>
    <t>Gaigandugu</t>
  </si>
  <si>
    <t>Horqueta</t>
  </si>
  <si>
    <t>palo de sosten</t>
  </si>
  <si>
    <t>Gaisuwar</t>
  </si>
  <si>
    <t>Trapiche</t>
  </si>
  <si>
    <t>Gaisuwala</t>
  </si>
  <si>
    <t>Bagazo de caña de azucar</t>
  </si>
  <si>
    <t>Galanuggi</t>
  </si>
  <si>
    <t>Poliomielitis</t>
  </si>
  <si>
    <t xml:space="preserve">polio, , , , </t>
  </si>
  <si>
    <t>Gale</t>
  </si>
  <si>
    <t>Con picante</t>
  </si>
  <si>
    <t xml:space="preserve">pica, , , , </t>
  </si>
  <si>
    <t>Galed</t>
  </si>
  <si>
    <t>Picor</t>
  </si>
  <si>
    <t>Galerba</t>
  </si>
  <si>
    <t>Muy picante</t>
  </si>
  <si>
    <t>Gali</t>
  </si>
  <si>
    <t>Aggu</t>
  </si>
  <si>
    <t>Quijada</t>
  </si>
  <si>
    <t xml:space="preserve">mentón, mandíbula, maxilar, , </t>
  </si>
  <si>
    <t>Galimba</t>
  </si>
  <si>
    <t>Callejones</t>
  </si>
  <si>
    <t>Galu</t>
  </si>
  <si>
    <t>Pared de caña brava</t>
  </si>
  <si>
    <t xml:space="preserve">Sitio sagrado, , , , </t>
  </si>
  <si>
    <t>Gamdur</t>
  </si>
  <si>
    <t>Jefe de ceremonia de ceremonia de chicha</t>
  </si>
  <si>
    <t>Gamdule</t>
  </si>
  <si>
    <t>Jefe de ceremonia de chicha</t>
  </si>
  <si>
    <t>Gammi</t>
  </si>
  <si>
    <t>Canalete</t>
  </si>
  <si>
    <t xml:space="preserve">remo, , , , </t>
  </si>
  <si>
    <t>Gammied</t>
  </si>
  <si>
    <t>Remar</t>
  </si>
  <si>
    <t>Gammu</t>
  </si>
  <si>
    <t>Garganta</t>
  </si>
  <si>
    <t xml:space="preserve">Flauta de bambú, , , , </t>
  </si>
  <si>
    <t>Gammuburwi</t>
  </si>
  <si>
    <t>Flautillas</t>
  </si>
  <si>
    <t xml:space="preserve">Instrumentos musical, , , , </t>
  </si>
  <si>
    <t>Gangi</t>
  </si>
  <si>
    <t xml:space="preserve">instrumento musical, , , , </t>
  </si>
  <si>
    <t>Gan</t>
  </si>
  <si>
    <t>Silla</t>
  </si>
  <si>
    <t xml:space="preserve">Asiento, Sitial, Abundancia de plural, , </t>
  </si>
  <si>
    <t>Agguar</t>
  </si>
  <si>
    <t>inconcluso</t>
  </si>
  <si>
    <t xml:space="preserve">fragmentario, inacabado, , , </t>
  </si>
  <si>
    <t>Gana</t>
  </si>
  <si>
    <t xml:space="preserve">Sitial, abundancia de, de plural, , </t>
  </si>
  <si>
    <t>Ganbuled</t>
  </si>
  <si>
    <t>Sillón</t>
  </si>
  <si>
    <t>Gannaleged</t>
  </si>
  <si>
    <t>Fortalecerse</t>
  </si>
  <si>
    <t xml:space="preserve">Alentarse, , , , </t>
  </si>
  <si>
    <t>Gannar</t>
  </si>
  <si>
    <t>Otra vez</t>
  </si>
  <si>
    <t xml:space="preserve">de nuevo, repetido, huella, , </t>
  </si>
  <si>
    <t>Gannale</t>
  </si>
  <si>
    <t xml:space="preserve">de nuevo, , , , </t>
  </si>
  <si>
    <t>Gannir</t>
  </si>
  <si>
    <t>Gallo</t>
  </si>
  <si>
    <t xml:space="preserve">gallina, , , , </t>
  </si>
  <si>
    <t>Ganir</t>
  </si>
  <si>
    <t>Agguale</t>
  </si>
  <si>
    <t>Inconcluso</t>
  </si>
  <si>
    <t>Gannirmassered</t>
  </si>
  <si>
    <t>Gannirneg</t>
  </si>
  <si>
    <t>Gallinero</t>
  </si>
  <si>
    <t>Gannirnega</t>
  </si>
  <si>
    <t>Gannirome</t>
  </si>
  <si>
    <t>Gallina</t>
  </si>
  <si>
    <t>Gannoged</t>
  </si>
  <si>
    <t>Consolidar</t>
  </si>
  <si>
    <t xml:space="preserve">robustecer, , , , </t>
  </si>
  <si>
    <t>Ogannoged</t>
  </si>
  <si>
    <t>Fortalecer</t>
  </si>
  <si>
    <t xml:space="preserve">Vigorizar, , , , </t>
  </si>
  <si>
    <t>Gaobanwar</t>
  </si>
  <si>
    <t>Caobo</t>
  </si>
  <si>
    <t>defecar</t>
  </si>
  <si>
    <t xml:space="preserve">excretar, deponer, , , </t>
  </si>
  <si>
    <t>Gaobanwala</t>
  </si>
  <si>
    <t xml:space="preserve">enjuto, , , , </t>
  </si>
  <si>
    <t>Garba</t>
  </si>
  <si>
    <t>Cesto</t>
  </si>
  <si>
    <t>Gardidor</t>
  </si>
  <si>
    <t>Oriundo de Gardi</t>
  </si>
  <si>
    <t>Gardidola</t>
  </si>
  <si>
    <t>Oriuendo de Gardi</t>
  </si>
  <si>
    <t>Gardu</t>
  </si>
  <si>
    <t>Jaula</t>
  </si>
  <si>
    <t>Gardug</t>
  </si>
  <si>
    <t>Gargwadired</t>
  </si>
  <si>
    <t>Sanar los huevos</t>
  </si>
  <si>
    <t>Gargwaddired</t>
  </si>
  <si>
    <t>Dislocarse un hueso</t>
  </si>
  <si>
    <t>Gargwenad</t>
  </si>
  <si>
    <t>Hermano</t>
  </si>
  <si>
    <t xml:space="preserve">hermana, consanguineo, , , </t>
  </si>
  <si>
    <t>Gargwenmalad</t>
  </si>
  <si>
    <t>Familia</t>
  </si>
  <si>
    <t>Garibed</t>
  </si>
  <si>
    <t xml:space="preserve">Forzudo, , , , </t>
  </si>
  <si>
    <t>Galaibedi</t>
  </si>
  <si>
    <t>Garsimur</t>
  </si>
  <si>
    <t>Codo</t>
  </si>
  <si>
    <t>Garson</t>
  </si>
  <si>
    <t>Pantalones</t>
  </si>
  <si>
    <t>Gasbag</t>
  </si>
  <si>
    <t>Soga para sostener hamaca</t>
  </si>
  <si>
    <t>Gasdibir</t>
  </si>
  <si>
    <t>Muelle</t>
  </si>
  <si>
    <t xml:space="preserve">Puerto, , , , </t>
  </si>
  <si>
    <t>Gasigasi</t>
  </si>
  <si>
    <t>A gatas</t>
  </si>
  <si>
    <t>Gasimagged</t>
  </si>
  <si>
    <t>Andar a gatas</t>
  </si>
  <si>
    <t xml:space="preserve">gatear, , , , </t>
  </si>
  <si>
    <t>Gaugau</t>
  </si>
  <si>
    <t>Gaviota</t>
  </si>
  <si>
    <t>Diridiri</t>
  </si>
  <si>
    <t xml:space="preserve">idioma, palabra, , , </t>
  </si>
  <si>
    <t xml:space="preserve">Idioma, Costa, , , </t>
  </si>
  <si>
    <t>Gayaabinnid</t>
  </si>
  <si>
    <t>Antonimo</t>
  </si>
  <si>
    <t>122.Cavar La Tierra.Escarbar.Mp3</t>
  </si>
  <si>
    <t>1311.Igwaoginyabbiler.Hermano De Ibeler.Mas Osado.Mp3</t>
  </si>
  <si>
    <t>1349.Innaosi.Refresco De Maíz.Mp3</t>
  </si>
  <si>
    <t>1582.Nanser,Abuela.Mp3</t>
  </si>
  <si>
    <t>2153.Sirmagged.Nadar.Flutuar.Mp3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</si>
</sst>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47"/>
  <sheetViews>
    <sheetView tabSelected="1" workbookViewId="0">
      <selection activeCell="E1" sqref="A1:E1048576"/>
    </sheetView>
  </sheetViews>
  <sheetFormatPr baseColWidth="10" defaultColWidth="12.6640625" defaultRowHeight="15.75" customHeight="1" x14ac:dyDescent="0.25"/>
  <cols>
    <col min="1" max="1" width="22.77734375" customWidth="1"/>
    <col min="2" max="2" width="41.88671875" customWidth="1"/>
    <col min="3" max="3" width="38.88671875" customWidth="1"/>
    <col min="4" max="4" width="32" customWidth="1"/>
    <col min="5" max="5" width="36.6640625" customWidth="1"/>
  </cols>
  <sheetData>
    <row r="1" spans="1: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customHeight="1" x14ac:dyDescent="0.25">
      <c r="A2" t="s">
        <v>5</v>
      </c>
      <c r="B2" t="s">
        <v>6</v>
      </c>
      <c r="C2" t="s">
        <v>7</v>
      </c>
      <c r="D2" t="str">
        <f ca="1">IFERROR(__xludf.DUMMYFUNCTION("GOOGLETRANSLATE(B2,""es"",""en"")"),"That")</f>
        <v>That</v>
      </c>
      <c r="E2" t="str">
        <f ca="1">IFERROR(__xludf.DUMMYFUNCTION("GOOGLETRANSLATE(C2,""es"",""en"")"),"That")</f>
        <v>That</v>
      </c>
    </row>
    <row r="3" spans="1:5" ht="15.75" customHeight="1" x14ac:dyDescent="0.25">
      <c r="A3" t="s">
        <v>8</v>
      </c>
      <c r="B3" t="s">
        <v>9</v>
      </c>
      <c r="C3" t="s">
        <v>10</v>
      </c>
      <c r="D3" t="str">
        <f ca="1">IFERROR(__xludf.DUMMYFUNCTION("GOOGLETRANSLATE(B3,""es"",""en"")"),"Suddenly")</f>
        <v>Suddenly</v>
      </c>
      <c r="E3" t="str">
        <f ca="1">IFERROR(__xludf.DUMMYFUNCTION("GOOGLETRANSLATE(C3,""es"",""en"")"),"Suddenly")</f>
        <v>Suddenly</v>
      </c>
    </row>
    <row r="4" spans="1:5" ht="15.75" customHeight="1" x14ac:dyDescent="0.25">
      <c r="A4" t="s">
        <v>11</v>
      </c>
      <c r="B4" t="s">
        <v>12</v>
      </c>
      <c r="C4" t="s">
        <v>13</v>
      </c>
      <c r="D4" t="str">
        <f ca="1">IFERROR(__xludf.DUMMYFUNCTION("GOOGLETRANSLATE(B4,""es"",""en"")"),"Lack")</f>
        <v>Lack</v>
      </c>
      <c r="E4" t="s">
        <v>14</v>
      </c>
    </row>
    <row r="5" spans="1:5" ht="15.75" customHeight="1" x14ac:dyDescent="0.25">
      <c r="A5" t="s">
        <v>15</v>
      </c>
      <c r="B5" t="s">
        <v>16</v>
      </c>
      <c r="C5" t="s">
        <v>17</v>
      </c>
      <c r="D5" t="str">
        <f ca="1">IFERROR(__xludf.DUMMYFUNCTION("GOOGLETRANSLATE(B5,""es"",""en"")"),"Verb")</f>
        <v>Verb</v>
      </c>
      <c r="E5" t="str">
        <f ca="1">IFERROR(__xludf.DUMMYFUNCTION("GOOGLETRANSLATE(C5,""es"",""en"")"),"Words")</f>
        <v>Words</v>
      </c>
    </row>
    <row r="6" spans="1:5" ht="15.75" customHeight="1" x14ac:dyDescent="0.25">
      <c r="A6" t="s">
        <v>18</v>
      </c>
      <c r="B6" t="s">
        <v>19</v>
      </c>
      <c r="C6" t="s">
        <v>20</v>
      </c>
      <c r="D6" t="str">
        <f ca="1">IFERROR(__xludf.DUMMYFUNCTION("GOOGLETRANSLATE(B6,""es"",""en"")"),"Synonymous")</f>
        <v>Synonymous</v>
      </c>
      <c r="E6" t="str">
        <f ca="1">IFERROR(__xludf.DUMMYFUNCTION("GOOGLETRANSLATE(C6,""es"",""en"")"),"Similar")</f>
        <v>Similar</v>
      </c>
    </row>
    <row r="7" spans="1:5" ht="15.75" customHeight="1" x14ac:dyDescent="0.25">
      <c r="A7" t="s">
        <v>21</v>
      </c>
      <c r="B7" t="s">
        <v>22</v>
      </c>
      <c r="C7" t="s">
        <v>23</v>
      </c>
      <c r="D7" t="str">
        <f ca="1">IFERROR(__xludf.DUMMYFUNCTION("GOOGLETRANSLATE(B7,""es"",""en"")"),"Reedbed")</f>
        <v>Reedbed</v>
      </c>
      <c r="E7" t="str">
        <f ca="1">IFERROR(__xludf.DUMMYFUNCTION("GOOGLETRANSLATE(C7,""es"",""en"")"),"Channel")</f>
        <v>Channel</v>
      </c>
    </row>
    <row r="8" spans="1:5" ht="15.75" customHeight="1" x14ac:dyDescent="0.25">
      <c r="A8" t="s">
        <v>24</v>
      </c>
      <c r="B8" t="s">
        <v>22</v>
      </c>
      <c r="C8" t="s">
        <v>23</v>
      </c>
      <c r="D8" t="str">
        <f ca="1">IFERROR(__xludf.DUMMYFUNCTION("GOOGLETRANSLATE(B8,""es"",""en"")"),"Reedbed")</f>
        <v>Reedbed</v>
      </c>
      <c r="E8" t="str">
        <f ca="1">IFERROR(__xludf.DUMMYFUNCTION("GOOGLETRANSLATE(C8,""es"",""en"")"),"Channel")</f>
        <v>Channel</v>
      </c>
    </row>
    <row r="9" spans="1:5" ht="15.75" customHeight="1" x14ac:dyDescent="0.25">
      <c r="A9" t="s">
        <v>25</v>
      </c>
      <c r="B9" t="s">
        <v>26</v>
      </c>
      <c r="D9" t="str">
        <f ca="1">IFERROR(__xludf.DUMMYFUNCTION("GOOGLETRANSLATE(B9,""es"",""en"")"),"Adjective")</f>
        <v>Adjective</v>
      </c>
      <c r="E9" t="str">
        <f ca="1">IFERROR(__xludf.DUMMYFUNCTION("GOOGLETRANSLATE(C9,""es"",""en"")"),"#VALUE!")</f>
        <v>#VALUE!</v>
      </c>
    </row>
    <row r="10" spans="1:5" ht="15.75" customHeight="1" x14ac:dyDescent="0.25">
      <c r="A10" t="s">
        <v>27</v>
      </c>
      <c r="B10" t="s">
        <v>26</v>
      </c>
      <c r="D10" t="str">
        <f ca="1">IFERROR(__xludf.DUMMYFUNCTION("GOOGLETRANSLATE(B10,""es"",""en"")"),"Adjective")</f>
        <v>Adjective</v>
      </c>
      <c r="E10" t="str">
        <f ca="1">IFERROR(__xludf.DUMMYFUNCTION("GOOGLETRANSLATE(C10,""es"",""en"")"),"#VALUE!")</f>
        <v>#VALUE!</v>
      </c>
    </row>
    <row r="11" spans="1:5" ht="15.75" customHeight="1" x14ac:dyDescent="0.25">
      <c r="A11" t="s">
        <v>28</v>
      </c>
      <c r="B11" t="s">
        <v>29</v>
      </c>
      <c r="D11" t="str">
        <f ca="1">IFERROR(__xludf.DUMMYFUNCTION("GOOGLETRANSLATE(B11,""es"",""en"")"),"Cane juice")</f>
        <v>Cane juice</v>
      </c>
      <c r="E11" t="str">
        <f ca="1">IFERROR(__xludf.DUMMYFUNCTION("GOOGLETRANSLATE(C11,""es"",""en"")"),"#VALUE!")</f>
        <v>#VALUE!</v>
      </c>
    </row>
    <row r="12" spans="1:5" ht="15.75" customHeight="1" x14ac:dyDescent="0.25">
      <c r="A12" t="s">
        <v>30</v>
      </c>
      <c r="B12" t="s">
        <v>29</v>
      </c>
      <c r="D12" t="str">
        <f ca="1">IFERROR(__xludf.DUMMYFUNCTION("GOOGLETRANSLATE(B12,""es"",""en"")"),"Cane juice")</f>
        <v>Cane juice</v>
      </c>
      <c r="E12" t="str">
        <f ca="1">IFERROR(__xludf.DUMMYFUNCTION("GOOGLETRANSLATE(C12,""es"",""en"")"),"#VALUE!")</f>
        <v>#VALUE!</v>
      </c>
    </row>
    <row r="13" spans="1:5" ht="15.75" customHeight="1" x14ac:dyDescent="0.25">
      <c r="A13" t="s">
        <v>31</v>
      </c>
      <c r="B13" t="s">
        <v>29</v>
      </c>
      <c r="D13" t="str">
        <f ca="1">IFERROR(__xludf.DUMMYFUNCTION("GOOGLETRANSLATE(B13,""es"",""en"")"),"Cane juice")</f>
        <v>Cane juice</v>
      </c>
      <c r="E13" t="str">
        <f ca="1">IFERROR(__xludf.DUMMYFUNCTION("GOOGLETRANSLATE(C13,""es"",""en"")"),"#VALUE!")</f>
        <v>#VALUE!</v>
      </c>
    </row>
    <row r="14" spans="1:5" ht="15.75" customHeight="1" x14ac:dyDescent="0.25">
      <c r="A14" t="s">
        <v>32</v>
      </c>
      <c r="B14" t="s">
        <v>29</v>
      </c>
      <c r="D14" t="str">
        <f ca="1">IFERROR(__xludf.DUMMYFUNCTION("GOOGLETRANSLATE(B14,""es"",""en"")"),"Cane juice")</f>
        <v>Cane juice</v>
      </c>
      <c r="E14" t="str">
        <f ca="1">IFERROR(__xludf.DUMMYFUNCTION("GOOGLETRANSLATE(C14,""es"",""en"")"),"#VALUE!")</f>
        <v>#VALUE!</v>
      </c>
    </row>
    <row r="15" spans="1:5" ht="15.75" customHeight="1" x14ac:dyDescent="0.25">
      <c r="A15" t="s">
        <v>33</v>
      </c>
      <c r="B15" t="s">
        <v>34</v>
      </c>
      <c r="C15" t="s">
        <v>35</v>
      </c>
      <c r="D15" t="str">
        <f ca="1">IFERROR(__xludf.DUMMYFUNCTION("GOOGLETRANSLATE(B15,""es"",""en"")"),"Latrine")</f>
        <v>Latrine</v>
      </c>
      <c r="E15" t="str">
        <f ca="1">IFERROR(__xludf.DUMMYFUNCTION("GOOGLETRANSLATE(C15,""es"",""en"")"),"Service, excused ,,,,")</f>
        <v>Service, excused ,,,,</v>
      </c>
    </row>
    <row r="16" spans="1:5" ht="15.75" customHeight="1" x14ac:dyDescent="0.25">
      <c r="A16" t="s">
        <v>36</v>
      </c>
      <c r="B16" t="s">
        <v>37</v>
      </c>
      <c r="C16" t="s">
        <v>38</v>
      </c>
      <c r="D16" t="str">
        <f ca="1">IFERROR(__xludf.DUMMYFUNCTION("GOOGLETRANSLATE(B16,""es"",""en"")"),"Yawn")</f>
        <v>Yawn</v>
      </c>
      <c r="E16" t="str">
        <f ca="1">IFERROR(__xludf.DUMMYFUNCTION("GOOGLETRANSLATE(C16,""es"",""en"")"),"Yawn, , , ,")</f>
        <v>Yawn, , , ,</v>
      </c>
    </row>
    <row r="17" spans="1:5" ht="15.75" customHeight="1" x14ac:dyDescent="0.25">
      <c r="A17" t="s">
        <v>39</v>
      </c>
      <c r="B17" t="s">
        <v>40</v>
      </c>
      <c r="D17" t="str">
        <f ca="1">IFERROR(__xludf.DUMMYFUNCTION("GOOGLETRANSLATE(B17,""es"",""en"")"),"Cane bagasse")</f>
        <v>Cane bagasse</v>
      </c>
      <c r="E17" t="str">
        <f ca="1">IFERROR(__xludf.DUMMYFUNCTION("GOOGLETRANSLATE(C17,""es"",""en"")"),"#VALUE!")</f>
        <v>#VALUE!</v>
      </c>
    </row>
    <row r="18" spans="1:5" ht="15.75" customHeight="1" x14ac:dyDescent="0.25">
      <c r="A18" t="s">
        <v>41</v>
      </c>
      <c r="B18" t="s">
        <v>40</v>
      </c>
      <c r="D18" t="str">
        <f ca="1">IFERROR(__xludf.DUMMYFUNCTION("GOOGLETRANSLATE(B18,""es"",""en"")"),"Cane bagasse")</f>
        <v>Cane bagasse</v>
      </c>
      <c r="E18" t="str">
        <f ca="1">IFERROR(__xludf.DUMMYFUNCTION("GOOGLETRANSLATE(C18,""es"",""en"")"),"#VALUE!")</f>
        <v>#VALUE!</v>
      </c>
    </row>
    <row r="19" spans="1:5" ht="15.75" customHeight="1" x14ac:dyDescent="0.25">
      <c r="A19" t="s">
        <v>42</v>
      </c>
      <c r="B19" t="s">
        <v>43</v>
      </c>
      <c r="C19" t="s">
        <v>44</v>
      </c>
      <c r="D19" t="str">
        <f ca="1">IFERROR(__xludf.DUMMYFUNCTION("GOOGLETRANSLATE(B19,""es"",""en"")"),"Start")</f>
        <v>Start</v>
      </c>
      <c r="E19" t="str">
        <f ca="1">IFERROR(__xludf.DUMMYFUNCTION("GOOGLETRANSLATE(C19,""es"",""en"")"),"First time, , , ,")</f>
        <v>First time, , , ,</v>
      </c>
    </row>
    <row r="20" spans="1:5" ht="15.75" customHeight="1" x14ac:dyDescent="0.25">
      <c r="A20" t="s">
        <v>45</v>
      </c>
      <c r="B20" t="s">
        <v>43</v>
      </c>
      <c r="C20" t="s">
        <v>44</v>
      </c>
      <c r="D20" t="str">
        <f ca="1">IFERROR(__xludf.DUMMYFUNCTION("GOOGLETRANSLATE(B20,""es"",""en"")"),"Start")</f>
        <v>Start</v>
      </c>
      <c r="E20" t="str">
        <f ca="1">IFERROR(__xludf.DUMMYFUNCTION("GOOGLETRANSLATE(C20,""es"",""en"")"),"First time, , , ,")</f>
        <v>First time, , , ,</v>
      </c>
    </row>
    <row r="21" spans="1:5" ht="15.75" customHeight="1" x14ac:dyDescent="0.25">
      <c r="A21" t="s">
        <v>46</v>
      </c>
      <c r="B21" t="s">
        <v>47</v>
      </c>
      <c r="D21" t="s">
        <v>48</v>
      </c>
      <c r="E21" t="str">
        <f ca="1">IFERROR(__xludf.DUMMYFUNCTION("GOOGLETRANSLATE(C21,""es"",""en"")"),"#VALUE!")</f>
        <v>#VALUE!</v>
      </c>
    </row>
    <row r="22" spans="1:5" ht="15.75" customHeight="1" x14ac:dyDescent="0.25">
      <c r="A22" t="s">
        <v>49</v>
      </c>
      <c r="B22" t="s">
        <v>50</v>
      </c>
      <c r="C22" t="s">
        <v>51</v>
      </c>
      <c r="D22" t="str">
        <f ca="1">IFERROR(__xludf.DUMMYFUNCTION("GOOGLETRANSLATE(B22,""es"",""en"")"),"Fool")</f>
        <v>Fool</v>
      </c>
      <c r="E22" t="str">
        <f ca="1">IFERROR(__xludf.DUMMYFUNCTION("GOOGLETRANSLATE(C22,""es"",""en"")"),"Haragán ,,,,")</f>
        <v>Haragán ,,,,</v>
      </c>
    </row>
    <row r="23" spans="1:5" ht="15.75" customHeight="1" x14ac:dyDescent="0.25">
      <c r="A23" t="s">
        <v>52</v>
      </c>
      <c r="B23" t="s">
        <v>53</v>
      </c>
      <c r="C23" t="s">
        <v>54</v>
      </c>
      <c r="D23" t="str">
        <f ca="1">IFERROR(__xludf.DUMMYFUNCTION("GOOGLETRANSLATE(B23,""es"",""en"")"),"Wonder")</f>
        <v>Wonder</v>
      </c>
      <c r="E23" t="str">
        <f ca="1">IFERROR(__xludf.DUMMYFUNCTION("GOOGLETRANSLATE(C23,""es"",""en"")"),"Admire, , , ,")</f>
        <v>Admire, , , ,</v>
      </c>
    </row>
    <row r="24" spans="1:5" ht="15.75" customHeight="1" x14ac:dyDescent="0.25">
      <c r="A24" t="s">
        <v>55</v>
      </c>
      <c r="B24" t="s">
        <v>56</v>
      </c>
      <c r="C24" t="s">
        <v>57</v>
      </c>
      <c r="D24" t="str">
        <f ca="1">IFERROR(__xludf.DUMMYFUNCTION("GOOGLETRANSLATE(B24,""es"",""en"")"),"Get tired")</f>
        <v>Get tired</v>
      </c>
      <c r="E24" t="str">
        <f ca="1">IFERROR(__xludf.DUMMYFUNCTION("GOOGLETRANSLATE(C24,""es"",""en"")"),"Fatigue, run out ,,,,")</f>
        <v>Fatigue, run out ,,,,</v>
      </c>
    </row>
    <row r="25" spans="1:5" ht="15.75" customHeight="1" x14ac:dyDescent="0.25">
      <c r="A25" t="s">
        <v>58</v>
      </c>
      <c r="B25" t="s">
        <v>56</v>
      </c>
      <c r="C25" t="s">
        <v>57</v>
      </c>
      <c r="D25" t="str">
        <f ca="1">IFERROR(__xludf.DUMMYFUNCTION("GOOGLETRANSLATE(B25,""es"",""en"")"),"Get tired")</f>
        <v>Get tired</v>
      </c>
      <c r="E25" t="str">
        <f ca="1">IFERROR(__xludf.DUMMYFUNCTION("GOOGLETRANSLATE(C25,""es"",""en"")"),"Fatigue, run out ,,,,")</f>
        <v>Fatigue, run out ,,,,</v>
      </c>
    </row>
    <row r="26" spans="1:5" ht="15.75" customHeight="1" x14ac:dyDescent="0.25">
      <c r="A26" t="s">
        <v>59</v>
      </c>
      <c r="B26" t="s">
        <v>60</v>
      </c>
      <c r="C26" t="s">
        <v>61</v>
      </c>
      <c r="D26" t="s">
        <v>62</v>
      </c>
      <c r="E26" t="str">
        <f ca="1">IFERROR(__xludf.DUMMYFUNCTION("GOOGLETRANSLATE(C26,""es"",""en"")"),"Disobey")</f>
        <v>Disobey</v>
      </c>
    </row>
    <row r="27" spans="1:5" ht="13.2" x14ac:dyDescent="0.25">
      <c r="A27" t="s">
        <v>63</v>
      </c>
      <c r="B27" t="s">
        <v>64</v>
      </c>
      <c r="C27" t="s">
        <v>65</v>
      </c>
      <c r="D27" t="str">
        <f ca="1">IFERROR(__xludf.DUMMYFUNCTION("GOOGLETRANSLATE(B27,""es"",""en"")"),"To get sick")</f>
        <v>To get sick</v>
      </c>
      <c r="E27" t="str">
        <f ca="1">IFERROR(__xludf.DUMMYFUNCTION("GOOGLETRANSLATE(C27,""es"",""en"")"),"Shark, have fever ,,,,")</f>
        <v>Shark, have fever ,,,,</v>
      </c>
    </row>
    <row r="28" spans="1:5" ht="13.2" x14ac:dyDescent="0.25">
      <c r="A28" t="s">
        <v>66</v>
      </c>
      <c r="B28" t="s">
        <v>64</v>
      </c>
      <c r="C28" t="s">
        <v>67</v>
      </c>
      <c r="D28" t="str">
        <f ca="1">IFERROR(__xludf.DUMMYFUNCTION("GOOGLETRANSLATE(B28,""es"",""en"")"),"To get sick")</f>
        <v>To get sick</v>
      </c>
      <c r="E28" t="str">
        <f ca="1">IFERROR(__xludf.DUMMYFUNCTION("GOOGLETRANSLATE(C28,""es"",""en"")"),"Shark, have fever ,,,,")</f>
        <v>Shark, have fever ,,,,</v>
      </c>
    </row>
    <row r="29" spans="1:5" ht="13.2" x14ac:dyDescent="0.25">
      <c r="A29" t="s">
        <v>68</v>
      </c>
      <c r="B29" t="s">
        <v>69</v>
      </c>
      <c r="C29" t="s">
        <v>70</v>
      </c>
      <c r="D29" t="str">
        <f ca="1">IFERROR(__xludf.DUMMYFUNCTION("GOOGLETRANSLATE(B29,""es"",""en"")"),"Mackerel")</f>
        <v>Mackerel</v>
      </c>
      <c r="E29" t="str">
        <f ca="1">IFERROR(__xludf.DUMMYFUNCTION("GOOGLETRANSLATE(C29,""es"",""en"")"),"Cojinùa ,,,,,")</f>
        <v>Cojinùa ,,,,,</v>
      </c>
    </row>
    <row r="30" spans="1:5" ht="13.2" x14ac:dyDescent="0.25">
      <c r="A30" t="s">
        <v>71</v>
      </c>
      <c r="B30" t="s">
        <v>72</v>
      </c>
      <c r="D30" t="s">
        <v>73</v>
      </c>
      <c r="E30" t="str">
        <f ca="1">IFERROR(__xludf.DUMMYFUNCTION("GOOGLETRANSLATE(C30,""es"",""en"")"),"#VALUE!")</f>
        <v>#VALUE!</v>
      </c>
    </row>
    <row r="31" spans="1:5" ht="13.2" x14ac:dyDescent="0.25">
      <c r="A31" t="s">
        <v>74</v>
      </c>
      <c r="B31" t="s">
        <v>75</v>
      </c>
      <c r="D31" t="str">
        <f ca="1">IFERROR(__xludf.DUMMYFUNCTION("GOOGLETRANSLATE(B31,""es"",""en"")"),"Tick")</f>
        <v>Tick</v>
      </c>
      <c r="E31" t="str">
        <f ca="1">IFERROR(__xludf.DUMMYFUNCTION("GOOGLETRANSLATE(C31,""es"",""en"")"),"#VALUE!")</f>
        <v>#VALUE!</v>
      </c>
    </row>
    <row r="32" spans="1:5" ht="13.2" x14ac:dyDescent="0.25">
      <c r="A32" t="s">
        <v>76</v>
      </c>
      <c r="B32" t="s">
        <v>77</v>
      </c>
      <c r="C32" t="s">
        <v>78</v>
      </c>
      <c r="D32" t="str">
        <f ca="1">IFERROR(__xludf.DUMMYFUNCTION("GOOGLETRANSLATE(B32,""es"",""en"")"),"Expensive")</f>
        <v>Expensive</v>
      </c>
      <c r="E32" t="str">
        <f ca="1">IFERROR(__xludf.DUMMYFUNCTION("GOOGLETRANSLATE(C32,""es"",""en"")"),"Expensive, , , ,")</f>
        <v>Expensive, , , ,</v>
      </c>
    </row>
    <row r="33" spans="1:5" ht="13.2" x14ac:dyDescent="0.25">
      <c r="A33" t="s">
        <v>79</v>
      </c>
      <c r="B33" t="s">
        <v>77</v>
      </c>
      <c r="C33" t="s">
        <v>78</v>
      </c>
      <c r="D33" t="str">
        <f ca="1">IFERROR(__xludf.DUMMYFUNCTION("GOOGLETRANSLATE(B33,""es"",""en"")"),"Expensive")</f>
        <v>Expensive</v>
      </c>
      <c r="E33" t="str">
        <f ca="1">IFERROR(__xludf.DUMMYFUNCTION("GOOGLETRANSLATE(C33,""es"",""en"")"),"Expensive, , , ,")</f>
        <v>Expensive, , , ,</v>
      </c>
    </row>
    <row r="34" spans="1:5" ht="13.2" x14ac:dyDescent="0.25">
      <c r="A34" t="s">
        <v>80</v>
      </c>
      <c r="B34" t="s">
        <v>81</v>
      </c>
      <c r="C34" t="s">
        <v>82</v>
      </c>
      <c r="D34" t="str">
        <f ca="1">IFERROR(__xludf.DUMMYFUNCTION("GOOGLETRANSLATE(B34,""es"",""en"")"),"Squeak")</f>
        <v>Squeak</v>
      </c>
      <c r="E34" t="str">
        <f ca="1">IFERROR(__xludf.DUMMYFUNCTION("GOOGLETRANSLATE(C34,""es"",""en"")"),"Grind, creak ,,,,")</f>
        <v>Grind, creak ,,,,</v>
      </c>
    </row>
    <row r="35" spans="1:5" ht="13.2" x14ac:dyDescent="0.25">
      <c r="A35" t="s">
        <v>83</v>
      </c>
      <c r="B35" t="s">
        <v>84</v>
      </c>
      <c r="D35" t="str">
        <f ca="1">IFERROR(__xludf.DUMMYFUNCTION("GOOGLETRANSLATE(B35,""es"",""en"")"),"Very short")</f>
        <v>Very short</v>
      </c>
      <c r="E35" t="str">
        <f ca="1">IFERROR(__xludf.DUMMYFUNCTION("GOOGLETRANSLATE(C35,""es"",""en"")"),"#VALUE!")</f>
        <v>#VALUE!</v>
      </c>
    </row>
    <row r="36" spans="1:5" ht="13.2" x14ac:dyDescent="0.25">
      <c r="A36" t="s">
        <v>85</v>
      </c>
      <c r="B36" t="s">
        <v>86</v>
      </c>
      <c r="D36" t="str">
        <f ca="1">IFERROR(__xludf.DUMMYFUNCTION("GOOGLETRANSLATE(B36,""es"",""en"")"),"Short")</f>
        <v>Short</v>
      </c>
      <c r="E36" t="str">
        <f ca="1">IFERROR(__xludf.DUMMYFUNCTION("GOOGLETRANSLATE(C36,""es"",""en"")"),"#VALUE!")</f>
        <v>#VALUE!</v>
      </c>
    </row>
    <row r="37" spans="1:5" ht="13.2" x14ac:dyDescent="0.25">
      <c r="A37" t="s">
        <v>87</v>
      </c>
      <c r="B37" t="s">
        <v>88</v>
      </c>
      <c r="C37" t="s">
        <v>89</v>
      </c>
      <c r="D37" t="str">
        <f ca="1">IFERROR(__xludf.DUMMYFUNCTION("GOOGLETRANSLATE(B37,""es"",""en"")"),"Almost")</f>
        <v>Almost</v>
      </c>
      <c r="E37" t="str">
        <f ca="1">IFERROR(__xludf.DUMMYFUNCTION("GOOGLETRANSLATE(C37,""es"",""en"")"),"Incomplete ,,,,")</f>
        <v>Incomplete ,,,,</v>
      </c>
    </row>
    <row r="38" spans="1:5" ht="13.2" x14ac:dyDescent="0.25">
      <c r="A38" t="s">
        <v>90</v>
      </c>
      <c r="B38" t="s">
        <v>86</v>
      </c>
      <c r="C38" t="s">
        <v>91</v>
      </c>
      <c r="D38" t="str">
        <f ca="1">IFERROR(__xludf.DUMMYFUNCTION("GOOGLETRANSLATE(B38,""es"",""en"")"),"Short")</f>
        <v>Short</v>
      </c>
      <c r="E38" t="str">
        <f ca="1">IFERROR(__xludf.DUMMYFUNCTION("GOOGLETRANSLATE(C38,""es"",""en"")"),"Very short, , , ,")</f>
        <v>Very short, , , ,</v>
      </c>
    </row>
    <row r="39" spans="1:5" ht="13.2" x14ac:dyDescent="0.25">
      <c r="A39" t="s">
        <v>92</v>
      </c>
      <c r="B39" t="s">
        <v>86</v>
      </c>
      <c r="C39" t="s">
        <v>91</v>
      </c>
      <c r="D39" t="str">
        <f ca="1">IFERROR(__xludf.DUMMYFUNCTION("GOOGLETRANSLATE(B39,""es"",""en"")"),"Short")</f>
        <v>Short</v>
      </c>
      <c r="E39" t="str">
        <f ca="1">IFERROR(__xludf.DUMMYFUNCTION("GOOGLETRANSLATE(C39,""es"",""en"")"),"Very short, , , ,")</f>
        <v>Very short, , , ,</v>
      </c>
    </row>
    <row r="40" spans="1:5" ht="13.2" x14ac:dyDescent="0.25">
      <c r="A40" t="s">
        <v>93</v>
      </c>
      <c r="B40" t="s">
        <v>86</v>
      </c>
      <c r="C40" t="s">
        <v>91</v>
      </c>
      <c r="D40" t="str">
        <f ca="1">IFERROR(__xludf.DUMMYFUNCTION("GOOGLETRANSLATE(B40,""es"",""en"")"),"Short")</f>
        <v>Short</v>
      </c>
      <c r="E40" t="str">
        <f ca="1">IFERROR(__xludf.DUMMYFUNCTION("GOOGLETRANSLATE(C40,""es"",""en"")"),"Very short, , , ,")</f>
        <v>Very short, , , ,</v>
      </c>
    </row>
    <row r="41" spans="1:5" ht="13.2" x14ac:dyDescent="0.25">
      <c r="A41" t="s">
        <v>94</v>
      </c>
      <c r="B41" t="s">
        <v>95</v>
      </c>
      <c r="D41" t="s">
        <v>96</v>
      </c>
      <c r="E41" t="str">
        <f ca="1">IFERROR(__xludf.DUMMYFUNCTION("GOOGLETRANSLATE(C41,""es"",""en"")"),"#VALUE!")</f>
        <v>#VALUE!</v>
      </c>
    </row>
    <row r="42" spans="1:5" ht="13.2" x14ac:dyDescent="0.25">
      <c r="A42" t="s">
        <v>97</v>
      </c>
      <c r="B42" t="s">
        <v>95</v>
      </c>
      <c r="D42" t="s">
        <v>96</v>
      </c>
      <c r="E42" t="str">
        <f ca="1">IFERROR(__xludf.DUMMYFUNCTION("GOOGLETRANSLATE(C42,""es"",""en"")"),"#VALUE!")</f>
        <v>#VALUE!</v>
      </c>
    </row>
    <row r="43" spans="1:5" ht="13.2" x14ac:dyDescent="0.25">
      <c r="A43" t="s">
        <v>98</v>
      </c>
      <c r="B43" t="s">
        <v>99</v>
      </c>
      <c r="D43" t="s">
        <v>100</v>
      </c>
      <c r="E43" t="str">
        <f ca="1">IFERROR(__xludf.DUMMYFUNCTION("GOOGLETRANSLATE(C43,""es"",""en"")"),"#VALUE!")</f>
        <v>#VALUE!</v>
      </c>
    </row>
    <row r="44" spans="1:5" ht="13.2" x14ac:dyDescent="0.25">
      <c r="A44" t="s">
        <v>101</v>
      </c>
      <c r="B44" t="s">
        <v>102</v>
      </c>
      <c r="D44" t="s">
        <v>103</v>
      </c>
      <c r="E44" t="str">
        <f ca="1">IFERROR(__xludf.DUMMYFUNCTION("GOOGLETRANSLATE(C44,""es"",""en"")"),"#VALUE!")</f>
        <v>#VALUE!</v>
      </c>
    </row>
    <row r="45" spans="1:5" ht="13.2" x14ac:dyDescent="0.25">
      <c r="A45" t="s">
        <v>104</v>
      </c>
      <c r="B45" t="s">
        <v>105</v>
      </c>
      <c r="D45" t="s">
        <v>106</v>
      </c>
      <c r="E45" t="str">
        <f ca="1">IFERROR(__xludf.DUMMYFUNCTION("GOOGLETRANSLATE(C45,""es"",""en"")"),"#VALUE!")</f>
        <v>#VALUE!</v>
      </c>
    </row>
    <row r="46" spans="1:5" ht="13.2" x14ac:dyDescent="0.25">
      <c r="A46" t="s">
        <v>107</v>
      </c>
      <c r="B46" t="s">
        <v>108</v>
      </c>
      <c r="D46" t="str">
        <f ca="1">IFERROR(__xludf.DUMMYFUNCTION("GOOGLETRANSLATE(B46,""es"",""en"")"),"Octopus")</f>
        <v>Octopus</v>
      </c>
      <c r="E46" t="str">
        <f ca="1">IFERROR(__xludf.DUMMYFUNCTION("GOOGLETRANSLATE(C46,""es"",""en"")"),"#VALUE!")</f>
        <v>#VALUE!</v>
      </c>
    </row>
    <row r="47" spans="1:5" ht="13.2" x14ac:dyDescent="0.25">
      <c r="A47" t="s">
        <v>109</v>
      </c>
      <c r="B47" t="s">
        <v>110</v>
      </c>
      <c r="D47" t="str">
        <f ca="1">IFERROR(__xludf.DUMMYFUNCTION("GOOGLETRANSLATE(B47,""es"",""en"")"),"August")</f>
        <v>August</v>
      </c>
      <c r="E47" t="str">
        <f ca="1">IFERROR(__xludf.DUMMYFUNCTION("GOOGLETRANSLATE(C47,""es"",""en"")"),"#VALUE!")</f>
        <v>#VALUE!</v>
      </c>
    </row>
    <row r="48" spans="1:5" ht="13.2" x14ac:dyDescent="0.25">
      <c r="A48" t="s">
        <v>111</v>
      </c>
      <c r="B48" t="s">
        <v>88</v>
      </c>
      <c r="C48" t="s">
        <v>112</v>
      </c>
      <c r="D48" t="str">
        <f ca="1">IFERROR(__xludf.DUMMYFUNCTION("GOOGLETRANSLATE(B48,""es"",""en"")"),"Almost")</f>
        <v>Almost</v>
      </c>
      <c r="E48" t="str">
        <f ca="1">IFERROR(__xludf.DUMMYFUNCTION("GOOGLETRANSLATE(C48,""es"",""en"")"),"Incomplete ,,,,")</f>
        <v>Incomplete ,,,,</v>
      </c>
    </row>
    <row r="49" spans="1:5" ht="13.2" x14ac:dyDescent="0.25">
      <c r="A49" t="s">
        <v>113</v>
      </c>
      <c r="B49" t="s">
        <v>114</v>
      </c>
      <c r="C49" t="s">
        <v>115</v>
      </c>
      <c r="D49" t="str">
        <f ca="1">IFERROR(__xludf.DUMMYFUNCTION("GOOGLETRANSLATE(B49,""es"",""en"")"),"Swallow")</f>
        <v>Swallow</v>
      </c>
      <c r="E49" t="str">
        <f ca="1">IFERROR(__xludf.DUMMYFUNCTION("GOOGLETRANSLATE(C49,""es"",""en"")"),"Tijereta ,,,,")</f>
        <v>Tijereta ,,,,</v>
      </c>
    </row>
    <row r="50" spans="1:5" ht="13.2" x14ac:dyDescent="0.25">
      <c r="A50" t="s">
        <v>116</v>
      </c>
      <c r="B50" t="s">
        <v>114</v>
      </c>
      <c r="C50" t="s">
        <v>117</v>
      </c>
      <c r="D50" t="str">
        <f ca="1">IFERROR(__xludf.DUMMYFUNCTION("GOOGLETRANSLATE(B50,""es"",""en"")"),"Swallow")</f>
        <v>Swallow</v>
      </c>
      <c r="E50" t="str">
        <f ca="1">IFERROR(__xludf.DUMMYFUNCTION("GOOGLETRANSLATE(C50,""es"",""en"")"),"Tijereta ,,,,")</f>
        <v>Tijereta ,,,,</v>
      </c>
    </row>
    <row r="51" spans="1:5" ht="13.2" x14ac:dyDescent="0.25">
      <c r="A51" t="s">
        <v>118</v>
      </c>
      <c r="B51" t="s">
        <v>119</v>
      </c>
      <c r="C51" t="s">
        <v>120</v>
      </c>
      <c r="D51" t="str">
        <f ca="1">IFERROR(__xludf.DUMMYFUNCTION("GOOGLETRANSLATE(B51,""es"",""en"")"),"Kill")</f>
        <v>Kill</v>
      </c>
      <c r="E51" t="str">
        <f ca="1">IFERROR(__xludf.DUMMYFUNCTION("GOOGLETRANSLATE(C51,""es"",""en"")"),"Eliminate, , , ,")</f>
        <v>Eliminate, , , ,</v>
      </c>
    </row>
    <row r="52" spans="1:5" ht="13.2" x14ac:dyDescent="0.25">
      <c r="A52" t="s">
        <v>121</v>
      </c>
      <c r="B52" t="s">
        <v>119</v>
      </c>
      <c r="C52" t="s">
        <v>120</v>
      </c>
      <c r="D52" t="str">
        <f ca="1">IFERROR(__xludf.DUMMYFUNCTION("GOOGLETRANSLATE(B52,""es"",""en"")"),"Kill")</f>
        <v>Kill</v>
      </c>
      <c r="E52" t="str">
        <f ca="1">IFERROR(__xludf.DUMMYFUNCTION("GOOGLETRANSLATE(C52,""es"",""en"")"),"Eliminate, , , ,")</f>
        <v>Eliminate, , , ,</v>
      </c>
    </row>
    <row r="53" spans="1:5" ht="13.2" x14ac:dyDescent="0.25">
      <c r="A53" t="s">
        <v>122</v>
      </c>
      <c r="B53" t="s">
        <v>119</v>
      </c>
      <c r="C53" t="s">
        <v>120</v>
      </c>
      <c r="D53" t="str">
        <f ca="1">IFERROR(__xludf.DUMMYFUNCTION("GOOGLETRANSLATE(B53,""es"",""en"")"),"Kill")</f>
        <v>Kill</v>
      </c>
      <c r="E53" t="str">
        <f ca="1">IFERROR(__xludf.DUMMYFUNCTION("GOOGLETRANSLATE(C53,""es"",""en"")"),"Eliminate, , , ,")</f>
        <v>Eliminate, , , ,</v>
      </c>
    </row>
    <row r="54" spans="1:5" ht="13.2" x14ac:dyDescent="0.25">
      <c r="A54" t="s">
        <v>123</v>
      </c>
      <c r="B54" t="s">
        <v>119</v>
      </c>
      <c r="D54" t="str">
        <f ca="1">IFERROR(__xludf.DUMMYFUNCTION("GOOGLETRANSLATE(B54,""es"",""en"")"),"Kill")</f>
        <v>Kill</v>
      </c>
      <c r="E54" t="str">
        <f ca="1">IFERROR(__xludf.DUMMYFUNCTION("GOOGLETRANSLATE(C54,""es"",""en"")"),"#VALUE!")</f>
        <v>#VALUE!</v>
      </c>
    </row>
    <row r="55" spans="1:5" ht="13.2" x14ac:dyDescent="0.25">
      <c r="A55" t="s">
        <v>124</v>
      </c>
      <c r="B55" t="s">
        <v>125</v>
      </c>
      <c r="C55" t="s">
        <v>126</v>
      </c>
      <c r="D55" t="str">
        <f ca="1">IFERROR(__xludf.DUMMYFUNCTION("GOOGLETRANSLATE(B55,""es"",""en"")"),"Uncle")</f>
        <v>Uncle</v>
      </c>
      <c r="E55" t="str">
        <f ca="1">IFERROR(__xludf.DUMMYFUNCTION("GOOGLETRANSLATE(C55,""es"",""en"")"),"Relative ,,,,")</f>
        <v>Relative ,,,,</v>
      </c>
    </row>
    <row r="56" spans="1:5" ht="13.2" x14ac:dyDescent="0.25">
      <c r="A56" t="s">
        <v>127</v>
      </c>
      <c r="B56" t="s">
        <v>125</v>
      </c>
      <c r="D56" t="str">
        <f ca="1">IFERROR(__xludf.DUMMYFUNCTION("GOOGLETRANSLATE(B56,""es"",""en"")"),"Uncle")</f>
        <v>Uncle</v>
      </c>
      <c r="E56" t="str">
        <f ca="1">IFERROR(__xludf.DUMMYFUNCTION("GOOGLETRANSLATE(C56,""es"",""en"")"),"#VALUE!")</f>
        <v>#VALUE!</v>
      </c>
    </row>
    <row r="57" spans="1:5" ht="13.2" x14ac:dyDescent="0.25">
      <c r="A57" t="s">
        <v>128</v>
      </c>
      <c r="B57" t="s">
        <v>125</v>
      </c>
      <c r="C57" t="s">
        <v>126</v>
      </c>
      <c r="D57" t="str">
        <f ca="1">IFERROR(__xludf.DUMMYFUNCTION("GOOGLETRANSLATE(B57,""es"",""en"")"),"Uncle")</f>
        <v>Uncle</v>
      </c>
      <c r="E57" t="str">
        <f ca="1">IFERROR(__xludf.DUMMYFUNCTION("GOOGLETRANSLATE(C57,""es"",""en"")"),"Relative ,,,,")</f>
        <v>Relative ,,,,</v>
      </c>
    </row>
    <row r="58" spans="1:5" ht="13.2" x14ac:dyDescent="0.25">
      <c r="A58" t="s">
        <v>129</v>
      </c>
      <c r="B58" t="s">
        <v>130</v>
      </c>
      <c r="C58" t="s">
        <v>131</v>
      </c>
      <c r="D58" t="str">
        <f ca="1">IFERROR(__xludf.DUMMYFUNCTION("GOOGLETRANSLATE(B58,""es"",""en"")"),"Right away")</f>
        <v>Right away</v>
      </c>
      <c r="E58" t="str">
        <f ca="1">IFERROR(__xludf.DUMMYFUNCTION("GOOGLETRANSLATE(C58,""es"",""en"")"),"Immediately, , , ,")</f>
        <v>Immediately, , , ,</v>
      </c>
    </row>
    <row r="59" spans="1:5" ht="13.2" x14ac:dyDescent="0.25">
      <c r="A59" t="s">
        <v>132</v>
      </c>
      <c r="B59" t="s">
        <v>133</v>
      </c>
      <c r="C59" t="s">
        <v>134</v>
      </c>
      <c r="D59" t="str">
        <f ca="1">IFERROR(__xludf.DUMMYFUNCTION("GOOGLETRANSLATE(B59,""es"",""en"")"),"Stone")</f>
        <v>Stone</v>
      </c>
      <c r="E59" t="str">
        <f ca="1">IFERROR(__xludf.DUMMYFUNCTION("GOOGLETRANSLATE(C59,""es"",""en"")"),"rock, , , ,")</f>
        <v>rock, , , ,</v>
      </c>
    </row>
    <row r="60" spans="1:5" ht="13.2" x14ac:dyDescent="0.25">
      <c r="A60" t="s">
        <v>135</v>
      </c>
      <c r="B60" t="s">
        <v>136</v>
      </c>
      <c r="C60" t="s">
        <v>137</v>
      </c>
      <c r="D60" t="str">
        <f ca="1">IFERROR(__xludf.DUMMYFUNCTION("GOOGLETRANSLATE(B60,""es"",""en"")"),"Accurate")</f>
        <v>Accurate</v>
      </c>
      <c r="E60" t="str">
        <f ca="1">IFERROR(__xludf.DUMMYFUNCTION("GOOGLETRANSLATE(C60,""es"",""en"")"),"Exact, , , ,")</f>
        <v>Exact, , , ,</v>
      </c>
    </row>
    <row r="61" spans="1:5" ht="13.2" x14ac:dyDescent="0.25">
      <c r="A61" t="s">
        <v>138</v>
      </c>
      <c r="B61" t="s">
        <v>136</v>
      </c>
      <c r="C61" t="s">
        <v>137</v>
      </c>
      <c r="D61" t="str">
        <f ca="1">IFERROR(__xludf.DUMMYFUNCTION("GOOGLETRANSLATE(B61,""es"",""en"")"),"Accurate")</f>
        <v>Accurate</v>
      </c>
      <c r="E61" t="str">
        <f ca="1">IFERROR(__xludf.DUMMYFUNCTION("GOOGLETRANSLATE(C61,""es"",""en"")"),"Exact, , , ,")</f>
        <v>Exact, , , ,</v>
      </c>
    </row>
    <row r="62" spans="1:5" ht="13.2" x14ac:dyDescent="0.25">
      <c r="A62" t="s">
        <v>139</v>
      </c>
      <c r="B62" t="s">
        <v>140</v>
      </c>
      <c r="C62" t="s">
        <v>141</v>
      </c>
      <c r="D62" t="str">
        <f ca="1">IFERROR(__xludf.DUMMYFUNCTION("GOOGLETRANSLATE(B62,""es"",""en"")"),"Shotgun")</f>
        <v>Shotgun</v>
      </c>
      <c r="E62" t="str">
        <f ca="1">IFERROR(__xludf.DUMMYFUNCTION("GOOGLETRANSLATE(C62,""es"",""en"")"),"Rifle, carbine ,,,,")</f>
        <v>Rifle, carbine ,,,,</v>
      </c>
    </row>
    <row r="63" spans="1:5" ht="13.2" x14ac:dyDescent="0.25">
      <c r="A63" t="s">
        <v>142</v>
      </c>
      <c r="B63" t="s">
        <v>143</v>
      </c>
      <c r="D63" t="str">
        <f ca="1">IFERROR(__xludf.DUMMYFUNCTION("GOOGLETRANSLATE(B63,""es"",""en"")"),"Gunpowder")</f>
        <v>Gunpowder</v>
      </c>
      <c r="E63" t="str">
        <f ca="1">IFERROR(__xludf.DUMMYFUNCTION("GOOGLETRANSLATE(C63,""es"",""en"")"),"#VALUE!")</f>
        <v>#VALUE!</v>
      </c>
    </row>
    <row r="64" spans="1:5" ht="13.2" x14ac:dyDescent="0.25">
      <c r="A64" t="s">
        <v>144</v>
      </c>
      <c r="B64" t="s">
        <v>143</v>
      </c>
      <c r="D64" t="str">
        <f ca="1">IFERROR(__xludf.DUMMYFUNCTION("GOOGLETRANSLATE(B64,""es"",""en"")"),"Gunpowder")</f>
        <v>Gunpowder</v>
      </c>
      <c r="E64" t="str">
        <f ca="1">IFERROR(__xludf.DUMMYFUNCTION("GOOGLETRANSLATE(C64,""es"",""en"")"),"#VALUE!")</f>
        <v>#VALUE!</v>
      </c>
    </row>
    <row r="65" spans="1:5" ht="13.2" x14ac:dyDescent="0.25">
      <c r="A65" t="s">
        <v>145</v>
      </c>
      <c r="B65" t="s">
        <v>146</v>
      </c>
      <c r="D65" t="str">
        <f ca="1">IFERROR(__xludf.DUMMYFUNCTION("GOOGLETRANSLATE(B65,""es"",""en"")"),"Red")</f>
        <v>Red</v>
      </c>
      <c r="E65" t="str">
        <f ca="1">IFERROR(__xludf.DUMMYFUNCTION("GOOGLETRANSLATE(C65,""es"",""en"")"),"#VALUE!")</f>
        <v>#VALUE!</v>
      </c>
    </row>
    <row r="66" spans="1:5" ht="13.2" x14ac:dyDescent="0.25">
      <c r="A66" t="s">
        <v>147</v>
      </c>
      <c r="B66" t="s">
        <v>148</v>
      </c>
      <c r="D66" t="str">
        <f ca="1">IFERROR(__xludf.DUMMYFUNCTION("GOOGLETRANSLATE(B66,""es"",""en"")"),"Pink")</f>
        <v>Pink</v>
      </c>
      <c r="E66" t="str">
        <f ca="1">IFERROR(__xludf.DUMMYFUNCTION("GOOGLETRANSLATE(C66,""es"",""en"")"),"#VALUE!")</f>
        <v>#VALUE!</v>
      </c>
    </row>
    <row r="67" spans="1:5" ht="13.2" x14ac:dyDescent="0.25">
      <c r="A67" t="s">
        <v>149</v>
      </c>
      <c r="B67" t="s">
        <v>150</v>
      </c>
      <c r="C67" t="s">
        <v>151</v>
      </c>
      <c r="D67" t="str">
        <f ca="1">IFERROR(__xludf.DUMMYFUNCTION("GOOGLETRANSLATE(B67,""es"",""en"")"),"Who speaks")</f>
        <v>Who speaks</v>
      </c>
      <c r="E67" t="str">
        <f ca="1">IFERROR(__xludf.DUMMYFUNCTION("GOOGLETRANSLATE(C67,""es"",""en"")"),"Subject of prayer ,,,,,")</f>
        <v>Subject of prayer ,,,,,</v>
      </c>
    </row>
    <row r="68" spans="1:5" ht="13.2" x14ac:dyDescent="0.25">
      <c r="A68" t="s">
        <v>152</v>
      </c>
      <c r="B68" t="s">
        <v>153</v>
      </c>
      <c r="D68" t="str">
        <f ca="1">IFERROR(__xludf.DUMMYFUNCTION("GOOGLETRANSLATE(B68,""es"",""en"")"),"Atoll")</f>
        <v>Atoll</v>
      </c>
      <c r="E68" t="str">
        <f ca="1">IFERROR(__xludf.DUMMYFUNCTION("GOOGLETRANSLATE(C68,""es"",""en"")"),"#VALUE!")</f>
        <v>#VALUE!</v>
      </c>
    </row>
    <row r="69" spans="1:5" ht="13.2" x14ac:dyDescent="0.25">
      <c r="A69" t="s">
        <v>154</v>
      </c>
      <c r="B69" t="s">
        <v>155</v>
      </c>
      <c r="C69" t="s">
        <v>156</v>
      </c>
      <c r="D69" t="str">
        <f ca="1">IFERROR(__xludf.DUMMYFUNCTION("GOOGLETRANSLATE(B69,""es"",""en"")"),"Who speaks of")</f>
        <v>Who speaks of</v>
      </c>
      <c r="E69" t="str">
        <f ca="1">IFERROR(__xludf.DUMMYFUNCTION("GOOGLETRANSLATE(C69,""es"",""en"")"),"Predicado ,,,,")</f>
        <v>Predicado ,,,,</v>
      </c>
    </row>
    <row r="70" spans="1:5" ht="13.2" x14ac:dyDescent="0.25">
      <c r="A70" t="s">
        <v>157</v>
      </c>
      <c r="B70" t="s">
        <v>158</v>
      </c>
      <c r="C70" t="s">
        <v>159</v>
      </c>
      <c r="D70" t="str">
        <f ca="1">IFERROR(__xludf.DUMMYFUNCTION("GOOGLETRANSLATE(B70,""es"",""en"")"),"Quarter")</f>
        <v>Quarter</v>
      </c>
      <c r="E70" t="str">
        <f ca="1">IFERROR(__xludf.DUMMYFUNCTION("GOOGLETRANSLATE(C70,""es"",""en"")"),"Slot, fragment ,,,")</f>
        <v>Slot, fragment ,,,</v>
      </c>
    </row>
    <row r="71" spans="1:5" ht="13.2" x14ac:dyDescent="0.25">
      <c r="A71" t="s">
        <v>160</v>
      </c>
      <c r="B71" t="s">
        <v>161</v>
      </c>
      <c r="C71" t="s">
        <v>162</v>
      </c>
      <c r="D71" t="str">
        <f ca="1">IFERROR(__xludf.DUMMYFUNCTION("GOOGLETRANSLATE(B71,""es"",""en"")"),"Take")</f>
        <v>Take</v>
      </c>
      <c r="E71" t="str">
        <f ca="1">IFERROR(__xludf.DUMMYFUNCTION("GOOGLETRANSLATE(C71,""es"",""en"")"),"Drink, graf ,,,,")</f>
        <v>Drink, graf ,,,,</v>
      </c>
    </row>
    <row r="72" spans="1:5" ht="13.2" x14ac:dyDescent="0.25">
      <c r="A72" t="s">
        <v>163</v>
      </c>
      <c r="B72" t="s">
        <v>164</v>
      </c>
      <c r="C72" t="s">
        <v>165</v>
      </c>
      <c r="D72" t="str">
        <f ca="1">IFERROR(__xludf.DUMMYFUNCTION("GOOGLETRANSLATE(B72,""es"",""en"")"),"Little meñique")</f>
        <v>Little meñique</v>
      </c>
      <c r="E72" t="str">
        <f ca="1">IFERROR(__xludf.DUMMYFUNCTION("GOOGLETRANSLATE(C72,""es"",""en"")"),"Small finger ,,,,")</f>
        <v>Small finger ,,,,</v>
      </c>
    </row>
    <row r="73" spans="1:5" ht="13.2" x14ac:dyDescent="0.25">
      <c r="A73" t="s">
        <v>166</v>
      </c>
      <c r="B73" t="s">
        <v>167</v>
      </c>
      <c r="C73" t="s">
        <v>168</v>
      </c>
      <c r="D73" t="str">
        <f ca="1">IFERROR(__xludf.DUMMYFUNCTION("GOOGLETRANSLATE(B73,""es"",""en"")"),"To pinch")</f>
        <v>To pinch</v>
      </c>
      <c r="E73" t="str">
        <f ca="1">IFERROR(__xludf.DUMMYFUNCTION("GOOGLETRANSLATE(C73,""es"",""en"")"),"Scratch, scratch ,,,,")</f>
        <v>Scratch, scratch ,,,,</v>
      </c>
    </row>
    <row r="74" spans="1:5" ht="13.2" x14ac:dyDescent="0.25">
      <c r="A74" t="s">
        <v>169</v>
      </c>
      <c r="B74" t="s">
        <v>170</v>
      </c>
      <c r="C74" t="s">
        <v>171</v>
      </c>
      <c r="D74" t="str">
        <f ca="1">IFERROR(__xludf.DUMMYFUNCTION("GOOGLETRANSLATE(B74,""es"",""en"")"),"Baby")</f>
        <v>Baby</v>
      </c>
      <c r="E74" t="str">
        <f ca="1">IFERROR(__xludf.DUMMYFUNCTION("GOOGLETRANSLATE(C74,""es"",""en"")"),"Baby, creature, deer, deer,")</f>
        <v>Baby, creature, deer, deer,</v>
      </c>
    </row>
    <row r="75" spans="1:5" ht="13.2" x14ac:dyDescent="0.25">
      <c r="A75" t="s">
        <v>172</v>
      </c>
      <c r="B75" t="s">
        <v>173</v>
      </c>
      <c r="C75" t="s">
        <v>174</v>
      </c>
      <c r="D75" t="str">
        <f ca="1">IFERROR(__xludf.DUMMYFUNCTION("GOOGLETRANSLATE(B75,""es"",""en"")"),"Deer")</f>
        <v>Deer</v>
      </c>
      <c r="E75" t="str">
        <f ca="1">IFERROR(__xludf.DUMMYFUNCTION("GOOGLETRANSLATE(C75,""es"",""en"")"),"Deer, , , ,")</f>
        <v>Deer, , , ,</v>
      </c>
    </row>
    <row r="76" spans="1:5" ht="13.2" x14ac:dyDescent="0.25">
      <c r="A76" t="s">
        <v>175</v>
      </c>
      <c r="B76" t="s">
        <v>176</v>
      </c>
      <c r="D76" t="str">
        <f ca="1">IFERROR(__xludf.DUMMYFUNCTION("GOOGLETRANSLATE(B76,""es"",""en"")"),"Cocobolo tree")</f>
        <v>Cocobolo tree</v>
      </c>
      <c r="E76" t="str">
        <f ca="1">IFERROR(__xludf.DUMMYFUNCTION("GOOGLETRANSLATE(C76,""es"",""en"")"),"#VALUE!")</f>
        <v>#VALUE!</v>
      </c>
    </row>
    <row r="77" spans="1:5" ht="13.2" x14ac:dyDescent="0.25">
      <c r="A77" t="s">
        <v>177</v>
      </c>
      <c r="B77" t="s">
        <v>178</v>
      </c>
      <c r="D77" t="str">
        <f ca="1">IFERROR(__xludf.DUMMYFUNCTION("GOOGLETRANSLATE(B77,""es"",""en"")"),"Cocobolo fruit")</f>
        <v>Cocobolo fruit</v>
      </c>
      <c r="E77" t="str">
        <f ca="1">IFERROR(__xludf.DUMMYFUNCTION("GOOGLETRANSLATE(C77,""es"",""en"")"),"#VALUE!")</f>
        <v>#VALUE!</v>
      </c>
    </row>
    <row r="78" spans="1:5" ht="13.2" x14ac:dyDescent="0.25">
      <c r="A78" t="s">
        <v>179</v>
      </c>
      <c r="B78" t="s">
        <v>178</v>
      </c>
      <c r="D78" t="str">
        <f ca="1">IFERROR(__xludf.DUMMYFUNCTION("GOOGLETRANSLATE(B78,""es"",""en"")"),"Cocobolo fruit")</f>
        <v>Cocobolo fruit</v>
      </c>
      <c r="E78" t="str">
        <f ca="1">IFERROR(__xludf.DUMMYFUNCTION("GOOGLETRANSLATE(C78,""es"",""en"")"),"#VALUE!")</f>
        <v>#VALUE!</v>
      </c>
    </row>
    <row r="79" spans="1:5" ht="13.2" x14ac:dyDescent="0.25">
      <c r="A79" t="s">
        <v>180</v>
      </c>
      <c r="B79" t="s">
        <v>181</v>
      </c>
      <c r="D79" t="str">
        <f ca="1">IFERROR(__xludf.DUMMYFUNCTION("GOOGLETRANSLATE(B79,""es"",""en"")"),"Reef")</f>
        <v>Reef</v>
      </c>
      <c r="E79" t="str">
        <f ca="1">IFERROR(__xludf.DUMMYFUNCTION("GOOGLETRANSLATE(C79,""es"",""en"")"),"#VALUE!")</f>
        <v>#VALUE!</v>
      </c>
    </row>
    <row r="80" spans="1:5" ht="13.2" x14ac:dyDescent="0.25">
      <c r="A80" t="s">
        <v>182</v>
      </c>
      <c r="B80" t="s">
        <v>183</v>
      </c>
      <c r="D80" t="str">
        <f ca="1">IFERROR(__xludf.DUMMYFUNCTION("GOOGLETRANSLATE(B80,""es"",""en"")"),"Female sexual organ")</f>
        <v>Female sexual organ</v>
      </c>
      <c r="E80" t="str">
        <f ca="1">IFERROR(__xludf.DUMMYFUNCTION("GOOGLETRANSLATE(C80,""es"",""en"")"),"#VALUE!")</f>
        <v>#VALUE!</v>
      </c>
    </row>
    <row r="81" spans="1:5" ht="13.2" x14ac:dyDescent="0.25">
      <c r="A81" t="s">
        <v>184</v>
      </c>
      <c r="B81" t="s">
        <v>183</v>
      </c>
      <c r="D81" t="str">
        <f ca="1">IFERROR(__xludf.DUMMYFUNCTION("GOOGLETRANSLATE(B81,""es"",""en"")"),"Female sexual organ")</f>
        <v>Female sexual organ</v>
      </c>
      <c r="E81" t="str">
        <f ca="1">IFERROR(__xludf.DUMMYFUNCTION("GOOGLETRANSLATE(C81,""es"",""en"")"),"#VALUE!")</f>
        <v>#VALUE!</v>
      </c>
    </row>
    <row r="82" spans="1:5" ht="13.2" x14ac:dyDescent="0.25">
      <c r="A82" t="s">
        <v>185</v>
      </c>
      <c r="B82" t="s">
        <v>183</v>
      </c>
      <c r="D82" t="str">
        <f ca="1">IFERROR(__xludf.DUMMYFUNCTION("GOOGLETRANSLATE(B82,""es"",""en"")"),"Female sexual organ")</f>
        <v>Female sexual organ</v>
      </c>
      <c r="E82" t="str">
        <f ca="1">IFERROR(__xludf.DUMMYFUNCTION("GOOGLETRANSLATE(C82,""es"",""en"")"),"#VALUE!")</f>
        <v>#VALUE!</v>
      </c>
    </row>
    <row r="83" spans="1:5" ht="13.2" x14ac:dyDescent="0.25">
      <c r="A83" t="s">
        <v>186</v>
      </c>
      <c r="B83" t="s">
        <v>187</v>
      </c>
      <c r="D83" t="str">
        <f ca="1">IFERROR(__xludf.DUMMYFUNCTION("GOOGLETRANSLATE(B83,""es"",""en"")"),"Hermit crab")</f>
        <v>Hermit crab</v>
      </c>
      <c r="E83" t="str">
        <f ca="1">IFERROR(__xludf.DUMMYFUNCTION("GOOGLETRANSLATE(C83,""es"",""en"")"),"#VALUE!")</f>
        <v>#VALUE!</v>
      </c>
    </row>
    <row r="84" spans="1:5" ht="13.2" x14ac:dyDescent="0.25">
      <c r="A84" t="s">
        <v>188</v>
      </c>
      <c r="B84" t="s">
        <v>189</v>
      </c>
      <c r="C84" t="s">
        <v>190</v>
      </c>
      <c r="D84" t="str">
        <f ca="1">IFERROR(__xludf.DUMMYFUNCTION("GOOGLETRANSLATE(B84,""es"",""en"")"),"Call")</f>
        <v>Call</v>
      </c>
      <c r="E84" t="str">
        <f ca="1">IFERROR(__xludf.DUMMYFUNCTION("GOOGLETRANSLATE(C84,""es"",""en"")"),"Voicon, convene, gather ,,")</f>
        <v>Voicon, convene, gather ,,</v>
      </c>
    </row>
    <row r="85" spans="1:5" ht="13.2" x14ac:dyDescent="0.25">
      <c r="A85" t="s">
        <v>191</v>
      </c>
      <c r="B85" t="s">
        <v>192</v>
      </c>
      <c r="C85" t="s">
        <v>193</v>
      </c>
      <c r="D85" t="str">
        <f ca="1">IFERROR(__xludf.DUMMYFUNCTION("GOOGLETRANSLATE(B85,""es"",""en"")"),"Splash")</f>
        <v>Splash</v>
      </c>
      <c r="E85" t="str">
        <f ca="1">IFERROR(__xludf.DUMMYFUNCTION("GOOGLETRANSLATE(C85,""es"",""en"")"),"Swim, , , ,")</f>
        <v>Swim, , , ,</v>
      </c>
    </row>
    <row r="86" spans="1:5" ht="13.2" x14ac:dyDescent="0.25">
      <c r="A86" t="s">
        <v>194</v>
      </c>
      <c r="B86" t="s">
        <v>192</v>
      </c>
      <c r="C86" t="s">
        <v>193</v>
      </c>
      <c r="D86" t="str">
        <f ca="1">IFERROR(__xludf.DUMMYFUNCTION("GOOGLETRANSLATE(B86,""es"",""en"")"),"Splash")</f>
        <v>Splash</v>
      </c>
      <c r="E86" t="str">
        <f ca="1">IFERROR(__xludf.DUMMYFUNCTION("GOOGLETRANSLATE(C86,""es"",""en"")"),"Swim, , , ,")</f>
        <v>Swim, , , ,</v>
      </c>
    </row>
    <row r="87" spans="1:5" ht="13.2" x14ac:dyDescent="0.25">
      <c r="A87" t="s">
        <v>195</v>
      </c>
      <c r="B87" t="s">
        <v>196</v>
      </c>
      <c r="D87" t="s">
        <v>197</v>
      </c>
      <c r="E87" t="str">
        <f ca="1">IFERROR(__xludf.DUMMYFUNCTION("GOOGLETRANSLATE(C87,""es"",""en"")"),"#VALUE!")</f>
        <v>#VALUE!</v>
      </c>
    </row>
    <row r="88" spans="1:5" ht="13.2" x14ac:dyDescent="0.25">
      <c r="A88" t="s">
        <v>198</v>
      </c>
      <c r="B88" t="s">
        <v>199</v>
      </c>
      <c r="D88" t="str">
        <f ca="1">IFERROR(__xludf.DUMMYFUNCTION("GOOGLETRANSLATE(B88,""es"",""en"")"),"Finger")</f>
        <v>Finger</v>
      </c>
      <c r="E88" t="str">
        <f ca="1">IFERROR(__xludf.DUMMYFUNCTION("GOOGLETRANSLATE(C88,""es"",""en"")"),"#VALUE!")</f>
        <v>#VALUE!</v>
      </c>
    </row>
    <row r="89" spans="1:5" ht="13.2" x14ac:dyDescent="0.25">
      <c r="A89" t="s">
        <v>200</v>
      </c>
      <c r="B89" t="s">
        <v>199</v>
      </c>
      <c r="D89" t="str">
        <f ca="1">IFERROR(__xludf.DUMMYFUNCTION("GOOGLETRANSLATE(B89,""es"",""en"")"),"Finger")</f>
        <v>Finger</v>
      </c>
      <c r="E89" t="str">
        <f ca="1">IFERROR(__xludf.DUMMYFUNCTION("GOOGLETRANSLATE(C89,""es"",""en"")"),"#VALUE!")</f>
        <v>#VALUE!</v>
      </c>
    </row>
    <row r="90" spans="1:5" ht="13.2" x14ac:dyDescent="0.25">
      <c r="A90" t="s">
        <v>201</v>
      </c>
      <c r="B90" t="s">
        <v>202</v>
      </c>
      <c r="D90" t="str">
        <f ca="1">IFERROR(__xludf.DUMMYFUNCTION("GOOGLETRANSLATE(B90,""es"",""en"")"),"Anchor rope")</f>
        <v>Anchor rope</v>
      </c>
      <c r="E90" t="str">
        <f ca="1">IFERROR(__xludf.DUMMYFUNCTION("GOOGLETRANSLATE(C90,""es"",""en"")"),"#VALUE!")</f>
        <v>#VALUE!</v>
      </c>
    </row>
    <row r="91" spans="1:5" ht="13.2" x14ac:dyDescent="0.25">
      <c r="A91" t="s">
        <v>203</v>
      </c>
      <c r="B91" t="s">
        <v>204</v>
      </c>
      <c r="C91" t="s">
        <v>205</v>
      </c>
      <c r="D91" t="str">
        <f ca="1">IFERROR(__xludf.DUMMYFUNCTION("GOOGLETRANSLATE(B91,""es"",""en"")"),"Orange pàlido")</f>
        <v>Orange pàlido</v>
      </c>
      <c r="E91" t="str">
        <f ca="1">IFERROR(__xludf.DUMMYFUNCTION("GOOGLETRANSLATE(C91,""es"",""en"")"),"Yellowish, malaria ,,,,")</f>
        <v>Yellowish, malaria ,,,,</v>
      </c>
    </row>
    <row r="92" spans="1:5" ht="13.2" x14ac:dyDescent="0.25">
      <c r="A92" t="s">
        <v>206</v>
      </c>
      <c r="B92" t="s">
        <v>207</v>
      </c>
      <c r="C92" t="s">
        <v>208</v>
      </c>
      <c r="D92" t="str">
        <f ca="1">IFERROR(__xludf.DUMMYFUNCTION("GOOGLETRANSLATE(B92,""es"",""en"")"),"To mature")</f>
        <v>To mature</v>
      </c>
      <c r="E92" t="str">
        <f ca="1">IFERROR(__xludf.DUMMYFUNCTION("GOOGLETRANSLATE(C92,""es"",""en"")"),"Season the fruit ,,,,")</f>
        <v>Season the fruit ,,,,</v>
      </c>
    </row>
    <row r="93" spans="1:5" ht="13.2" x14ac:dyDescent="0.25">
      <c r="A93" t="s">
        <v>209</v>
      </c>
      <c r="B93" t="s">
        <v>210</v>
      </c>
      <c r="D93" t="str">
        <f ca="1">IFERROR(__xludf.DUMMYFUNCTION("GOOGLETRANSLATE(B93,""es"",""en"")"),"Pelican")</f>
        <v>Pelican</v>
      </c>
      <c r="E93" t="str">
        <f ca="1">IFERROR(__xludf.DUMMYFUNCTION("GOOGLETRANSLATE(C93,""es"",""en"")"),"#VALUE!")</f>
        <v>#VALUE!</v>
      </c>
    </row>
    <row r="94" spans="1:5" ht="13.2" x14ac:dyDescent="0.25">
      <c r="A94" t="s">
        <v>211</v>
      </c>
      <c r="B94" t="s">
        <v>212</v>
      </c>
      <c r="C94" t="s">
        <v>213</v>
      </c>
      <c r="D94" t="str">
        <f ca="1">IFERROR(__xludf.DUMMYFUNCTION("GOOGLETRANSLATE(B94,""es"",""en"")"),"Declaim")</f>
        <v>Declaim</v>
      </c>
      <c r="E94" t="str">
        <f ca="1">IFERROR(__xludf.DUMMYFUNCTION("GOOGLETRANSLATE(C94,""es"",""en"")"),"Vocer ,,,,")</f>
        <v>Vocer ,,,,</v>
      </c>
    </row>
    <row r="95" spans="1:5" ht="13.2" x14ac:dyDescent="0.25">
      <c r="A95" t="s">
        <v>214</v>
      </c>
      <c r="B95" t="s">
        <v>215</v>
      </c>
      <c r="C95" t="s">
        <v>216</v>
      </c>
      <c r="D95" t="str">
        <f ca="1">IFERROR(__xludf.DUMMYFUNCTION("GOOGLETRANSLATE(B95,""es"",""en"")"),"Poem")</f>
        <v>Poem</v>
      </c>
      <c r="E95" t="str">
        <f ca="1">IFERROR(__xludf.DUMMYFUNCTION("GOOGLETRANSLATE(C95,""es"",""en"")"),"Poetry, verse ,,,")</f>
        <v>Poetry, verse ,,,</v>
      </c>
    </row>
    <row r="96" spans="1:5" ht="13.2" x14ac:dyDescent="0.25">
      <c r="A96" t="s">
        <v>217</v>
      </c>
      <c r="B96" t="s">
        <v>218</v>
      </c>
      <c r="D96" t="str">
        <f ca="1">IFERROR(__xludf.DUMMYFUNCTION("GOOGLETRANSLATE(B96,""es"",""en"")"),"Yellow")</f>
        <v>Yellow</v>
      </c>
      <c r="E96" t="str">
        <f ca="1">IFERROR(__xludf.DUMMYFUNCTION("GOOGLETRANSLATE(C96,""es"",""en"")"),"#VALUE!")</f>
        <v>#VALUE!</v>
      </c>
    </row>
    <row r="97" spans="1:5" ht="13.2" x14ac:dyDescent="0.25">
      <c r="A97" t="s">
        <v>219</v>
      </c>
      <c r="B97" t="s">
        <v>220</v>
      </c>
      <c r="D97" t="str">
        <f ca="1">IFERROR(__xludf.DUMMYFUNCTION("GOOGLETRANSLATE(B97,""es"",""en"")"),"Yellowish")</f>
        <v>Yellowish</v>
      </c>
      <c r="E97" t="str">
        <f ca="1">IFERROR(__xludf.DUMMYFUNCTION("GOOGLETRANSLATE(C97,""es"",""en"")"),"#VALUE!")</f>
        <v>#VALUE!</v>
      </c>
    </row>
    <row r="98" spans="1:5" ht="13.2" x14ac:dyDescent="0.25">
      <c r="A98" t="s">
        <v>221</v>
      </c>
      <c r="B98" t="s">
        <v>222</v>
      </c>
      <c r="C98" t="s">
        <v>223</v>
      </c>
      <c r="D98" t="str">
        <f ca="1">IFERROR(__xludf.DUMMYFUNCTION("GOOGLETRANSLATE(B98,""es"",""en"")"),"Dark")</f>
        <v>Dark</v>
      </c>
      <c r="E98" t="str">
        <f ca="1">IFERROR(__xludf.DUMMYFUNCTION("GOOGLETRANSLATE(C98,""es"",""en"")"),"FOSGO, BLACK ,,,,")</f>
        <v>FOSGO, BLACK ,,,,</v>
      </c>
    </row>
    <row r="99" spans="1:5" ht="13.2" x14ac:dyDescent="0.25">
      <c r="A99" t="s">
        <v>224</v>
      </c>
      <c r="B99" t="s">
        <v>222</v>
      </c>
      <c r="C99" t="s">
        <v>223</v>
      </c>
      <c r="D99" t="str">
        <f ca="1">IFERROR(__xludf.DUMMYFUNCTION("GOOGLETRANSLATE(B99,""es"",""en"")"),"Dark")</f>
        <v>Dark</v>
      </c>
      <c r="E99" t="str">
        <f ca="1">IFERROR(__xludf.DUMMYFUNCTION("GOOGLETRANSLATE(C99,""es"",""en"")"),"FOSGO, BLACK ,,,,")</f>
        <v>FOSGO, BLACK ,,,,</v>
      </c>
    </row>
    <row r="100" spans="1:5" ht="13.2" x14ac:dyDescent="0.25">
      <c r="A100" t="s">
        <v>225</v>
      </c>
      <c r="B100" t="s">
        <v>226</v>
      </c>
      <c r="C100" t="s">
        <v>227</v>
      </c>
      <c r="D100" t="str">
        <f ca="1">IFERROR(__xludf.DUMMYFUNCTION("GOOGLETRANSLATE(B100,""es"",""en"")"),"Ready")</f>
        <v>Ready</v>
      </c>
      <c r="E100" t="str">
        <f ca="1">IFERROR(__xludf.DUMMYFUNCTION("GOOGLETRANSLATE(C100,""es"",""en"")"),"Prepared, arranged ,,,")</f>
        <v>Prepared, arranged ,,,</v>
      </c>
    </row>
    <row r="101" spans="1:5" ht="13.2" x14ac:dyDescent="0.25">
      <c r="A101" t="s">
        <v>228</v>
      </c>
      <c r="B101" t="s">
        <v>202</v>
      </c>
      <c r="D101" t="str">
        <f ca="1">IFERROR(__xludf.DUMMYFUNCTION("GOOGLETRANSLATE(B101,""es"",""en"")"),"Anchor rope")</f>
        <v>Anchor rope</v>
      </c>
      <c r="E101" t="str">
        <f ca="1">IFERROR(__xludf.DUMMYFUNCTION("GOOGLETRANSLATE(C101,""es"",""en"")"),"#VALUE!")</f>
        <v>#VALUE!</v>
      </c>
    </row>
    <row r="102" spans="1:5" ht="13.2" x14ac:dyDescent="0.25">
      <c r="A102" t="s">
        <v>229</v>
      </c>
      <c r="B102" t="s">
        <v>230</v>
      </c>
      <c r="C102" t="s">
        <v>231</v>
      </c>
      <c r="D102" t="str">
        <f ca="1">IFERROR(__xludf.DUMMYFUNCTION("GOOGLETRANSLATE(B102,""es"",""en"")"),"Stain")</f>
        <v>Stain</v>
      </c>
      <c r="E102" t="str">
        <f ca="1">IFERROR(__xludf.DUMMYFUNCTION("GOOGLETRANSLATE(C102,""es"",""en"")"),"Shadow, Cacha ,,,")</f>
        <v>Shadow, Cacha ,,,</v>
      </c>
    </row>
    <row r="103" spans="1:5" ht="13.2" x14ac:dyDescent="0.25">
      <c r="A103" t="s">
        <v>232</v>
      </c>
      <c r="B103" t="s">
        <v>233</v>
      </c>
      <c r="C103" t="s">
        <v>234</v>
      </c>
      <c r="D103" t="str">
        <f ca="1">IFERROR(__xludf.DUMMYFUNCTION("GOOGLETRANSLATE(B103,""es"",""en"")"),"Purple")</f>
        <v>Purple</v>
      </c>
      <c r="E103" t="str">
        <f ca="1">IFERROR(__xludf.DUMMYFUNCTION("GOOGLETRANSLATE(C103,""es"",""en"")"),"Dark, , , ,")</f>
        <v>Dark, , , ,</v>
      </c>
    </row>
    <row r="104" spans="1:5" ht="13.2" x14ac:dyDescent="0.25">
      <c r="A104" t="s">
        <v>235</v>
      </c>
      <c r="B104" t="s">
        <v>43</v>
      </c>
      <c r="D104" t="str">
        <f ca="1">IFERROR(__xludf.DUMMYFUNCTION("GOOGLETRANSLATE(B104,""es"",""en"")"),"Start")</f>
        <v>Start</v>
      </c>
      <c r="E104" t="str">
        <f ca="1">IFERROR(__xludf.DUMMYFUNCTION("GOOGLETRANSLATE(C104,""es"",""en"")"),"#VALUE!")</f>
        <v>#VALUE!</v>
      </c>
    </row>
    <row r="105" spans="1:5" ht="13.2" x14ac:dyDescent="0.25">
      <c r="A105" t="s">
        <v>236</v>
      </c>
      <c r="B105" t="s">
        <v>43</v>
      </c>
      <c r="C105" t="s">
        <v>237</v>
      </c>
      <c r="D105" t="str">
        <f ca="1">IFERROR(__xludf.DUMMYFUNCTION("GOOGLETRANSLATE(B105,""es"",""en"")"),"Start")</f>
        <v>Start</v>
      </c>
      <c r="E105" t="str">
        <f ca="1">IFERROR(__xludf.DUMMYFUNCTION("GOOGLETRANSLATE(C105,""es"",""en"")"),"Introduction, , , ,")</f>
        <v>Introduction, , , ,</v>
      </c>
    </row>
    <row r="106" spans="1:5" ht="13.2" x14ac:dyDescent="0.25">
      <c r="A106" t="s">
        <v>238</v>
      </c>
      <c r="B106" t="s">
        <v>239</v>
      </c>
      <c r="C106" t="s">
        <v>240</v>
      </c>
      <c r="D106" t="str">
        <f ca="1">IFERROR(__xludf.DUMMYFUNCTION("GOOGLETRANSLATE(B106,""es"",""en"")"),"This")</f>
        <v>This</v>
      </c>
      <c r="E106" t="str">
        <f ca="1">IFERROR(__xludf.DUMMYFUNCTION("GOOGLETRANSLATE(C106,""es"",""en"")"),"This is present, lives ,,,,")</f>
        <v>This is present, lives ,,,,</v>
      </c>
    </row>
    <row r="107" spans="1:5" ht="13.2" x14ac:dyDescent="0.25">
      <c r="A107" t="s">
        <v>241</v>
      </c>
      <c r="B107" t="s">
        <v>242</v>
      </c>
      <c r="D107" t="str">
        <f ca="1">IFERROR(__xludf.DUMMYFUNCTION("GOOGLETRANSLATE(B107,""es"",""en"")"),"Shoulder")</f>
        <v>Shoulder</v>
      </c>
      <c r="E107" t="str">
        <f ca="1">IFERROR(__xludf.DUMMYFUNCTION("GOOGLETRANSLATE(C107,""es"",""en"")"),"#VALUE!")</f>
        <v>#VALUE!</v>
      </c>
    </row>
    <row r="108" spans="1:5" ht="13.2" x14ac:dyDescent="0.25">
      <c r="A108" t="s">
        <v>243</v>
      </c>
      <c r="B108" t="s">
        <v>244</v>
      </c>
      <c r="C108" t="s">
        <v>245</v>
      </c>
      <c r="D108" t="str">
        <f ca="1">IFERROR(__xludf.DUMMYFUNCTION("GOOGLETRANSLATE(B108,""es"",""en"")"),"Plane")</f>
        <v>Plane</v>
      </c>
      <c r="E108" t="str">
        <f ca="1">IFERROR(__xludf.DUMMYFUNCTION("GOOGLETRANSLATE(C108,""es"",""en"")"),"Aircraft ,,,,")</f>
        <v>Aircraft ,,,,</v>
      </c>
    </row>
    <row r="109" spans="1:5" ht="13.2" x14ac:dyDescent="0.25">
      <c r="A109" t="s">
        <v>246</v>
      </c>
      <c r="B109" t="s">
        <v>244</v>
      </c>
      <c r="C109" t="s">
        <v>245</v>
      </c>
      <c r="D109" t="str">
        <f ca="1">IFERROR(__xludf.DUMMYFUNCTION("GOOGLETRANSLATE(B109,""es"",""en"")"),"Plane")</f>
        <v>Plane</v>
      </c>
      <c r="E109" t="str">
        <f ca="1">IFERROR(__xludf.DUMMYFUNCTION("GOOGLETRANSLATE(C109,""es"",""en"")"),"Aircraft ,,,,")</f>
        <v>Aircraft ,,,,</v>
      </c>
    </row>
    <row r="110" spans="1:5" ht="13.2" x14ac:dyDescent="0.25">
      <c r="A110" t="s">
        <v>247</v>
      </c>
      <c r="B110" t="s">
        <v>248</v>
      </c>
      <c r="D110" t="str">
        <f ca="1">IFERROR(__xludf.DUMMYFUNCTION("GOOGLETRANSLATE(B110,""es"",""en"")"),"Airport")</f>
        <v>Airport</v>
      </c>
      <c r="E110" t="str">
        <f ca="1">IFERROR(__xludf.DUMMYFUNCTION("GOOGLETRANSLATE(C110,""es"",""en"")"),"#VALUE!")</f>
        <v>#VALUE!</v>
      </c>
    </row>
    <row r="111" spans="1:5" ht="13.2" x14ac:dyDescent="0.25">
      <c r="A111" t="s">
        <v>249</v>
      </c>
      <c r="B111" t="s">
        <v>248</v>
      </c>
      <c r="C111" t="s">
        <v>250</v>
      </c>
      <c r="D111" t="str">
        <f ca="1">IFERROR(__xludf.DUMMYFUNCTION("GOOGLETRANSLATE(B111,""es"",""en"")"),"Airport")</f>
        <v>Airport</v>
      </c>
      <c r="E111" t="str">
        <f ca="1">IFERROR(__xludf.DUMMYFUNCTION("GOOGLETRANSLATE(C111,""es"",""en"")"),"Landing track, , , ,")</f>
        <v>Landing track, , , ,</v>
      </c>
    </row>
    <row r="112" spans="1:5" ht="13.2" x14ac:dyDescent="0.25">
      <c r="A112" t="s">
        <v>251</v>
      </c>
      <c r="B112" t="s">
        <v>252</v>
      </c>
      <c r="D112" t="str">
        <f ca="1">IFERROR(__xludf.DUMMYFUNCTION("GOOGLETRANSLATE(B112,""es"",""en"")"),"Half")</f>
        <v>Half</v>
      </c>
      <c r="E112" t="str">
        <f ca="1">IFERROR(__xludf.DUMMYFUNCTION("GOOGLETRANSLATE(C112,""es"",""en"")"),"#VALUE!")</f>
        <v>#VALUE!</v>
      </c>
    </row>
    <row r="113" spans="1:5" ht="13.2" x14ac:dyDescent="0.25">
      <c r="A113" t="s">
        <v>253</v>
      </c>
      <c r="B113" t="s">
        <v>254</v>
      </c>
      <c r="D113" t="str">
        <f ca="1">IFERROR(__xludf.DUMMYFUNCTION("GOOGLETRANSLATE(B113,""es"",""en"")"),"Smooth stone for therapy")</f>
        <v>Smooth stone for therapy</v>
      </c>
      <c r="E113" t="str">
        <f ca="1">IFERROR(__xludf.DUMMYFUNCTION("GOOGLETRANSLATE(C113,""es"",""en"")"),"#VALUE!")</f>
        <v>#VALUE!</v>
      </c>
    </row>
    <row r="114" spans="1:5" ht="13.2" x14ac:dyDescent="0.25">
      <c r="A114" t="s">
        <v>255</v>
      </c>
      <c r="B114" t="s">
        <v>256</v>
      </c>
      <c r="C114" t="s">
        <v>257</v>
      </c>
      <c r="D114" t="str">
        <f ca="1">IFERROR(__xludf.DUMMYFUNCTION("GOOGLETRANSLATE(B114,""es"",""en"")"),"Fly")</f>
        <v>Fly</v>
      </c>
      <c r="E114" t="str">
        <f ca="1">IFERROR(__xludf.DUMMYFUNCTION("GOOGLETRANSLATE(C114,""es"",""en"")"),"Rise, fly over ,,,,")</f>
        <v>Rise, fly over ,,,,</v>
      </c>
    </row>
    <row r="115" spans="1:5" ht="13.2" x14ac:dyDescent="0.25">
      <c r="A115" t="s">
        <v>258</v>
      </c>
      <c r="B115" t="s">
        <v>259</v>
      </c>
      <c r="D115" t="str">
        <f ca="1">IFERROR(__xludf.DUMMYFUNCTION("GOOGLETRANSLATE(B115,""es"",""en"")"),"Fly")</f>
        <v>Fly</v>
      </c>
      <c r="E115" t="str">
        <f ca="1">IFERROR(__xludf.DUMMYFUNCTION("GOOGLETRANSLATE(C115,""es"",""en"")"),"#VALUE!")</f>
        <v>#VALUE!</v>
      </c>
    </row>
    <row r="116" spans="1:5" ht="13.2" x14ac:dyDescent="0.25">
      <c r="A116" t="s">
        <v>260</v>
      </c>
      <c r="B116" t="s">
        <v>261</v>
      </c>
      <c r="C116" t="s">
        <v>262</v>
      </c>
      <c r="D116" t="str">
        <f ca="1">IFERROR(__xludf.DUMMYFUNCTION("GOOGLETRANSLATE(B116,""es"",""en"")"),"Mole")</f>
        <v>Mole</v>
      </c>
      <c r="E116" t="str">
        <f ca="1">IFERROR(__xludf.DUMMYFUNCTION("GOOGLETRANSLATE(C116,""es"",""en"")"),"Peca ,,,,")</f>
        <v>Peca ,,,,</v>
      </c>
    </row>
    <row r="117" spans="1:5" ht="13.2" x14ac:dyDescent="0.25">
      <c r="A117" t="s">
        <v>263</v>
      </c>
      <c r="B117" t="s">
        <v>261</v>
      </c>
      <c r="C117" t="s">
        <v>262</v>
      </c>
      <c r="D117" t="str">
        <f ca="1">IFERROR(__xludf.DUMMYFUNCTION("GOOGLETRANSLATE(B117,""es"",""en"")"),"Mole")</f>
        <v>Mole</v>
      </c>
      <c r="E117" t="str">
        <f ca="1">IFERROR(__xludf.DUMMYFUNCTION("GOOGLETRANSLATE(C117,""es"",""en"")"),"Peca ,,,,")</f>
        <v>Peca ,,,,</v>
      </c>
    </row>
    <row r="118" spans="1:5" ht="13.2" x14ac:dyDescent="0.25">
      <c r="A118" t="s">
        <v>264</v>
      </c>
      <c r="B118" t="s">
        <v>265</v>
      </c>
      <c r="C118" t="s">
        <v>266</v>
      </c>
      <c r="D118" t="str">
        <f ca="1">IFERROR(__xludf.DUMMYFUNCTION("GOOGLETRANSLATE(B118,""es"",""en"")"),"Burned")</f>
        <v>Burned</v>
      </c>
      <c r="E118" t="str">
        <f ca="1">IFERROR(__xludf.DUMMYFUNCTION("GOOGLETRANSLATE(C118,""es"",""en"")"),"Toasted, , , ,")</f>
        <v>Toasted, , , ,</v>
      </c>
    </row>
    <row r="119" spans="1:5" ht="13.2" x14ac:dyDescent="0.25">
      <c r="A119" t="s">
        <v>267</v>
      </c>
      <c r="B119" t="s">
        <v>268</v>
      </c>
      <c r="D119" t="str">
        <f ca="1">IFERROR(__xludf.DUMMYFUNCTION("GOOGLETRANSLATE(B119,""es"",""en"")"),"Panama and Colombia Little Site")</f>
        <v>Panama and Colombia Little Site</v>
      </c>
      <c r="E119" t="str">
        <f ca="1">IFERROR(__xludf.DUMMYFUNCTION("GOOGLETRANSLATE(C119,""es"",""en"")"),"#VALUE!")</f>
        <v>#VALUE!</v>
      </c>
    </row>
    <row r="120" spans="1:5" ht="13.2" x14ac:dyDescent="0.25">
      <c r="A120" t="s">
        <v>269</v>
      </c>
      <c r="B120" t="s">
        <v>270</v>
      </c>
      <c r="D120" t="str">
        <f ca="1">IFERROR(__xludf.DUMMYFUNCTION("GOOGLETRANSLATE(B120,""es"",""en"")"),"Panamà and Colombia Limit site")</f>
        <v>Panamà and Colombia Limit site</v>
      </c>
      <c r="E120" t="str">
        <f ca="1">IFERROR(__xludf.DUMMYFUNCTION("GOOGLETRANSLATE(C120,""es"",""en"")"),"#VALUE!")</f>
        <v>#VALUE!</v>
      </c>
    </row>
    <row r="121" spans="1:5" ht="13.2" x14ac:dyDescent="0.25">
      <c r="A121" t="s">
        <v>271</v>
      </c>
      <c r="B121" t="s">
        <v>272</v>
      </c>
      <c r="C121" t="s">
        <v>273</v>
      </c>
      <c r="D121" t="str">
        <f ca="1">IFERROR(__xludf.DUMMYFUNCTION("GOOGLETRANSLATE(B121,""es"",""en"")"),"Tie")</f>
        <v>Tie</v>
      </c>
      <c r="E121" t="str">
        <f ca="1">IFERROR(__xludf.DUMMYFUNCTION("GOOGLETRANSLATE(C121,""es"",""en"")"),"Tie up, hold ,,,,")</f>
        <v>Tie up, hold ,,,,</v>
      </c>
    </row>
    <row r="122" spans="1:5" ht="13.2" x14ac:dyDescent="0.25">
      <c r="A122" t="s">
        <v>274</v>
      </c>
      <c r="B122" t="s">
        <v>275</v>
      </c>
      <c r="C122" t="s">
        <v>276</v>
      </c>
      <c r="D122" t="str">
        <f ca="1">IFERROR(__xludf.DUMMYFUNCTION("GOOGLETRANSLATE(B122,""es"",""en"")"),"Thick flute")</f>
        <v>Thick flute</v>
      </c>
      <c r="E122" t="str">
        <f ca="1">IFERROR(__xludf.DUMMYFUNCTION("GOOGLETRANSLATE(C122,""es"",""en"")"),"Musical instrument, , , ,")</f>
        <v>Musical instrument, , , ,</v>
      </c>
    </row>
    <row r="123" spans="1:5" ht="13.2" x14ac:dyDescent="0.25">
      <c r="A123" t="s">
        <v>277</v>
      </c>
      <c r="B123" t="s">
        <v>278</v>
      </c>
      <c r="C123" t="s">
        <v>279</v>
      </c>
      <c r="D123" t="str">
        <f ca="1">IFERROR(__xludf.DUMMYFUNCTION("GOOGLETRANSLATE(B123,""es"",""en"")"),"Dented")</f>
        <v>Dented</v>
      </c>
      <c r="E123" t="str">
        <f ca="1">IFERROR(__xludf.DUMMYFUNCTION("GOOGLETRANSLATE(C123,""es"",""en"")"),"Machacado, asthma ,,,")</f>
        <v>Machacado, asthma ,,,</v>
      </c>
    </row>
    <row r="124" spans="1:5" ht="13.2" x14ac:dyDescent="0.25">
      <c r="A124" t="s">
        <v>280</v>
      </c>
      <c r="B124" t="s">
        <v>254</v>
      </c>
      <c r="D124" t="str">
        <f ca="1">IFERROR(__xludf.DUMMYFUNCTION("GOOGLETRANSLATE(B124,""es"",""en"")"),"Smooth stone for therapy")</f>
        <v>Smooth stone for therapy</v>
      </c>
      <c r="E124" t="str">
        <f ca="1">IFERROR(__xludf.DUMMYFUNCTION("GOOGLETRANSLATE(C124,""es"",""en"")"),"#VALUE!")</f>
        <v>#VALUE!</v>
      </c>
    </row>
    <row r="125" spans="1:5" ht="13.2" x14ac:dyDescent="0.25">
      <c r="A125" t="s">
        <v>281</v>
      </c>
      <c r="B125" t="s">
        <v>282</v>
      </c>
      <c r="D125" t="str">
        <f ca="1">IFERROR(__xludf.DUMMYFUNCTION("GOOGLETRANSLATE(B125,""es"",""en"")"),"Burn")</f>
        <v>Burn</v>
      </c>
      <c r="E125" t="str">
        <f ca="1">IFERROR(__xludf.DUMMYFUNCTION("GOOGLETRANSLATE(C125,""es"",""en"")"),"#VALUE!")</f>
        <v>#VALUE!</v>
      </c>
    </row>
    <row r="126" spans="1:5" ht="13.2" x14ac:dyDescent="0.25">
      <c r="A126" t="s">
        <v>283</v>
      </c>
      <c r="B126" t="s">
        <v>284</v>
      </c>
      <c r="D126" t="str">
        <f ca="1">IFERROR(__xludf.DUMMYFUNCTION("GOOGLETRANSLATE(B126,""es"",""en"")"),"Person belonging to the guna people")</f>
        <v>Person belonging to the guna people</v>
      </c>
      <c r="E126" t="str">
        <f ca="1">IFERROR(__xludf.DUMMYFUNCTION("GOOGLETRANSLATE(C126,""es"",""en"")"),"#VALUE!")</f>
        <v>#VALUE!</v>
      </c>
    </row>
    <row r="127" spans="1:5" ht="13.2" x14ac:dyDescent="0.25">
      <c r="A127" t="s">
        <v>285</v>
      </c>
      <c r="B127" t="s">
        <v>284</v>
      </c>
      <c r="D127" t="str">
        <f ca="1">IFERROR(__xludf.DUMMYFUNCTION("GOOGLETRANSLATE(B127,""es"",""en"")"),"Person belonging to the guna people")</f>
        <v>Person belonging to the guna people</v>
      </c>
      <c r="E127" t="str">
        <f ca="1">IFERROR(__xludf.DUMMYFUNCTION("GOOGLETRANSLATE(C127,""es"",""en"")"),"#VALUE!")</f>
        <v>#VALUE!</v>
      </c>
    </row>
    <row r="128" spans="1:5" ht="13.2" x14ac:dyDescent="0.25">
      <c r="A128" t="s">
        <v>286</v>
      </c>
      <c r="B128" t="s">
        <v>287</v>
      </c>
      <c r="D128" t="str">
        <f ca="1">IFERROR(__xludf.DUMMYFUNCTION("GOOGLETRANSLATE(B128,""es"",""en"")"),"Gunayala flag")</f>
        <v>Gunayala flag</v>
      </c>
      <c r="E128" t="str">
        <f ca="1">IFERROR(__xludf.DUMMYFUNCTION("GOOGLETRANSLATE(C128,""es"",""en"")"),"#VALUE!")</f>
        <v>#VALUE!</v>
      </c>
    </row>
    <row r="129" spans="1:5" ht="13.2" x14ac:dyDescent="0.25">
      <c r="A129" t="s">
        <v>288</v>
      </c>
      <c r="B129" t="s">
        <v>289</v>
      </c>
      <c r="D129" t="str">
        <f ca="1">IFERROR(__xludf.DUMMYFUNCTION("GOOGLETRANSLATE(B129,""es"",""en"")"),"Guna flag")</f>
        <v>Guna flag</v>
      </c>
      <c r="E129" t="str">
        <f ca="1">IFERROR(__xludf.DUMMYFUNCTION("GOOGLETRANSLATE(C129,""es"",""en"")"),"#VALUE!")</f>
        <v>#VALUE!</v>
      </c>
    </row>
    <row r="130" spans="1:5" ht="13.2" x14ac:dyDescent="0.25">
      <c r="A130" t="s">
        <v>290</v>
      </c>
      <c r="B130" t="s">
        <v>287</v>
      </c>
      <c r="D130" t="str">
        <f ca="1">IFERROR(__xludf.DUMMYFUNCTION("GOOGLETRANSLATE(B130,""es"",""en"")"),"Gunayala flag")</f>
        <v>Gunayala flag</v>
      </c>
      <c r="E130" t="str">
        <f ca="1">IFERROR(__xludf.DUMMYFUNCTION("GOOGLETRANSLATE(C130,""es"",""en"")"),"#VALUE!")</f>
        <v>#VALUE!</v>
      </c>
    </row>
    <row r="131" spans="1:5" ht="13.2" x14ac:dyDescent="0.25">
      <c r="A131" t="s">
        <v>291</v>
      </c>
      <c r="B131" t="s">
        <v>292</v>
      </c>
      <c r="C131" t="s">
        <v>293</v>
      </c>
      <c r="D131" t="str">
        <f ca="1">IFERROR(__xludf.DUMMYFUNCTION("GOOGLETRANSLATE(B131,""es"",""en"")"),"Action that occurs")</f>
        <v>Action that occurs</v>
      </c>
      <c r="E131" t="str">
        <f ca="1">IFERROR(__xludf.DUMMYFUNCTION("GOOGLETRANSLATE(C131,""es"",""en"")"),"Present time, , , ,")</f>
        <v>Present time, , , ,</v>
      </c>
    </row>
    <row r="132" spans="1:5" ht="13.2" x14ac:dyDescent="0.25">
      <c r="A132" t="s">
        <v>294</v>
      </c>
      <c r="B132" t="s">
        <v>295</v>
      </c>
      <c r="C132" t="s">
        <v>296</v>
      </c>
      <c r="D132" t="str">
        <f ca="1">IFERROR(__xludf.DUMMYFUNCTION("GOOGLETRANSLATE(B132,""es"",""en"")"),"Gunas territory")</f>
        <v>Gunas territory</v>
      </c>
      <c r="E132" t="str">
        <f ca="1">IFERROR(__xludf.DUMMYFUNCTION("GOOGLETRANSLATE(C132,""es"",""en"")"),"Guna region ,,,,")</f>
        <v>Guna region ,,,,</v>
      </c>
    </row>
    <row r="133" spans="1:5" ht="13.2" x14ac:dyDescent="0.25">
      <c r="A133" t="s">
        <v>297</v>
      </c>
      <c r="B133" t="s">
        <v>298</v>
      </c>
      <c r="D133" t="str">
        <f ca="1">IFERROR(__xludf.DUMMYFUNCTION("GOOGLETRANSLATE(B133,""es"",""en"")"),"Drown")</f>
        <v>Drown</v>
      </c>
      <c r="E133" t="str">
        <f ca="1">IFERROR(__xludf.DUMMYFUNCTION("GOOGLETRANSLATE(C133,""es"",""en"")"),"#VALUE!")</f>
        <v>#VALUE!</v>
      </c>
    </row>
    <row r="134" spans="1:5" ht="13.2" x14ac:dyDescent="0.25">
      <c r="A134" t="s">
        <v>299</v>
      </c>
      <c r="B134" t="s">
        <v>298</v>
      </c>
      <c r="D134" t="str">
        <f ca="1">IFERROR(__xludf.DUMMYFUNCTION("GOOGLETRANSLATE(B134,""es"",""en"")"),"Drown")</f>
        <v>Drown</v>
      </c>
      <c r="E134" t="str">
        <f ca="1">IFERROR(__xludf.DUMMYFUNCTION("GOOGLETRANSLATE(C134,""es"",""en"")"),"#VALUE!")</f>
        <v>#VALUE!</v>
      </c>
    </row>
    <row r="135" spans="1:5" ht="13.2" x14ac:dyDescent="0.25">
      <c r="A135" t="s">
        <v>300</v>
      </c>
      <c r="B135" t="s">
        <v>301</v>
      </c>
      <c r="D135" t="str">
        <f ca="1">IFERROR(__xludf.DUMMYFUNCTION("GOOGLETRANSLATE(B135,""es"",""en"")"),"Millstone")</f>
        <v>Millstone</v>
      </c>
      <c r="E135" t="str">
        <f ca="1">IFERROR(__xludf.DUMMYFUNCTION("GOOGLETRANSLATE(C135,""es"",""en"")"),"#VALUE!")</f>
        <v>#VALUE!</v>
      </c>
    </row>
    <row r="136" spans="1:5" ht="13.2" x14ac:dyDescent="0.25">
      <c r="A136" t="s">
        <v>302</v>
      </c>
      <c r="B136" t="s">
        <v>298</v>
      </c>
      <c r="D136" t="str">
        <f ca="1">IFERROR(__xludf.DUMMYFUNCTION("GOOGLETRANSLATE(B136,""es"",""en"")"),"Drown")</f>
        <v>Drown</v>
      </c>
      <c r="E136" t="str">
        <f ca="1">IFERROR(__xludf.DUMMYFUNCTION("GOOGLETRANSLATE(C136,""es"",""en"")"),"#VALUE!")</f>
        <v>#VALUE!</v>
      </c>
    </row>
    <row r="137" spans="1:5" ht="13.2" x14ac:dyDescent="0.25">
      <c r="A137" t="s">
        <v>303</v>
      </c>
      <c r="B137" t="s">
        <v>304</v>
      </c>
      <c r="D137" t="str">
        <f ca="1">IFERROR(__xludf.DUMMYFUNCTION("GOOGLETRANSLATE(B137,""es"",""en"")"),"Gold")</f>
        <v>Gold</v>
      </c>
      <c r="E137" t="str">
        <f ca="1">IFERROR(__xludf.DUMMYFUNCTION("GOOGLETRANSLATE(C137,""es"",""en"")"),"#VALUE!")</f>
        <v>#VALUE!</v>
      </c>
    </row>
    <row r="138" spans="1:5" ht="13.2" x14ac:dyDescent="0.25">
      <c r="A138" t="s">
        <v>305</v>
      </c>
      <c r="B138" t="s">
        <v>304</v>
      </c>
      <c r="D138" t="str">
        <f ca="1">IFERROR(__xludf.DUMMYFUNCTION("GOOGLETRANSLATE(B138,""es"",""en"")"),"Gold")</f>
        <v>Gold</v>
      </c>
      <c r="E138" t="str">
        <f ca="1">IFERROR(__xludf.DUMMYFUNCTION("GOOGLETRANSLATE(C138,""es"",""en"")"),"#VALUE!")</f>
        <v>#VALUE!</v>
      </c>
    </row>
    <row r="139" spans="1:5" ht="13.2" x14ac:dyDescent="0.25">
      <c r="A139" t="s">
        <v>306</v>
      </c>
      <c r="B139" t="s">
        <v>304</v>
      </c>
      <c r="D139" t="str">
        <f ca="1">IFERROR(__xludf.DUMMYFUNCTION("GOOGLETRANSLATE(B139,""es"",""en"")"),"Gold")</f>
        <v>Gold</v>
      </c>
      <c r="E139" t="str">
        <f ca="1">IFERROR(__xludf.DUMMYFUNCTION("GOOGLETRANSLATE(C139,""es"",""en"")"),"#VALUE!")</f>
        <v>#VALUE!</v>
      </c>
    </row>
    <row r="140" spans="1:5" ht="13.2" x14ac:dyDescent="0.25">
      <c r="A140" t="s">
        <v>307</v>
      </c>
      <c r="B140" t="s">
        <v>308</v>
      </c>
      <c r="C140" t="s">
        <v>309</v>
      </c>
      <c r="D140" t="str">
        <f ca="1">IFERROR(__xludf.DUMMYFUNCTION("GOOGLETRANSLATE(B140,""es"",""en"")"),"Bite")</f>
        <v>Bite</v>
      </c>
      <c r="E140" t="str">
        <f ca="1">IFERROR(__xludf.DUMMYFUNCTION("GOOGLETRANSLATE(C140,""es"",""en"")"),"Chew, mumiscar ,,,,")</f>
        <v>Chew, mumiscar ,,,,</v>
      </c>
    </row>
    <row r="141" spans="1:5" ht="13.2" x14ac:dyDescent="0.25">
      <c r="A141" t="s">
        <v>310</v>
      </c>
      <c r="B141" t="s">
        <v>311</v>
      </c>
      <c r="C141" t="s">
        <v>312</v>
      </c>
      <c r="D141" t="str">
        <f ca="1">IFERROR(__xludf.DUMMYFUNCTION("GOOGLETRANSLATE(B141,""es"",""en"")"),"Action to be performed")</f>
        <v>Action to be performed</v>
      </c>
      <c r="E141" t="str">
        <f ca="1">IFERROR(__xludf.DUMMYFUNCTION("GOOGLETRANSLATE(C141,""es"",""en"")"),"Future time, , , ,")</f>
        <v>Future time, , , ,</v>
      </c>
    </row>
    <row r="142" spans="1:5" ht="13.2" x14ac:dyDescent="0.25">
      <c r="A142" t="s">
        <v>313</v>
      </c>
      <c r="B142" t="s">
        <v>314</v>
      </c>
      <c r="D142" t="str">
        <f ca="1">IFERROR(__xludf.DUMMYFUNCTION("GOOGLETRANSLATE(B142,""es"",""en"")"),"Hat")</f>
        <v>Hat</v>
      </c>
      <c r="E142" t="str">
        <f ca="1">IFERROR(__xludf.DUMMYFUNCTION("GOOGLETRANSLATE(C142,""es"",""en"")"),"#VALUE!")</f>
        <v>#VALUE!</v>
      </c>
    </row>
    <row r="143" spans="1:5" ht="13.2" x14ac:dyDescent="0.25">
      <c r="A143" t="s">
        <v>315</v>
      </c>
      <c r="B143" t="s">
        <v>316</v>
      </c>
      <c r="D143" t="str">
        <f ca="1">IFERROR(__xludf.DUMMYFUNCTION("GOOGLETRANSLATE(B143,""es"",""en"")"),"Beret")</f>
        <v>Beret</v>
      </c>
      <c r="E143" t="str">
        <f ca="1">IFERROR(__xludf.DUMMYFUNCTION("GOOGLETRANSLATE(C143,""es"",""en"")"),"#VALUE!")</f>
        <v>#VALUE!</v>
      </c>
    </row>
    <row r="144" spans="1:5" ht="13.2" x14ac:dyDescent="0.25">
      <c r="A144" t="s">
        <v>317</v>
      </c>
      <c r="B144" t="s">
        <v>318</v>
      </c>
      <c r="D144" t="str">
        <f ca="1">IFERROR(__xludf.DUMMYFUNCTION("GOOGLETRANSLATE(B144,""es"",""en"")"),"Kind of pumpkin")</f>
        <v>Kind of pumpkin</v>
      </c>
      <c r="E144" t="str">
        <f ca="1">IFERROR(__xludf.DUMMYFUNCTION("GOOGLETRANSLATE(C144,""es"",""en"")"),"#VALUE!")</f>
        <v>#VALUE!</v>
      </c>
    </row>
    <row r="145" spans="1:5" ht="13.2" x14ac:dyDescent="0.25">
      <c r="A145" t="s">
        <v>319</v>
      </c>
      <c r="B145" t="s">
        <v>320</v>
      </c>
      <c r="D145" t="str">
        <f ca="1">IFERROR(__xludf.DUMMYFUNCTION("GOOGLETRANSLATE(B145,""es"",""en"")"),"Candelilla ant")</f>
        <v>Candelilla ant</v>
      </c>
      <c r="E145" t="str">
        <f ca="1">IFERROR(__xludf.DUMMYFUNCTION("GOOGLETRANSLATE(C145,""es"",""en"")"),"#VALUE!")</f>
        <v>#VALUE!</v>
      </c>
    </row>
    <row r="146" spans="1:5" ht="13.2" x14ac:dyDescent="0.25">
      <c r="A146" t="s">
        <v>321</v>
      </c>
      <c r="B146" t="s">
        <v>322</v>
      </c>
      <c r="C146" t="s">
        <v>323</v>
      </c>
      <c r="D146" t="str">
        <f ca="1">IFERROR(__xludf.DUMMYFUNCTION("GOOGLETRANSLATE(B146,""es"",""en"")"),"Gravel")</f>
        <v>Gravel</v>
      </c>
      <c r="E146" t="str">
        <f ca="1">IFERROR(__xludf.DUMMYFUNCTION("GOOGLETRANSLATE(C146,""es"",""en"")"),"Cascajo ,,,,")</f>
        <v>Cascajo ,,,,</v>
      </c>
    </row>
    <row r="147" spans="1:5" ht="13.2" x14ac:dyDescent="0.25">
      <c r="A147" t="s">
        <v>324</v>
      </c>
      <c r="B147" t="s">
        <v>325</v>
      </c>
      <c r="C147" t="s">
        <v>326</v>
      </c>
      <c r="D147" t="str">
        <f ca="1">IFERROR(__xludf.DUMMYFUNCTION("GOOGLETRANSLATE(B147,""es"",""en"")"),"What was done")</f>
        <v>What was done</v>
      </c>
      <c r="E147" t="str">
        <f ca="1">IFERROR(__xludf.DUMMYFUNCTION("GOOGLETRANSLATE(C147,""es"",""en"")"),"Past action, past time ,,,")</f>
        <v>Past action, past time ,,,</v>
      </c>
    </row>
    <row r="148" spans="1:5" ht="13.2" x14ac:dyDescent="0.25">
      <c r="A148" t="s">
        <v>327</v>
      </c>
      <c r="B148" t="s">
        <v>328</v>
      </c>
      <c r="C148" t="s">
        <v>329</v>
      </c>
      <c r="D148" t="str">
        <f ca="1">IFERROR(__xludf.DUMMYFUNCTION("GOOGLETRANSLATE(B148,""es"",""en"")"),"See you later")</f>
        <v>See you later</v>
      </c>
      <c r="E148" t="str">
        <f ca="1">IFERROR(__xludf.DUMMYFUNCTION("GOOGLETRANSLATE(C148,""es"",""en"")"),"Within a while ,,,,")</f>
        <v>Within a while ,,,,</v>
      </c>
    </row>
    <row r="149" spans="1:5" ht="13.2" x14ac:dyDescent="0.25">
      <c r="A149" t="s">
        <v>330</v>
      </c>
      <c r="B149" t="s">
        <v>331</v>
      </c>
      <c r="C149" t="s">
        <v>329</v>
      </c>
      <c r="D149" t="s">
        <v>332</v>
      </c>
      <c r="E149" t="str">
        <f ca="1">IFERROR(__xludf.DUMMYFUNCTION("GOOGLETRANSLATE(C149,""es"",""en"")"),"Within a while ,,,,")</f>
        <v>Within a while ,,,,</v>
      </c>
    </row>
    <row r="150" spans="1:5" ht="13.2" x14ac:dyDescent="0.25">
      <c r="A150" t="s">
        <v>333</v>
      </c>
      <c r="B150" t="s">
        <v>328</v>
      </c>
      <c r="D150" t="str">
        <f ca="1">IFERROR(__xludf.DUMMYFUNCTION("GOOGLETRANSLATE(B150,""es"",""en"")"),"See you later")</f>
        <v>See you later</v>
      </c>
      <c r="E150" t="str">
        <f ca="1">IFERROR(__xludf.DUMMYFUNCTION("GOOGLETRANSLATE(C150,""es"",""en"")"),"#VALUE!")</f>
        <v>#VALUE!</v>
      </c>
    </row>
    <row r="151" spans="1:5" ht="13.2" x14ac:dyDescent="0.25">
      <c r="A151" t="s">
        <v>334</v>
      </c>
      <c r="B151" t="s">
        <v>335</v>
      </c>
      <c r="D151" t="str">
        <f ca="1">IFERROR(__xludf.DUMMYFUNCTION("GOOGLETRANSLATE(B151,""es"",""en"")"),"Passion fruit")</f>
        <v>Passion fruit</v>
      </c>
      <c r="E151" t="str">
        <f ca="1">IFERROR(__xludf.DUMMYFUNCTION("GOOGLETRANSLATE(C151,""es"",""en"")"),"#VALUE!")</f>
        <v>#VALUE!</v>
      </c>
    </row>
    <row r="152" spans="1:5" ht="13.2" x14ac:dyDescent="0.25">
      <c r="A152" t="s">
        <v>336</v>
      </c>
      <c r="B152" t="s">
        <v>335</v>
      </c>
      <c r="D152" t="str">
        <f ca="1">IFERROR(__xludf.DUMMYFUNCTION("GOOGLETRANSLATE(B152,""es"",""en"")"),"Passion fruit")</f>
        <v>Passion fruit</v>
      </c>
      <c r="E152" t="str">
        <f ca="1">IFERROR(__xludf.DUMMYFUNCTION("GOOGLETRANSLATE(C152,""es"",""en"")"),"#VALUE!")</f>
        <v>#VALUE!</v>
      </c>
    </row>
    <row r="153" spans="1:5" ht="13.2" x14ac:dyDescent="0.25">
      <c r="A153" t="s">
        <v>337</v>
      </c>
      <c r="B153" t="s">
        <v>338</v>
      </c>
      <c r="C153" t="s">
        <v>339</v>
      </c>
      <c r="D153" t="str">
        <f ca="1">IFERROR(__xludf.DUMMYFUNCTION("GOOGLETRANSLATE(B153,""es"",""en"")"),"Routine")</f>
        <v>Routine</v>
      </c>
      <c r="E153" t="str">
        <f ca="1">IFERROR(__xludf.DUMMYFUNCTION("GOOGLETRANSLATE(C153,""es"",""en"")"),"Always, when it was done ,,,,")</f>
        <v>Always, when it was done ,,,,</v>
      </c>
    </row>
    <row r="154" spans="1:5" ht="13.2" x14ac:dyDescent="0.25">
      <c r="A154" t="s">
        <v>340</v>
      </c>
      <c r="B154" t="s">
        <v>341</v>
      </c>
      <c r="C154" t="s">
        <v>342</v>
      </c>
      <c r="D154" t="str">
        <f ca="1">IFERROR(__xludf.DUMMYFUNCTION("GOOGLETRANSLATE(B154,""es"",""en"")"),"Louse")</f>
        <v>Louse</v>
      </c>
      <c r="E154" t="str">
        <f ca="1">IFERROR(__xludf.DUMMYFUNCTION("GOOGLETRANSLATE(C154,""es"",""en"")"),"Liendre ,,,,")</f>
        <v>Liendre ,,,,</v>
      </c>
    </row>
    <row r="155" spans="1:5" ht="13.2" x14ac:dyDescent="0.25">
      <c r="A155" t="s">
        <v>343</v>
      </c>
      <c r="B155" t="s">
        <v>344</v>
      </c>
      <c r="C155" t="s">
        <v>345</v>
      </c>
      <c r="D155" t="str">
        <f ca="1">IFERROR(__xludf.DUMMYFUNCTION("GOOGLETRANSLATE(B155,""es"",""en"")"),"Squeeze")</f>
        <v>Squeeze</v>
      </c>
      <c r="E155" t="str">
        <f ca="1">IFERROR(__xludf.DUMMYFUNCTION("GOOGLETRANSLATE(C155,""es"",""en"")"),"Have palette and firm ,,,,")</f>
        <v>Have palette and firm ,,,,</v>
      </c>
    </row>
    <row r="156" spans="1:5" ht="13.2" x14ac:dyDescent="0.25">
      <c r="A156" t="s">
        <v>346</v>
      </c>
      <c r="B156" t="s">
        <v>347</v>
      </c>
      <c r="D156" t="str">
        <f ca="1">IFERROR(__xludf.DUMMYFUNCTION("GOOGLETRANSLATE(B156,""es"",""en"")"),"Loaded")</f>
        <v>Loaded</v>
      </c>
      <c r="E156" t="str">
        <f ca="1">IFERROR(__xludf.DUMMYFUNCTION("GOOGLETRANSLATE(C156,""es"",""en"")"),"#VALUE!")</f>
        <v>#VALUE!</v>
      </c>
    </row>
    <row r="157" spans="1:5" ht="13.2" x14ac:dyDescent="0.25">
      <c r="A157" t="s">
        <v>348</v>
      </c>
      <c r="B157" t="s">
        <v>349</v>
      </c>
      <c r="C157" t="s">
        <v>350</v>
      </c>
      <c r="D157" t="str">
        <f ca="1">IFERROR(__xludf.DUMMYFUNCTION("GOOGLETRANSLATE(B157,""es"",""en"")"),"Hedgehog Ground")</f>
        <v>Hedgehog Ground</v>
      </c>
      <c r="E157" t="str">
        <f ca="1">IFERROR(__xludf.DUMMYFUNCTION("GOOGLETRANSLATE(C157,""es"",""en"")"),"Cat, spiny ,,,")</f>
        <v>Cat, spiny ,,,</v>
      </c>
    </row>
    <row r="158" spans="1:5" ht="13.2" x14ac:dyDescent="0.25">
      <c r="A158" t="s">
        <v>351</v>
      </c>
      <c r="B158" t="s">
        <v>352</v>
      </c>
      <c r="C158" t="s">
        <v>353</v>
      </c>
      <c r="D158" t="str">
        <f ca="1">IFERROR(__xludf.DUMMYFUNCTION("GOOGLETRANSLATE(B158,""es"",""en"")"),"All")</f>
        <v>All</v>
      </c>
      <c r="E158" t="str">
        <f ca="1">IFERROR(__xludf.DUMMYFUNCTION("GOOGLETRANSLATE(C158,""es"",""en"")"),"Whole, , , ,")</f>
        <v>Whole, , , ,</v>
      </c>
    </row>
    <row r="159" spans="1:5" ht="13.2" x14ac:dyDescent="0.25">
      <c r="A159" t="s">
        <v>354</v>
      </c>
      <c r="B159" t="s">
        <v>355</v>
      </c>
      <c r="C159" t="s">
        <v>356</v>
      </c>
      <c r="D159" t="str">
        <f ca="1">IFERROR(__xludf.DUMMYFUNCTION("GOOGLETRANSLATE(B159,""es"",""en"")"),"New")</f>
        <v>New</v>
      </c>
      <c r="E159" t="str">
        <f ca="1">IFERROR(__xludf.DUMMYFUNCTION("GOOGLETRANSLATE(C159,""es"",""en"")"),"Recent, novel ,,,,")</f>
        <v>Recent, novel ,,,,</v>
      </c>
    </row>
    <row r="160" spans="1:5" ht="13.2" x14ac:dyDescent="0.25">
      <c r="A160" t="s">
        <v>357</v>
      </c>
      <c r="B160" t="s">
        <v>355</v>
      </c>
      <c r="C160" t="s">
        <v>356</v>
      </c>
      <c r="D160" t="str">
        <f ca="1">IFERROR(__xludf.DUMMYFUNCTION("GOOGLETRANSLATE(B160,""es"",""en"")"),"New")</f>
        <v>New</v>
      </c>
      <c r="E160" t="str">
        <f ca="1">IFERROR(__xludf.DUMMYFUNCTION("GOOGLETRANSLATE(C160,""es"",""en"")"),"Recent, novel ,,,,")</f>
        <v>Recent, novel ,,,,</v>
      </c>
    </row>
    <row r="161" spans="1:5" ht="13.2" x14ac:dyDescent="0.25">
      <c r="A161" t="s">
        <v>358</v>
      </c>
      <c r="B161" t="s">
        <v>355</v>
      </c>
      <c r="C161" t="s">
        <v>359</v>
      </c>
      <c r="D161" t="str">
        <f ca="1">IFERROR(__xludf.DUMMYFUNCTION("GOOGLETRANSLATE(B161,""es"",""en"")"),"New")</f>
        <v>New</v>
      </c>
      <c r="E161" t="str">
        <f ca="1">IFERROR(__xludf.DUMMYFUNCTION("GOOGLETRANSLATE(C161,""es"",""en"")"),"Recent, , , ,")</f>
        <v>Recent, , , ,</v>
      </c>
    </row>
    <row r="162" spans="1:5" ht="13.2" x14ac:dyDescent="0.25">
      <c r="A162" t="s">
        <v>360</v>
      </c>
      <c r="B162" t="s">
        <v>355</v>
      </c>
      <c r="C162" t="s">
        <v>359</v>
      </c>
      <c r="D162" t="str">
        <f ca="1">IFERROR(__xludf.DUMMYFUNCTION("GOOGLETRANSLATE(B162,""es"",""en"")"),"New")</f>
        <v>New</v>
      </c>
      <c r="E162" t="str">
        <f ca="1">IFERROR(__xludf.DUMMYFUNCTION("GOOGLETRANSLATE(C162,""es"",""en"")"),"Recent, , , ,")</f>
        <v>Recent, , , ,</v>
      </c>
    </row>
    <row r="163" spans="1:5" ht="13.2" x14ac:dyDescent="0.25">
      <c r="A163" t="s">
        <v>361</v>
      </c>
      <c r="B163" t="s">
        <v>362</v>
      </c>
      <c r="C163" t="s">
        <v>363</v>
      </c>
      <c r="D163" t="str">
        <f ca="1">IFERROR(__xludf.DUMMYFUNCTION("GOOGLETRANSLATE(B163,""es"",""en"")"),"Fail the shot")</f>
        <v>Fail the shot</v>
      </c>
      <c r="E163" t="str">
        <f ca="1">IFERROR(__xludf.DUMMYFUNCTION("GOOGLETRANSLATE(C163,""es"",""en"")"),"Err ,,,,")</f>
        <v>Err ,,,,</v>
      </c>
    </row>
    <row r="164" spans="1:5" ht="13.2" x14ac:dyDescent="0.25">
      <c r="A164" t="s">
        <v>364</v>
      </c>
      <c r="B164" t="s">
        <v>362</v>
      </c>
      <c r="C164" t="s">
        <v>363</v>
      </c>
      <c r="D164" t="str">
        <f ca="1">IFERROR(__xludf.DUMMYFUNCTION("GOOGLETRANSLATE(B164,""es"",""en"")"),"Fail the shot")</f>
        <v>Fail the shot</v>
      </c>
      <c r="E164" t="str">
        <f ca="1">IFERROR(__xludf.DUMMYFUNCTION("GOOGLETRANSLATE(C164,""es"",""en"")"),"Err ,,,,")</f>
        <v>Err ,,,,</v>
      </c>
    </row>
    <row r="165" spans="1:5" ht="13.2" x14ac:dyDescent="0.25">
      <c r="A165" t="s">
        <v>365</v>
      </c>
      <c r="B165" t="s">
        <v>362</v>
      </c>
      <c r="C165" t="s">
        <v>363</v>
      </c>
      <c r="D165" t="str">
        <f ca="1">IFERROR(__xludf.DUMMYFUNCTION("GOOGLETRANSLATE(B165,""es"",""en"")"),"Fail the shot")</f>
        <v>Fail the shot</v>
      </c>
      <c r="E165" t="str">
        <f ca="1">IFERROR(__xludf.DUMMYFUNCTION("GOOGLETRANSLATE(C165,""es"",""en"")"),"Err ,,,,")</f>
        <v>Err ,,,,</v>
      </c>
    </row>
    <row r="166" spans="1:5" ht="13.2" x14ac:dyDescent="0.25">
      <c r="A166" t="s">
        <v>366</v>
      </c>
      <c r="B166" t="s">
        <v>367</v>
      </c>
      <c r="C166" t="s">
        <v>368</v>
      </c>
      <c r="D166" t="str">
        <f ca="1">IFERROR(__xludf.DUMMYFUNCTION("GOOGLETRANSLATE(B166,""es"",""en"")"),"Language")</f>
        <v>Language</v>
      </c>
      <c r="E166" t="str">
        <f ca="1">IFERROR(__xludf.DUMMYFUNCTION("GOOGLETRANSLATE(C166,""es"",""en"")"),"Speech, language ,,,")</f>
        <v>Speech, language ,,,</v>
      </c>
    </row>
    <row r="167" spans="1:5" ht="13.2" x14ac:dyDescent="0.25">
      <c r="A167" t="s">
        <v>369</v>
      </c>
      <c r="B167" t="s">
        <v>352</v>
      </c>
      <c r="C167" t="s">
        <v>370</v>
      </c>
      <c r="D167" t="str">
        <f ca="1">IFERROR(__xludf.DUMMYFUNCTION("GOOGLETRANSLATE(B167,""es"",""en"")"),"All")</f>
        <v>All</v>
      </c>
      <c r="E167" t="str">
        <f ca="1">IFERROR(__xludf.DUMMYFUNCTION("GOOGLETRANSLATE(C167,""es"",""en"")"),"All, , , ,")</f>
        <v>All, , , ,</v>
      </c>
    </row>
    <row r="168" spans="1:5" ht="13.2" x14ac:dyDescent="0.25">
      <c r="A168" t="s">
        <v>371</v>
      </c>
      <c r="B168" t="s">
        <v>372</v>
      </c>
      <c r="C168" t="s">
        <v>373</v>
      </c>
      <c r="D168" t="str">
        <f ca="1">IFERROR(__xludf.DUMMYFUNCTION("GOOGLETRANSLATE(B168,""es"",""en"")"),"Longorón or mollusk")</f>
        <v>Longorón or mollusk</v>
      </c>
      <c r="E168" t="str">
        <f ca="1">IFERROR(__xludf.DUMMYFUNCTION("GOOGLETRANSLATE(C168,""es"",""en"")"),"Mollusk")</f>
        <v>Mollusk</v>
      </c>
    </row>
    <row r="169" spans="1:5" ht="13.2" x14ac:dyDescent="0.25">
      <c r="A169" t="s">
        <v>374</v>
      </c>
      <c r="B169" t="s">
        <v>375</v>
      </c>
      <c r="D169" t="str">
        <f ca="1">IFERROR(__xludf.DUMMYFUNCTION("GOOGLETRANSLATE(B169,""es"",""en"")"),"Corn jelly with cane juice")</f>
        <v>Corn jelly with cane juice</v>
      </c>
      <c r="E169" t="str">
        <f ca="1">IFERROR(__xludf.DUMMYFUNCTION("GOOGLETRANSLATE(C169,""es"",""en"")"),"#VALUE!")</f>
        <v>#VALUE!</v>
      </c>
    </row>
    <row r="170" spans="1:5" ht="13.2" x14ac:dyDescent="0.25">
      <c r="A170" t="s">
        <v>376</v>
      </c>
      <c r="B170" t="s">
        <v>377</v>
      </c>
      <c r="C170" t="s">
        <v>378</v>
      </c>
      <c r="D170" t="str">
        <f ca="1">IFERROR(__xludf.DUMMYFUNCTION("GOOGLETRANSLATE(B170,""es"",""en"")"),"Make a mistake")</f>
        <v>Make a mistake</v>
      </c>
      <c r="E170" t="str">
        <f ca="1">IFERROR(__xludf.DUMMYFUNCTION("GOOGLETRANSLATE(C170,""es"",""en"")"),"Missing something, not proceed well ,,,,")</f>
        <v>Missing something, not proceed well ,,,,</v>
      </c>
    </row>
    <row r="171" spans="1:5" ht="13.2" x14ac:dyDescent="0.25">
      <c r="A171" t="s">
        <v>379</v>
      </c>
      <c r="B171" t="s">
        <v>380</v>
      </c>
      <c r="D171" t="str">
        <f ca="1">IFERROR(__xludf.DUMMYFUNCTION("GOOGLETRANSLATE(B171,""es"",""en"")"),"Papaya")</f>
        <v>Papaya</v>
      </c>
      <c r="E171" t="str">
        <f ca="1">IFERROR(__xludf.DUMMYFUNCTION("GOOGLETRANSLATE(C171,""es"",""en"")"),"#VALUE!")</f>
        <v>#VALUE!</v>
      </c>
    </row>
    <row r="172" spans="1:5" ht="13.2" x14ac:dyDescent="0.25">
      <c r="A172" t="s">
        <v>381</v>
      </c>
      <c r="B172" t="s">
        <v>382</v>
      </c>
      <c r="C172" t="s">
        <v>383</v>
      </c>
      <c r="D172" t="str">
        <f ca="1">IFERROR(__xludf.DUMMYFUNCTION("GOOGLETRANSLATE(B172,""es"",""en"")"),"Fast")</f>
        <v>Fast</v>
      </c>
      <c r="E172" t="str">
        <f ca="1">IFERROR(__xludf.DUMMYFUNCTION("GOOGLETRANSLATE(C172,""es"",""en"")"),"Light, expedite ,,,")</f>
        <v>Light, expedite ,,,</v>
      </c>
    </row>
    <row r="173" spans="1:5" ht="13.2" x14ac:dyDescent="0.25">
      <c r="A173" t="s">
        <v>384</v>
      </c>
      <c r="B173" t="s">
        <v>385</v>
      </c>
      <c r="C173" t="s">
        <v>386</v>
      </c>
      <c r="D173" t="str">
        <f ca="1">IFERROR(__xludf.DUMMYFUNCTION("GOOGLETRANSLATE(B173,""es"",""en"")"),"Very fast")</f>
        <v>Very fast</v>
      </c>
      <c r="E173" t="str">
        <f ca="1">IFERROR(__xludf.DUMMYFUNCTION("GOOGLETRANSLATE(C173,""es"",""en"")"),"Urgent, very light ,,,,")</f>
        <v>Urgent, very light ,,,,</v>
      </c>
    </row>
    <row r="174" spans="1:5" ht="13.2" x14ac:dyDescent="0.25">
      <c r="A174" t="s">
        <v>387</v>
      </c>
      <c r="B174" t="s">
        <v>388</v>
      </c>
      <c r="C174" t="s">
        <v>389</v>
      </c>
      <c r="D174" t="str">
        <f ca="1">IFERROR(__xludf.DUMMYFUNCTION("GOOGLETRANSLATE(B174,""es"",""en"")"),"Seed")</f>
        <v>Seed</v>
      </c>
      <c r="E174" t="str">
        <f ca="1">IFERROR(__xludf.DUMMYFUNCTION("GOOGLETRANSLATE(C174,""es"",""en"")"),"Seed ,,,,")</f>
        <v>Seed ,,,,</v>
      </c>
    </row>
    <row r="175" spans="1:5" ht="13.2" x14ac:dyDescent="0.25">
      <c r="A175" t="s">
        <v>390</v>
      </c>
      <c r="B175" t="s">
        <v>388</v>
      </c>
      <c r="C175" t="s">
        <v>389</v>
      </c>
      <c r="D175" t="str">
        <f ca="1">IFERROR(__xludf.DUMMYFUNCTION("GOOGLETRANSLATE(B175,""es"",""en"")"),"Seed")</f>
        <v>Seed</v>
      </c>
      <c r="E175" t="str">
        <f ca="1">IFERROR(__xludf.DUMMYFUNCTION("GOOGLETRANSLATE(C175,""es"",""en"")"),"Seed ,,,,")</f>
        <v>Seed ,,,,</v>
      </c>
    </row>
    <row r="176" spans="1:5" ht="13.2" x14ac:dyDescent="0.25">
      <c r="A176" t="s">
        <v>391</v>
      </c>
      <c r="B176" t="s">
        <v>392</v>
      </c>
      <c r="D176" t="str">
        <f ca="1">IFERROR(__xludf.DUMMYFUNCTION("GOOGLETRANSLATE(B176,""es"",""en"")"),"Heart")</f>
        <v>Heart</v>
      </c>
      <c r="E176" t="str">
        <f ca="1">IFERROR(__xludf.DUMMYFUNCTION("GOOGLETRANSLATE(C176,""es"",""en"")"),"#VALUE!")</f>
        <v>#VALUE!</v>
      </c>
    </row>
    <row r="177" spans="1:5" ht="13.2" x14ac:dyDescent="0.25">
      <c r="A177" t="s">
        <v>393</v>
      </c>
      <c r="B177" t="s">
        <v>392</v>
      </c>
      <c r="D177" t="str">
        <f ca="1">IFERROR(__xludf.DUMMYFUNCTION("GOOGLETRANSLATE(B177,""es"",""en"")"),"Heart")</f>
        <v>Heart</v>
      </c>
      <c r="E177" t="str">
        <f ca="1">IFERROR(__xludf.DUMMYFUNCTION("GOOGLETRANSLATE(C177,""es"",""en"")"),"#VALUE!")</f>
        <v>#VALUE!</v>
      </c>
    </row>
    <row r="178" spans="1:5" ht="13.2" x14ac:dyDescent="0.25">
      <c r="A178" t="s">
        <v>394</v>
      </c>
      <c r="B178" t="s">
        <v>395</v>
      </c>
      <c r="D178" t="str">
        <f ca="1">IFERROR(__xludf.DUMMYFUNCTION("GOOGLETRANSLATE(B178,""es"",""en"")"),"Change")</f>
        <v>Change</v>
      </c>
      <c r="E178" t="str">
        <f ca="1">IFERROR(__xludf.DUMMYFUNCTION("GOOGLETRANSLATE(C178,""es"",""en"")"),"#VALUE!")</f>
        <v>#VALUE!</v>
      </c>
    </row>
    <row r="179" spans="1:5" ht="13.2" x14ac:dyDescent="0.25">
      <c r="A179" t="s">
        <v>396</v>
      </c>
      <c r="B179" t="s">
        <v>397</v>
      </c>
      <c r="D179" t="str">
        <f ca="1">IFERROR(__xludf.DUMMYFUNCTION("GOOGLETRANSLATE(B179,""es"",""en"")"),"Poisonous spider")</f>
        <v>Poisonous spider</v>
      </c>
      <c r="E179" t="str">
        <f ca="1">IFERROR(__xludf.DUMMYFUNCTION("GOOGLETRANSLATE(C179,""es"",""en"")"),"#VALUE!")</f>
        <v>#VALUE!</v>
      </c>
    </row>
    <row r="180" spans="1:5" ht="13.2" x14ac:dyDescent="0.25">
      <c r="A180" t="s">
        <v>398</v>
      </c>
      <c r="B180" t="s">
        <v>399</v>
      </c>
      <c r="D180" t="str">
        <f ca="1">IFERROR(__xludf.DUMMYFUNCTION("GOOGLETRANSLATE(B180,""es"",""en"")"),"River fish variety")</f>
        <v>River fish variety</v>
      </c>
      <c r="E180" t="str">
        <f ca="1">IFERROR(__xludf.DUMMYFUNCTION("GOOGLETRANSLATE(C180,""es"",""en"")"),"#VALUE!")</f>
        <v>#VALUE!</v>
      </c>
    </row>
    <row r="181" spans="1:5" ht="13.2" x14ac:dyDescent="0.25">
      <c r="A181" t="s">
        <v>400</v>
      </c>
      <c r="B181" t="s">
        <v>401</v>
      </c>
      <c r="C181" t="s">
        <v>402</v>
      </c>
      <c r="D181" t="str">
        <f ca="1">IFERROR(__xludf.DUMMYFUNCTION("GOOGLETRANSLATE(B181,""es"",""en"")"),"Parrot")</f>
        <v>Parrot</v>
      </c>
      <c r="E181" t="str">
        <f ca="1">IFERROR(__xludf.DUMMYFUNCTION("GOOGLETRANSLATE(C181,""es"",""en"")"),"Cotorra ,,,,")</f>
        <v>Cotorra ,,,,</v>
      </c>
    </row>
    <row r="182" spans="1:5" ht="13.2" x14ac:dyDescent="0.25">
      <c r="A182" t="s">
        <v>403</v>
      </c>
      <c r="B182" t="s">
        <v>404</v>
      </c>
      <c r="C182" t="s">
        <v>405</v>
      </c>
      <c r="D182" t="str">
        <f ca="1">IFERROR(__xludf.DUMMYFUNCTION("GOOGLETRANSLATE(B182,""es"",""en"")"),"Boil")</f>
        <v>Boil</v>
      </c>
      <c r="E182" t="str">
        <f ca="1">IFERROR(__xludf.DUMMYFUNCTION("GOOGLETRANSLATE(C182,""es"",""en"")"),"Cook ,,,,")</f>
        <v>Cook ,,,,</v>
      </c>
    </row>
    <row r="183" spans="1:5" ht="13.2" x14ac:dyDescent="0.25">
      <c r="A183" t="s">
        <v>406</v>
      </c>
      <c r="B183" t="s">
        <v>407</v>
      </c>
      <c r="C183" t="s">
        <v>408</v>
      </c>
      <c r="D183" t="str">
        <f ca="1">IFERROR(__xludf.DUMMYFUNCTION("GOOGLETRANSLATE(B183,""es"",""en"")"),"Seed")</f>
        <v>Seed</v>
      </c>
      <c r="E183" t="str">
        <f ca="1">IFERROR(__xludf.DUMMYFUNCTION("GOOGLETRANSLATE(C183,""es"",""en"")"),"Castrate ,,,,")</f>
        <v>Castrate ,,,,</v>
      </c>
    </row>
    <row r="184" spans="1:5" ht="13.2" x14ac:dyDescent="0.25">
      <c r="A184" t="s">
        <v>409</v>
      </c>
      <c r="B184" t="s">
        <v>410</v>
      </c>
      <c r="D184" t="str">
        <f ca="1">IFERROR(__xludf.DUMMYFUNCTION("GOOGLETRANSLATE(B184,""es"",""en"")"),"Castrate")</f>
        <v>Castrate</v>
      </c>
      <c r="E184" t="str">
        <f ca="1">IFERROR(__xludf.DUMMYFUNCTION("GOOGLETRANSLATE(C184,""es"",""en"")"),"#VALUE!")</f>
        <v>#VALUE!</v>
      </c>
    </row>
    <row r="185" spans="1:5" ht="13.2" x14ac:dyDescent="0.25">
      <c r="A185" t="s">
        <v>411</v>
      </c>
      <c r="B185" t="s">
        <v>412</v>
      </c>
      <c r="D185" t="str">
        <f ca="1">IFERROR(__xludf.DUMMYFUNCTION("GOOGLETRANSLATE(B185,""es"",""en"")"),"Broom")</f>
        <v>Broom</v>
      </c>
      <c r="E185" t="str">
        <f ca="1">IFERROR(__xludf.DUMMYFUNCTION("GOOGLETRANSLATE(C185,""es"",""en"")"),"#VALUE!")</f>
        <v>#VALUE!</v>
      </c>
    </row>
    <row r="186" spans="1:5" ht="13.2" x14ac:dyDescent="0.25">
      <c r="A186" t="s">
        <v>413</v>
      </c>
      <c r="B186" t="s">
        <v>414</v>
      </c>
      <c r="D186" t="str">
        <f ca="1">IFERROR(__xludf.DUMMYFUNCTION("GOOGLETRANSLATE(B186,""es"",""en"")"),"sweet potato")</f>
        <v>sweet potato</v>
      </c>
      <c r="E186" t="str">
        <f ca="1">IFERROR(__xludf.DUMMYFUNCTION("GOOGLETRANSLATE(C186,""es"",""en"")"),"#VALUE!")</f>
        <v>#VALUE!</v>
      </c>
    </row>
    <row r="187" spans="1:5" ht="13.2" x14ac:dyDescent="0.25">
      <c r="A187" t="s">
        <v>415</v>
      </c>
      <c r="B187" t="s">
        <v>416</v>
      </c>
      <c r="C187" t="s">
        <v>417</v>
      </c>
      <c r="D187" t="str">
        <f ca="1">IFERROR(__xludf.DUMMYFUNCTION("GOOGLETRANSLATE(B187,""es"",""en"")"),"Be born")</f>
        <v>Be born</v>
      </c>
      <c r="E187" t="str">
        <f ca="1">IFERROR(__xludf.DUMMYFUNCTION("GOOGLETRANSLATE(C187,""es"",""en"")"),"Birth, , , ,")</f>
        <v>Birth, , , ,</v>
      </c>
    </row>
    <row r="188" spans="1:5" ht="13.2" x14ac:dyDescent="0.25">
      <c r="A188" t="s">
        <v>418</v>
      </c>
      <c r="B188" t="s">
        <v>419</v>
      </c>
      <c r="C188" t="s">
        <v>420</v>
      </c>
      <c r="D188" t="str">
        <f ca="1">IFERROR(__xludf.DUMMYFUNCTION("GOOGLETRANSLATE(B188,""es"",""en"")"),"Lamp. Light")</f>
        <v>Lamp. Light</v>
      </c>
      <c r="E188" t="str">
        <f ca="1">IFERROR(__xludf.DUMMYFUNCTION("GOOGLETRANSLATE(C188,""es"",""en"")"),"Candil, lantern ,,,,")</f>
        <v>Candil, lantern ,,,,</v>
      </c>
    </row>
    <row r="189" spans="1:5" ht="13.2" x14ac:dyDescent="0.25">
      <c r="A189" t="s">
        <v>421</v>
      </c>
      <c r="B189" t="s">
        <v>422</v>
      </c>
      <c r="D189" t="str">
        <f ca="1">IFERROR(__xludf.DUMMYFUNCTION("GOOGLETRANSLATE(B189,""es"",""en"")"),"QUEROSIN")</f>
        <v>QUEROSIN</v>
      </c>
      <c r="E189" t="str">
        <f ca="1">IFERROR(__xludf.DUMMYFUNCTION("GOOGLETRANSLATE(C189,""es"",""en"")"),"#VALUE!")</f>
        <v>#VALUE!</v>
      </c>
    </row>
    <row r="190" spans="1:5" ht="13.2" x14ac:dyDescent="0.25">
      <c r="A190" t="s">
        <v>423</v>
      </c>
      <c r="B190" t="s">
        <v>424</v>
      </c>
      <c r="D190" t="str">
        <f ca="1">IFERROR(__xludf.DUMMYFUNCTION("GOOGLETRANSLATE(B190,""es"",""en"")"),"Pumice")</f>
        <v>Pumice</v>
      </c>
      <c r="E190" t="str">
        <f ca="1">IFERROR(__xludf.DUMMYFUNCTION("GOOGLETRANSLATE(C190,""es"",""en"")"),"#VALUE!")</f>
        <v>#VALUE!</v>
      </c>
    </row>
    <row r="191" spans="1:5" ht="13.2" x14ac:dyDescent="0.25">
      <c r="A191" t="s">
        <v>425</v>
      </c>
      <c r="B191" t="s">
        <v>426</v>
      </c>
      <c r="D191" t="str">
        <f ca="1">IFERROR(__xludf.DUMMYFUNCTION("GOOGLETRANSLATE(B191,""es"",""en"")"),"Oceandil lamp wick")</f>
        <v>Oceandil lamp wick</v>
      </c>
      <c r="E191" t="str">
        <f ca="1">IFERROR(__xludf.DUMMYFUNCTION("GOOGLETRANSLATE(C191,""es"",""en"")"),"#VALUE!")</f>
        <v>#VALUE!</v>
      </c>
    </row>
    <row r="192" spans="1:5" ht="13.2" x14ac:dyDescent="0.25">
      <c r="A192" t="s">
        <v>427</v>
      </c>
      <c r="B192" t="s">
        <v>428</v>
      </c>
      <c r="D192" t="str">
        <f ca="1">IFERROR(__xludf.DUMMYFUNCTION("GOOGLETRANSLATE(B192,""es"",""en"")"),"Lamp or candil fuse")</f>
        <v>Lamp or candil fuse</v>
      </c>
      <c r="E192" t="str">
        <f ca="1">IFERROR(__xludf.DUMMYFUNCTION("GOOGLETRANSLATE(C192,""es"",""en"")"),"#VALUE!")</f>
        <v>#VALUE!</v>
      </c>
    </row>
    <row r="193" spans="1:5" ht="13.2" x14ac:dyDescent="0.25">
      <c r="A193" t="s">
        <v>429</v>
      </c>
      <c r="B193" t="s">
        <v>430</v>
      </c>
      <c r="C193" t="s">
        <v>431</v>
      </c>
      <c r="D193" t="str">
        <f ca="1">IFERROR(__xludf.DUMMYFUNCTION("GOOGLETRANSLATE(B193,""es"",""en"")"),"Chachalaca")</f>
        <v>Chachalaca</v>
      </c>
      <c r="E193" t="str">
        <f ca="1">IFERROR(__xludf.DUMMYFUNCTION("GOOGLETRANSLATE(C193,""es"",""en"")"),"Cimba Pava ,,,,")</f>
        <v>Cimba Pava ,,,,</v>
      </c>
    </row>
    <row r="194" spans="1:5" ht="13.2" x14ac:dyDescent="0.25">
      <c r="A194" t="s">
        <v>432</v>
      </c>
      <c r="B194" t="s">
        <v>433</v>
      </c>
      <c r="D194" t="str">
        <f ca="1">IFERROR(__xludf.DUMMYFUNCTION("GOOGLETRANSLATE(B194,""es"",""en"")"),"Compact")</f>
        <v>Compact</v>
      </c>
      <c r="E194" t="str">
        <f ca="1">IFERROR(__xludf.DUMMYFUNCTION("GOOGLETRANSLATE(C194,""es"",""en"")"),"#VALUE!")</f>
        <v>#VALUE!</v>
      </c>
    </row>
    <row r="195" spans="1:5" ht="13.2" x14ac:dyDescent="0.25">
      <c r="A195" t="s">
        <v>434</v>
      </c>
      <c r="B195" t="s">
        <v>435</v>
      </c>
      <c r="C195" t="s">
        <v>436</v>
      </c>
      <c r="D195" t="str">
        <f ca="1">IFERROR(__xludf.DUMMYFUNCTION("GOOGLETRANSLATE(B195,""es"",""en"")"),"Well-built")</f>
        <v>Well-built</v>
      </c>
      <c r="E195" t="str">
        <f ca="1">IFERROR(__xludf.DUMMYFUNCTION("GOOGLETRANSLATE(C195,""es"",""en"")"),"Thick, corpulent ,,,")</f>
        <v>Thick, corpulent ,,,</v>
      </c>
    </row>
    <row r="196" spans="1:5" ht="13.2" x14ac:dyDescent="0.25">
      <c r="A196" t="s">
        <v>437</v>
      </c>
      <c r="B196" t="s">
        <v>438</v>
      </c>
      <c r="C196" t="s">
        <v>439</v>
      </c>
      <c r="D196" t="str">
        <f ca="1">IFERROR(__xludf.DUMMYFUNCTION("GOOGLETRANSLATE(B196,""es"",""en"")"),"Thresh")</f>
        <v>Thresh</v>
      </c>
      <c r="E196" t="str">
        <f ca="1">IFERROR(__xludf.DUMMYFUNCTION("GOOGLETRANSLATE(C196,""es"",""en"")"),"Fruits fall ,,,,")</f>
        <v>Fruits fall ,,,,</v>
      </c>
    </row>
    <row r="197" spans="1:5" ht="13.2" x14ac:dyDescent="0.25">
      <c r="A197" t="s">
        <v>440</v>
      </c>
      <c r="B197" t="s">
        <v>441</v>
      </c>
      <c r="C197" t="s">
        <v>442</v>
      </c>
      <c r="D197" t="str">
        <f ca="1">IFERROR(__xludf.DUMMYFUNCTION("GOOGLETRANSLATE(B197,""es"",""en"")"),"Slippery")</f>
        <v>Slippery</v>
      </c>
      <c r="E197" t="str">
        <f ca="1">IFERROR(__xludf.DUMMYFUNCTION("GOOGLETRANSLATE(C197,""es"",""en"")"),"Sliding ,,,,,")</f>
        <v>Sliding ,,,,,</v>
      </c>
    </row>
    <row r="198" spans="1:5" ht="13.2" x14ac:dyDescent="0.25">
      <c r="A198" t="s">
        <v>443</v>
      </c>
      <c r="B198" t="s">
        <v>441</v>
      </c>
      <c r="D198" t="str">
        <f ca="1">IFERROR(__xludf.DUMMYFUNCTION("GOOGLETRANSLATE(B198,""es"",""en"")"),"Slippery")</f>
        <v>Slippery</v>
      </c>
      <c r="E198" t="str">
        <f ca="1">IFERROR(__xludf.DUMMYFUNCTION("GOOGLETRANSLATE(C198,""es"",""en"")"),"#VALUE!")</f>
        <v>#VALUE!</v>
      </c>
    </row>
    <row r="199" spans="1:5" ht="13.2" x14ac:dyDescent="0.25">
      <c r="A199" t="s">
        <v>444</v>
      </c>
      <c r="B199" t="s">
        <v>441</v>
      </c>
      <c r="D199" t="str">
        <f ca="1">IFERROR(__xludf.DUMMYFUNCTION("GOOGLETRANSLATE(B199,""es"",""en"")"),"Slippery")</f>
        <v>Slippery</v>
      </c>
      <c r="E199" t="str">
        <f ca="1">IFERROR(__xludf.DUMMYFUNCTION("GOOGLETRANSLATE(C199,""es"",""en"")"),"#VALUE!")</f>
        <v>#VALUE!</v>
      </c>
    </row>
    <row r="200" spans="1:5" ht="13.2" x14ac:dyDescent="0.25">
      <c r="A200" t="s">
        <v>445</v>
      </c>
      <c r="B200" t="s">
        <v>446</v>
      </c>
      <c r="C200" t="s">
        <v>447</v>
      </c>
      <c r="D200" t="str">
        <f ca="1">IFERROR(__xludf.DUMMYFUNCTION("GOOGLETRANSLATE(B200,""es"",""en"")"),"Newborn")</f>
        <v>Newborn</v>
      </c>
      <c r="E200" t="str">
        <f ca="1">IFERROR(__xludf.DUMMYFUNCTION("GOOGLETRANSLATE(C200,""es"",""en"")"),"Baby, , , ,")</f>
        <v>Baby, , , ,</v>
      </c>
    </row>
    <row r="201" spans="1:5" ht="13.2" x14ac:dyDescent="0.25">
      <c r="A201" t="s">
        <v>448</v>
      </c>
      <c r="B201" t="s">
        <v>424</v>
      </c>
      <c r="D201" t="str">
        <f ca="1">IFERROR(__xludf.DUMMYFUNCTION("GOOGLETRANSLATE(B201,""es"",""en"")"),"Pumice")</f>
        <v>Pumice</v>
      </c>
      <c r="E201" t="str">
        <f ca="1">IFERROR(__xludf.DUMMYFUNCTION("GOOGLETRANSLATE(C201,""es"",""en"")"),"#VALUE!")</f>
        <v>#VALUE!</v>
      </c>
    </row>
    <row r="202" spans="1:5" ht="13.2" x14ac:dyDescent="0.25">
      <c r="A202" t="s">
        <v>449</v>
      </c>
      <c r="B202" t="s">
        <v>450</v>
      </c>
      <c r="D202" t="s">
        <v>451</v>
      </c>
      <c r="E202" t="str">
        <f ca="1">IFERROR(__xludf.DUMMYFUNCTION("GOOGLETRANSLATE(C202,""es"",""en"")"),"#VALUE!")</f>
        <v>#VALUE!</v>
      </c>
    </row>
    <row r="203" spans="1:5" ht="13.2" x14ac:dyDescent="0.25">
      <c r="A203" t="s">
        <v>409</v>
      </c>
      <c r="B203" t="s">
        <v>407</v>
      </c>
      <c r="C203" t="s">
        <v>452</v>
      </c>
      <c r="D203" t="str">
        <f ca="1">IFERROR(__xludf.DUMMYFUNCTION("GOOGLETRANSLATE(B203,""es"",""en"")"),"Seed")</f>
        <v>Seed</v>
      </c>
      <c r="E203" t="str">
        <f ca="1">IFERROR(__xludf.DUMMYFUNCTION("GOOGLETRANSLATE(C203,""es"",""en"")"),"Remove seeds ,,,,")</f>
        <v>Remove seeds ,,,,</v>
      </c>
    </row>
    <row r="204" spans="1:5" ht="13.2" x14ac:dyDescent="0.25">
      <c r="A204" t="s">
        <v>406</v>
      </c>
      <c r="B204" t="s">
        <v>407</v>
      </c>
      <c r="C204" t="s">
        <v>452</v>
      </c>
      <c r="D204" t="str">
        <f ca="1">IFERROR(__xludf.DUMMYFUNCTION("GOOGLETRANSLATE(B204,""es"",""en"")"),"Seed")</f>
        <v>Seed</v>
      </c>
      <c r="E204" t="str">
        <f ca="1">IFERROR(__xludf.DUMMYFUNCTION("GOOGLETRANSLATE(C204,""es"",""en"")"),"Remove seeds ,,,,")</f>
        <v>Remove seeds ,,,,</v>
      </c>
    </row>
    <row r="205" spans="1:5" ht="13.2" x14ac:dyDescent="0.25">
      <c r="A205" t="s">
        <v>453</v>
      </c>
      <c r="B205" t="s">
        <v>454</v>
      </c>
      <c r="C205" t="s">
        <v>455</v>
      </c>
      <c r="D205" t="str">
        <f ca="1">IFERROR(__xludf.DUMMYFUNCTION("GOOGLETRANSLATE(B205,""es"",""en"")"),"Get scared")</f>
        <v>Get scared</v>
      </c>
      <c r="E205" t="str">
        <f ca="1">IFERROR(__xludf.DUMMYFUNCTION("GOOGLETRANSLATE(C205,""es"",""en"")"),"Be frightened ,,,,")</f>
        <v>Be frightened ,,,,</v>
      </c>
    </row>
    <row r="206" spans="1:5" ht="13.2" x14ac:dyDescent="0.25">
      <c r="A206" t="s">
        <v>456</v>
      </c>
      <c r="B206" t="s">
        <v>454</v>
      </c>
      <c r="C206" t="s">
        <v>455</v>
      </c>
      <c r="D206" t="str">
        <f ca="1">IFERROR(__xludf.DUMMYFUNCTION("GOOGLETRANSLATE(B206,""es"",""en"")"),"Get scared")</f>
        <v>Get scared</v>
      </c>
      <c r="E206" t="str">
        <f ca="1">IFERROR(__xludf.DUMMYFUNCTION("GOOGLETRANSLATE(C206,""es"",""en"")"),"Be frightened ,,,,")</f>
        <v>Be frightened ,,,,</v>
      </c>
    </row>
    <row r="207" spans="1:5" ht="13.2" x14ac:dyDescent="0.25">
      <c r="A207" t="s">
        <v>457</v>
      </c>
      <c r="B207" t="s">
        <v>458</v>
      </c>
      <c r="C207" t="s">
        <v>459</v>
      </c>
      <c r="D207" t="str">
        <f ca="1">IFERROR(__xludf.DUMMYFUNCTION("GOOGLETRANSLATE(B207,""es"",""en"")"),"Town")</f>
        <v>Town</v>
      </c>
      <c r="E207" t="str">
        <f ca="1">IFERROR(__xludf.DUMMYFUNCTION("GOOGLETRANSLATE(C207,""es"",""en"")"),"Populated, village, community,")</f>
        <v>Populated, village, community,</v>
      </c>
    </row>
    <row r="208" spans="1:5" ht="13.2" x14ac:dyDescent="0.25">
      <c r="A208" t="s">
        <v>460</v>
      </c>
      <c r="B208" t="s">
        <v>458</v>
      </c>
      <c r="C208" t="s">
        <v>461</v>
      </c>
      <c r="D208" t="str">
        <f ca="1">IFERROR(__xludf.DUMMYFUNCTION("GOOGLETRANSLATE(B208,""es"",""en"")"),"Town")</f>
        <v>Town</v>
      </c>
      <c r="E208" t="str">
        <f ca="1">IFERROR(__xludf.DUMMYFUNCTION("GOOGLETRANSLATE(C208,""es"",""en"")"),"populated, village, community,")</f>
        <v>populated, village, community,</v>
      </c>
    </row>
    <row r="209" spans="1:5" ht="13.2" x14ac:dyDescent="0.25">
      <c r="A209" t="s">
        <v>462</v>
      </c>
      <c r="B209" t="s">
        <v>463</v>
      </c>
      <c r="C209" t="s">
        <v>464</v>
      </c>
      <c r="D209" t="str">
        <f ca="1">IFERROR(__xludf.DUMMYFUNCTION("GOOGLETRANSLATE(B209,""es"",""en"")"),"Relative")</f>
        <v>Relative</v>
      </c>
      <c r="E209" t="str">
        <f ca="1">IFERROR(__xludf.DUMMYFUNCTION("GOOGLETRANSLATE(C209,""es"",""en"")"),"Family, brother, sister ,,")</f>
        <v>Family, brother, sister ,,</v>
      </c>
    </row>
    <row r="210" spans="1:5" ht="13.2" x14ac:dyDescent="0.25">
      <c r="A210" t="s">
        <v>465</v>
      </c>
      <c r="B210" t="s">
        <v>466</v>
      </c>
      <c r="C210" t="s">
        <v>467</v>
      </c>
      <c r="D210" t="s">
        <v>468</v>
      </c>
      <c r="E210" t="str">
        <f ca="1">IFERROR(__xludf.DUMMYFUNCTION("GOOGLETRANSLATE(C210,""es"",""en"")"),"Fraternity ,,,,")</f>
        <v>Fraternity ,,,,</v>
      </c>
    </row>
    <row r="211" spans="1:5" ht="13.2" x14ac:dyDescent="0.25">
      <c r="A211" t="s">
        <v>469</v>
      </c>
      <c r="B211" t="s">
        <v>466</v>
      </c>
      <c r="C211" t="s">
        <v>467</v>
      </c>
      <c r="D211" t="s">
        <v>468</v>
      </c>
      <c r="E211" t="str">
        <f ca="1">IFERROR(__xludf.DUMMYFUNCTION("GOOGLETRANSLATE(C211,""es"",""en"")"),"Fraternity ,,,,")</f>
        <v>Fraternity ,,,,</v>
      </c>
    </row>
    <row r="212" spans="1:5" ht="13.2" x14ac:dyDescent="0.25">
      <c r="A212" t="s">
        <v>470</v>
      </c>
      <c r="B212" t="s">
        <v>471</v>
      </c>
      <c r="C212" t="s">
        <v>472</v>
      </c>
      <c r="D212" t="s">
        <v>473</v>
      </c>
      <c r="E212" t="str">
        <f ca="1">IFERROR(__xludf.DUMMYFUNCTION("GOOGLETRANSLATE(C212,""es"",""en"")"),"Attended ,,,,")</f>
        <v>Attended ,,,,</v>
      </c>
    </row>
    <row r="213" spans="1:5" ht="13.2" x14ac:dyDescent="0.25">
      <c r="A213" t="s">
        <v>474</v>
      </c>
      <c r="B213" t="s">
        <v>475</v>
      </c>
      <c r="C213" t="s">
        <v>476</v>
      </c>
      <c r="D213" t="s">
        <v>477</v>
      </c>
      <c r="E213" t="str">
        <f ca="1">IFERROR(__xludf.DUMMYFUNCTION("GOOGLETRANSLATE(C213,""es"",""en"")"),"TRUE, , , ,")</f>
        <v>TRUE, , , ,</v>
      </c>
    </row>
    <row r="214" spans="1:5" ht="13.2" x14ac:dyDescent="0.25">
      <c r="A214" t="s">
        <v>478</v>
      </c>
      <c r="B214" t="s">
        <v>479</v>
      </c>
      <c r="C214" t="s">
        <v>476</v>
      </c>
      <c r="D214" t="str">
        <f ca="1">IFERROR(__xludf.DUMMYFUNCTION("GOOGLETRANSLATE(B214,""es"",""en"")"),"Of course")</f>
        <v>Of course</v>
      </c>
      <c r="E214" t="str">
        <f ca="1">IFERROR(__xludf.DUMMYFUNCTION("GOOGLETRANSLATE(C214,""es"",""en"")"),"TRUE, , , ,")</f>
        <v>TRUE, , , ,</v>
      </c>
    </row>
    <row r="215" spans="1:5" ht="13.2" x14ac:dyDescent="0.25">
      <c r="A215" t="s">
        <v>480</v>
      </c>
      <c r="B215" t="s">
        <v>481</v>
      </c>
      <c r="D215" t="str">
        <f ca="1">IFERROR(__xludf.DUMMYFUNCTION("GOOGLETRANSLATE(B215,""es"",""en"")"),"Some")</f>
        <v>Some</v>
      </c>
      <c r="E215" t="str">
        <f ca="1">IFERROR(__xludf.DUMMYFUNCTION("GOOGLETRANSLATE(C215,""es"",""en"")"),"#VALUE!")</f>
        <v>#VALUE!</v>
      </c>
    </row>
    <row r="216" spans="1:5" ht="13.2" x14ac:dyDescent="0.25">
      <c r="A216" t="s">
        <v>482</v>
      </c>
      <c r="B216" t="s">
        <v>481</v>
      </c>
      <c r="D216" t="str">
        <f ca="1">IFERROR(__xludf.DUMMYFUNCTION("GOOGLETRANSLATE(B216,""es"",""en"")"),"Some")</f>
        <v>Some</v>
      </c>
      <c r="E216" t="str">
        <f ca="1">IFERROR(__xludf.DUMMYFUNCTION("GOOGLETRANSLATE(C216,""es"",""en"")"),"#VALUE!")</f>
        <v>#VALUE!</v>
      </c>
    </row>
    <row r="217" spans="1:5" ht="13.2" x14ac:dyDescent="0.25">
      <c r="A217" t="s">
        <v>483</v>
      </c>
      <c r="B217" t="s">
        <v>484</v>
      </c>
      <c r="C217" t="s">
        <v>485</v>
      </c>
      <c r="D217" t="str">
        <f ca="1">IFERROR(__xludf.DUMMYFUNCTION("GOOGLETRANSLATE(B217,""es"",""en"")"),"One")</f>
        <v>One</v>
      </c>
      <c r="E217" t="str">
        <f ca="1">IFERROR(__xludf.DUMMYFUNCTION("GOOGLETRANSLATE(C217,""es"",""en"")"),"Only, alone ,,,")</f>
        <v>Only, alone ,,,</v>
      </c>
    </row>
    <row r="218" spans="1:5" ht="13.2" x14ac:dyDescent="0.25">
      <c r="A218" t="s">
        <v>486</v>
      </c>
      <c r="B218" t="s">
        <v>484</v>
      </c>
      <c r="C218" t="s">
        <v>485</v>
      </c>
      <c r="D218" t="str">
        <f ca="1">IFERROR(__xludf.DUMMYFUNCTION("GOOGLETRANSLATE(B218,""es"",""en"")"),"One")</f>
        <v>One</v>
      </c>
      <c r="E218" t="str">
        <f ca="1">IFERROR(__xludf.DUMMYFUNCTION("GOOGLETRANSLATE(C218,""es"",""en"")"),"Only, alone ,,,")</f>
        <v>Only, alone ,,,</v>
      </c>
    </row>
    <row r="219" spans="1:5" ht="13.2" x14ac:dyDescent="0.25">
      <c r="A219" t="s">
        <v>487</v>
      </c>
      <c r="B219" t="s">
        <v>488</v>
      </c>
      <c r="D219" t="str">
        <f ca="1">IFERROR(__xludf.DUMMYFUNCTION("GOOGLETRANSLATE(B219,""es"",""en"")"),"Mosquito")</f>
        <v>Mosquito</v>
      </c>
      <c r="E219" t="str">
        <f ca="1">IFERROR(__xludf.DUMMYFUNCTION("GOOGLETRANSLATE(C219,""es"",""en"")"),"#VALUE!")</f>
        <v>#VALUE!</v>
      </c>
    </row>
    <row r="220" spans="1:5" ht="13.2" x14ac:dyDescent="0.25">
      <c r="A220" t="s">
        <v>489</v>
      </c>
      <c r="B220" t="s">
        <v>488</v>
      </c>
      <c r="D220" t="str">
        <f ca="1">IFERROR(__xludf.DUMMYFUNCTION("GOOGLETRANSLATE(B220,""es"",""en"")"),"Mosquito")</f>
        <v>Mosquito</v>
      </c>
      <c r="E220" t="str">
        <f ca="1">IFERROR(__xludf.DUMMYFUNCTION("GOOGLETRANSLATE(C220,""es"",""en"")"),"#VALUE!")</f>
        <v>#VALUE!</v>
      </c>
    </row>
    <row r="221" spans="1:5" ht="13.2" x14ac:dyDescent="0.25">
      <c r="A221" t="s">
        <v>490</v>
      </c>
      <c r="B221" t="s">
        <v>252</v>
      </c>
      <c r="D221" t="str">
        <f ca="1">IFERROR(__xludf.DUMMYFUNCTION("GOOGLETRANSLATE(B221,""es"",""en"")"),"Half")</f>
        <v>Half</v>
      </c>
      <c r="E221" t="str">
        <f ca="1">IFERROR(__xludf.DUMMYFUNCTION("GOOGLETRANSLATE(C221,""es"",""en"")"),"#VALUE!")</f>
        <v>#VALUE!</v>
      </c>
    </row>
    <row r="222" spans="1:5" ht="13.2" x14ac:dyDescent="0.25">
      <c r="A222" t="s">
        <v>491</v>
      </c>
      <c r="B222" t="s">
        <v>492</v>
      </c>
      <c r="C222" t="s">
        <v>493</v>
      </c>
      <c r="D222" t="str">
        <f ca="1">IFERROR(__xludf.DUMMYFUNCTION("GOOGLETRANSLATE(B222,""es"",""en"")"),"Boiled")</f>
        <v>Boiled</v>
      </c>
      <c r="E222" t="str">
        <f ca="1">IFERROR(__xludf.DUMMYFUNCTION("GOOGLETRANSLATE(C222,""es"",""en"")"),"Cooked, cooked ,,,")</f>
        <v>Cooked, cooked ,,,</v>
      </c>
    </row>
    <row r="223" spans="1:5" ht="13.2" x14ac:dyDescent="0.25">
      <c r="A223" t="s">
        <v>494</v>
      </c>
      <c r="B223" t="s">
        <v>495</v>
      </c>
      <c r="C223" t="s">
        <v>496</v>
      </c>
      <c r="D223" t="str">
        <f ca="1">IFERROR(__xludf.DUMMYFUNCTION("GOOGLETRANSLATE(B223,""es"",""en"")"),"Mosquito")</f>
        <v>Mosquito</v>
      </c>
      <c r="E223" t="str">
        <f ca="1">IFERROR(__xludf.DUMMYFUNCTION("GOOGLETRANSLATE(C223,""es"",""en"")"),"Chitra, comb, comb ,,")</f>
        <v>Chitra, comb, comb ,,</v>
      </c>
    </row>
    <row r="224" spans="1:5" ht="13.2" x14ac:dyDescent="0.25">
      <c r="A224" t="s">
        <v>497</v>
      </c>
      <c r="B224" t="s">
        <v>498</v>
      </c>
      <c r="C224" t="s">
        <v>499</v>
      </c>
      <c r="D224" t="str">
        <f ca="1">IFERROR(__xludf.DUMMYFUNCTION("GOOGLETRANSLATE(B224,""es"",""en"")"),"Dance")</f>
        <v>Dance</v>
      </c>
      <c r="E224" t="str">
        <f ca="1">IFERROR(__xludf.DUMMYFUNCTION("GOOGLETRANSLATE(C224,""es"",""en"")"),"Jump, dance ,,,")</f>
        <v>Jump, dance ,,,</v>
      </c>
    </row>
    <row r="225" spans="1:5" ht="13.2" x14ac:dyDescent="0.25">
      <c r="A225" t="s">
        <v>500</v>
      </c>
      <c r="B225" t="s">
        <v>501</v>
      </c>
      <c r="D225" t="str">
        <f ca="1">IFERROR(__xludf.DUMMYFUNCTION("GOOGLETRANSLATE(B225,""es"",""en"")"),"Parakeet")</f>
        <v>Parakeet</v>
      </c>
      <c r="E225" t="str">
        <f ca="1">IFERROR(__xludf.DUMMYFUNCTION("GOOGLETRANSLATE(C225,""es"",""en"")"),"#VALUE!")</f>
        <v>#VALUE!</v>
      </c>
    </row>
    <row r="226" spans="1:5" ht="13.2" x14ac:dyDescent="0.25">
      <c r="A226" t="s">
        <v>502</v>
      </c>
      <c r="B226" t="s">
        <v>503</v>
      </c>
      <c r="C226" t="s">
        <v>504</v>
      </c>
      <c r="D226" t="str">
        <f ca="1">IFERROR(__xludf.DUMMYFUNCTION("GOOGLETRANSLATE(B226,""es"",""en"")"),"Green")</f>
        <v>Green</v>
      </c>
      <c r="E226" t="str">
        <f ca="1">IFERROR(__xludf.DUMMYFUNCTION("GOOGLETRANSLATE(C226,""es"",""en"")"),"Greenish ,,,,")</f>
        <v>Greenish ,,,,</v>
      </c>
    </row>
    <row r="227" spans="1:5" ht="13.2" x14ac:dyDescent="0.25">
      <c r="A227" t="s">
        <v>505</v>
      </c>
      <c r="B227" t="s">
        <v>503</v>
      </c>
      <c r="C227" t="s">
        <v>504</v>
      </c>
      <c r="D227" t="str">
        <f ca="1">IFERROR(__xludf.DUMMYFUNCTION("GOOGLETRANSLATE(B227,""es"",""en"")"),"Green")</f>
        <v>Green</v>
      </c>
      <c r="E227" t="str">
        <f ca="1">IFERROR(__xludf.DUMMYFUNCTION("GOOGLETRANSLATE(C227,""es"",""en"")"),"Greenish ,,,,")</f>
        <v>Greenish ,,,,</v>
      </c>
    </row>
    <row r="228" spans="1:5" ht="13.2" x14ac:dyDescent="0.25">
      <c r="A228" t="s">
        <v>506</v>
      </c>
      <c r="B228" t="s">
        <v>507</v>
      </c>
      <c r="C228" t="s">
        <v>508</v>
      </c>
      <c r="D228" t="str">
        <f ca="1">IFERROR(__xludf.DUMMYFUNCTION("GOOGLETRANSLATE(B228,""es"",""en"")"),"Chopped")</f>
        <v>Chopped</v>
      </c>
      <c r="E228" t="str">
        <f ca="1">IFERROR(__xludf.DUMMYFUNCTION("GOOGLETRANSLATE(C228,""es"",""en"")"),"Scrape, lacerated ,,,,")</f>
        <v>Scrape, lacerated ,,,,</v>
      </c>
    </row>
    <row r="229" spans="1:5" ht="13.2" x14ac:dyDescent="0.25">
      <c r="A229" t="s">
        <v>509</v>
      </c>
      <c r="B229" t="s">
        <v>507</v>
      </c>
      <c r="C229" t="s">
        <v>508</v>
      </c>
      <c r="D229" t="str">
        <f ca="1">IFERROR(__xludf.DUMMYFUNCTION("GOOGLETRANSLATE(B229,""es"",""en"")"),"Chopped")</f>
        <v>Chopped</v>
      </c>
      <c r="E229" t="str">
        <f ca="1">IFERROR(__xludf.DUMMYFUNCTION("GOOGLETRANSLATE(C229,""es"",""en"")"),"Scrape, lacerated ,,,,")</f>
        <v>Scrape, lacerated ,,,,</v>
      </c>
    </row>
    <row r="230" spans="1:5" ht="13.2" x14ac:dyDescent="0.25">
      <c r="A230" t="s">
        <v>510</v>
      </c>
      <c r="B230" t="s">
        <v>511</v>
      </c>
      <c r="C230" t="s">
        <v>512</v>
      </c>
      <c r="D230" t="str">
        <f ca="1">IFERROR(__xludf.DUMMYFUNCTION("GOOGLETRANSLATE(B230,""es"",""en"")"),"Bullet")</f>
        <v>Bullet</v>
      </c>
      <c r="E230" t="str">
        <f ca="1">IFERROR(__xludf.DUMMYFUNCTION("GOOGLETRANSLATE(C230,""es"",""en"")"),"Lead, pellet ,,,,")</f>
        <v>Lead, pellet ,,,,</v>
      </c>
    </row>
    <row r="231" spans="1:5" ht="13.2" x14ac:dyDescent="0.25">
      <c r="A231" t="s">
        <v>513</v>
      </c>
      <c r="B231" t="s">
        <v>514</v>
      </c>
      <c r="C231" t="s">
        <v>515</v>
      </c>
      <c r="D231" t="str">
        <f ca="1">IFERROR(__xludf.DUMMYFUNCTION("GOOGLETRANSLATE(B231,""es"",""en"")"),"Pheasant")</f>
        <v>Pheasant</v>
      </c>
      <c r="E231" t="str">
        <f ca="1">IFERROR(__xludf.DUMMYFUNCTION("GOOGLETRANSLATE(C231,""es"",""en"")"),"It is a kind of galliform bird")</f>
        <v>It is a kind of galliform bird</v>
      </c>
    </row>
    <row r="232" spans="1:5" ht="13.2" x14ac:dyDescent="0.25">
      <c r="A232" t="s">
        <v>516</v>
      </c>
      <c r="B232" t="s">
        <v>517</v>
      </c>
      <c r="C232" t="s">
        <v>518</v>
      </c>
      <c r="D232" t="str">
        <f ca="1">IFERROR(__xludf.DUMMYFUNCTION("GOOGLETRANSLATE(B232,""es"",""en"")"),"Run out")</f>
        <v>Run out</v>
      </c>
      <c r="E232" t="str">
        <f ca="1">IFERROR(__xludf.DUMMYFUNCTION("GOOGLETRANSLATE(C232,""es"",""en"")"),"Finish, , , ,")</f>
        <v>Finish, , , ,</v>
      </c>
    </row>
    <row r="233" spans="1:5" ht="13.2" x14ac:dyDescent="0.25">
      <c r="A233" t="s">
        <v>519</v>
      </c>
      <c r="B233" t="s">
        <v>520</v>
      </c>
      <c r="C233" t="s">
        <v>521</v>
      </c>
      <c r="D233" t="str">
        <f ca="1">IFERROR(__xludf.DUMMYFUNCTION("GOOGLETRANSLATE(B233,""es"",""en"")"),"Dig the earth")</f>
        <v>Dig the earth</v>
      </c>
      <c r="E233" t="str">
        <f ca="1">IFERROR(__xludf.DUMMYFUNCTION("GOOGLETRANSLATE(C233,""es"",""en"")"),"Escarar ,,,,")</f>
        <v>Escarar ,,,,</v>
      </c>
    </row>
    <row r="234" spans="1:5" ht="13.2" x14ac:dyDescent="0.25">
      <c r="A234" t="s">
        <v>522</v>
      </c>
      <c r="B234" t="s">
        <v>523</v>
      </c>
      <c r="C234" t="s">
        <v>524</v>
      </c>
      <c r="D234" t="str">
        <f ca="1">IFERROR(__xludf.DUMMYFUNCTION("GOOGLETRANSLATE(B234,""es"",""en"")"),"Mischievous")</f>
        <v>Mischievous</v>
      </c>
      <c r="E234" t="str">
        <f ca="1">IFERROR(__xludf.DUMMYFUNCTION("GOOGLETRANSLATE(C234,""es"",""en"")"),"Interior, indiscreet ,,,,")</f>
        <v>Interior, indiscreet ,,,,</v>
      </c>
    </row>
    <row r="235" spans="1:5" ht="13.2" x14ac:dyDescent="0.25">
      <c r="A235" t="s">
        <v>525</v>
      </c>
      <c r="B235" t="s">
        <v>526</v>
      </c>
      <c r="D235" t="str">
        <f ca="1">IFERROR(__xludf.DUMMYFUNCTION("GOOGLETRANSLATE(B235,""es"",""en"")"),"Plant known as wake")</f>
        <v>Plant known as wake</v>
      </c>
      <c r="E235" t="str">
        <f ca="1">IFERROR(__xludf.DUMMYFUNCTION("GOOGLETRANSLATE(C235,""es"",""en"")"),"#VALUE!")</f>
        <v>#VALUE!</v>
      </c>
    </row>
    <row r="236" spans="1:5" ht="13.2" x14ac:dyDescent="0.25">
      <c r="A236" t="s">
        <v>527</v>
      </c>
      <c r="B236" t="s">
        <v>528</v>
      </c>
      <c r="D236" t="str">
        <f ca="1">IFERROR(__xludf.DUMMYFUNCTION("GOOGLETRANSLATE(B236,""es"",""en"")"),"Tamp")</f>
        <v>Tamp</v>
      </c>
      <c r="E236" t="str">
        <f ca="1">IFERROR(__xludf.DUMMYFUNCTION("GOOGLETRANSLATE(C236,""es"",""en"")"),"#VALUE!")</f>
        <v>#VALUE!</v>
      </c>
    </row>
    <row r="237" spans="1:5" ht="13.2" x14ac:dyDescent="0.25">
      <c r="A237" t="s">
        <v>529</v>
      </c>
      <c r="B237" t="s">
        <v>530</v>
      </c>
      <c r="C237" t="s">
        <v>531</v>
      </c>
      <c r="D237" t="str">
        <f ca="1">IFERROR(__xludf.DUMMYFUNCTION("GOOGLETRANSLATE(B237,""es"",""en"")"),"Dig")</f>
        <v>Dig</v>
      </c>
      <c r="E237" t="str">
        <f ca="1">IFERROR(__xludf.DUMMYFUNCTION("GOOGLETRANSLATE(C237,""es"",""en"")"),"Excavate, dig the earth ,,,,")</f>
        <v>Excavate, dig the earth ,,,,</v>
      </c>
    </row>
    <row r="238" spans="1:5" ht="13.2" x14ac:dyDescent="0.25">
      <c r="A238" t="s">
        <v>519</v>
      </c>
      <c r="B238" t="s">
        <v>530</v>
      </c>
      <c r="C238" t="s">
        <v>532</v>
      </c>
      <c r="D238" t="str">
        <f ca="1">IFERROR(__xludf.DUMMYFUNCTION("GOOGLETRANSLATE(B238,""es"",""en"")"),"Dig")</f>
        <v>Dig</v>
      </c>
      <c r="E238" t="str">
        <f ca="1">IFERROR(__xludf.DUMMYFUNCTION("GOOGLETRANSLATE(C238,""es"",""en"")"),"Excavate,")</f>
        <v>Excavate,</v>
      </c>
    </row>
    <row r="239" spans="1:5" ht="13.2" x14ac:dyDescent="0.25">
      <c r="A239" t="s">
        <v>533</v>
      </c>
      <c r="B239" t="s">
        <v>534</v>
      </c>
      <c r="C239" t="s">
        <v>535</v>
      </c>
      <c r="D239" t="str">
        <f ca="1">IFERROR(__xludf.DUMMYFUNCTION("GOOGLETRANSLATE(B239,""es"",""en"")"),"Stop")</f>
        <v>Stop</v>
      </c>
      <c r="E239" t="str">
        <f ca="1">IFERROR(__xludf.DUMMYFUNCTION("GOOGLETRANSLATE(C239,""es"",""en"")"),"Stop ,,,,,")</f>
        <v>Stop ,,,,,</v>
      </c>
    </row>
    <row r="240" spans="1:5" ht="13.2" x14ac:dyDescent="0.25">
      <c r="A240" t="s">
        <v>536</v>
      </c>
      <c r="B240" t="s">
        <v>537</v>
      </c>
      <c r="C240" t="s">
        <v>538</v>
      </c>
      <c r="D240" t="str">
        <f ca="1">IFERROR(__xludf.DUMMYFUNCTION("GOOGLETRANSLATE(B240,""es"",""en"")"),"Shudder")</f>
        <v>Shudder</v>
      </c>
      <c r="E240" t="str">
        <f ca="1">IFERROR(__xludf.DUMMYFUNCTION("GOOGLETRANSLATE(C240,""es"",""en"")"),"Shaking ,,,,")</f>
        <v>Shaking ,,,,</v>
      </c>
    </row>
    <row r="241" spans="1:5" ht="13.2" x14ac:dyDescent="0.25">
      <c r="A241" t="s">
        <v>539</v>
      </c>
      <c r="B241" t="s">
        <v>540</v>
      </c>
      <c r="C241" t="s">
        <v>541</v>
      </c>
      <c r="D241" t="str">
        <f ca="1">IFERROR(__xludf.DUMMYFUNCTION("GOOGLETRANSLATE(B241,""es"",""en"")"),"Eldest brother")</f>
        <v>Eldest brother</v>
      </c>
      <c r="E241" t="str">
        <f ca="1">IFERROR(__xludf.DUMMYFUNCTION("GOOGLETRANSLATE(C241,""es"",""en"")"),"Said between men")</f>
        <v>Said between men</v>
      </c>
    </row>
    <row r="242" spans="1:5" ht="13.2" x14ac:dyDescent="0.25">
      <c r="A242" t="s">
        <v>542</v>
      </c>
      <c r="B242" t="s">
        <v>543</v>
      </c>
      <c r="C242" t="s">
        <v>544</v>
      </c>
      <c r="D242" t="str">
        <f ca="1">IFERROR(__xludf.DUMMYFUNCTION("GOOGLETRANSLATE(B242,""es"",""en"")"),"Stuff")</f>
        <v>Stuff</v>
      </c>
      <c r="E242" t="str">
        <f ca="1">IFERROR(__xludf.DUMMYFUNCTION("GOOGLETRANSLATE(C242,""es"",""en"")"),"Object, , , ,")</f>
        <v>Object, , , ,</v>
      </c>
    </row>
    <row r="243" spans="1:5" ht="13.2" x14ac:dyDescent="0.25">
      <c r="A243" t="s">
        <v>545</v>
      </c>
      <c r="B243" t="s">
        <v>546</v>
      </c>
      <c r="C243" t="s">
        <v>547</v>
      </c>
      <c r="D243" t="str">
        <f ca="1">IFERROR(__xludf.DUMMYFUNCTION("GOOGLETRANSLATE(B243,""es"",""en"")"),"Things")</f>
        <v>Things</v>
      </c>
      <c r="E243" t="str">
        <f ca="1">IFERROR(__xludf.DUMMYFUNCTION("GOOGLETRANSLATE(C243,""es"",""en"")"),"Objects, , , ,")</f>
        <v>Objects, , , ,</v>
      </c>
    </row>
    <row r="244" spans="1:5" ht="13.2" x14ac:dyDescent="0.25">
      <c r="A244" t="s">
        <v>548</v>
      </c>
      <c r="B244" t="s">
        <v>549</v>
      </c>
      <c r="C244" t="s">
        <v>550</v>
      </c>
      <c r="D244" t="str">
        <f ca="1">IFERROR(__xludf.DUMMYFUNCTION("GOOGLETRANSLATE(B244,""es"",""en"")"),"Party")</f>
        <v>Party</v>
      </c>
      <c r="E244" t="str">
        <f ca="1">IFERROR(__xludf.DUMMYFUNCTION("GOOGLETRANSLATE(C244,""es"",""en"")"),"Day, date, day ,,")</f>
        <v>Day, date, day ,,</v>
      </c>
    </row>
    <row r="245" spans="1:5" ht="13.2" x14ac:dyDescent="0.25">
      <c r="A245" t="s">
        <v>551</v>
      </c>
      <c r="B245" t="s">
        <v>552</v>
      </c>
      <c r="D245" t="str">
        <f ca="1">IFERROR(__xludf.DUMMYFUNCTION("GOOGLETRANSLATE(B245,""es"",""en"")"),"One day")</f>
        <v>One day</v>
      </c>
      <c r="E245" t="str">
        <f ca="1">IFERROR(__xludf.DUMMYFUNCTION("GOOGLETRANSLATE(C245,""es"",""en"")"),"#VALUE!")</f>
        <v>#VALUE!</v>
      </c>
    </row>
    <row r="246" spans="1:5" ht="13.2" x14ac:dyDescent="0.25">
      <c r="A246" t="s">
        <v>553</v>
      </c>
      <c r="B246" t="s">
        <v>554</v>
      </c>
      <c r="D246" t="str">
        <f ca="1">IFERROR(__xludf.DUMMYFUNCTION("GOOGLETRANSLATE(B246,""es"",""en"")"),"One day")</f>
        <v>One day</v>
      </c>
      <c r="E246" t="str">
        <f ca="1">IFERROR(__xludf.DUMMYFUNCTION("GOOGLETRANSLATE(C246,""es"",""en"")"),"#VALUE!")</f>
        <v>#VALUE!</v>
      </c>
    </row>
    <row r="247" spans="1:5" ht="13.2" x14ac:dyDescent="0.25">
      <c r="A247" t="s">
        <v>555</v>
      </c>
      <c r="B247" t="s">
        <v>556</v>
      </c>
      <c r="D247" t="str">
        <f ca="1">IFERROR(__xludf.DUMMYFUNCTION("GOOGLETRANSLATE(B247,""es"",""en"")"),"Three days")</f>
        <v>Three days</v>
      </c>
      <c r="E247" t="str">
        <f ca="1">IFERROR(__xludf.DUMMYFUNCTION("GOOGLETRANSLATE(C247,""es"",""en"")"),"#VALUE!")</f>
        <v>#VALUE!</v>
      </c>
    </row>
    <row r="248" spans="1:5" ht="13.2" x14ac:dyDescent="0.25">
      <c r="A248" t="s">
        <v>557</v>
      </c>
      <c r="B248" t="s">
        <v>556</v>
      </c>
      <c r="D248" t="str">
        <f ca="1">IFERROR(__xludf.DUMMYFUNCTION("GOOGLETRANSLATE(B248,""es"",""en"")"),"Three days")</f>
        <v>Three days</v>
      </c>
      <c r="E248" t="str">
        <f ca="1">IFERROR(__xludf.DUMMYFUNCTION("GOOGLETRANSLATE(C248,""es"",""en"")"),"#VALUE!")</f>
        <v>#VALUE!</v>
      </c>
    </row>
    <row r="249" spans="1:5" ht="13.2" x14ac:dyDescent="0.25">
      <c r="A249" t="s">
        <v>558</v>
      </c>
      <c r="B249" t="s">
        <v>559</v>
      </c>
      <c r="D249" t="str">
        <f ca="1">IFERROR(__xludf.DUMMYFUNCTION("GOOGLETRANSLATE(B249,""es"",""en"")"),"Frying pan")</f>
        <v>Frying pan</v>
      </c>
      <c r="E249" t="str">
        <f ca="1">IFERROR(__xludf.DUMMYFUNCTION("GOOGLETRANSLATE(C249,""es"",""en"")"),"#VALUE!")</f>
        <v>#VALUE!</v>
      </c>
    </row>
    <row r="250" spans="1:5" ht="13.2" x14ac:dyDescent="0.25">
      <c r="A250" t="s">
        <v>560</v>
      </c>
      <c r="B250" t="s">
        <v>559</v>
      </c>
      <c r="D250" t="str">
        <f ca="1">IFERROR(__xludf.DUMMYFUNCTION("GOOGLETRANSLATE(B250,""es"",""en"")"),"Frying pan")</f>
        <v>Frying pan</v>
      </c>
      <c r="E250" t="str">
        <f ca="1">IFERROR(__xludf.DUMMYFUNCTION("GOOGLETRANSLATE(C250,""es"",""en"")"),"#VALUE!")</f>
        <v>#VALUE!</v>
      </c>
    </row>
    <row r="251" spans="1:5" ht="13.2" x14ac:dyDescent="0.25">
      <c r="A251" t="s">
        <v>561</v>
      </c>
      <c r="B251" t="s">
        <v>562</v>
      </c>
      <c r="C251" t="s">
        <v>563</v>
      </c>
      <c r="D251" t="str">
        <f ca="1">IFERROR(__xludf.DUMMYFUNCTION("GOOGLETRANSLATE(B251,""es"",""en"")"),"Animal")</f>
        <v>Animal</v>
      </c>
      <c r="E251" t="str">
        <f ca="1">IFERROR(__xludf.DUMMYFUNCTION("GOOGLETRANSLATE(C251,""es"",""en"")"),"Be irrational ,,,,")</f>
        <v>Be irrational ,,,,</v>
      </c>
    </row>
    <row r="252" spans="1:5" ht="13.2" x14ac:dyDescent="0.25">
      <c r="A252" t="s">
        <v>564</v>
      </c>
      <c r="B252" t="s">
        <v>562</v>
      </c>
      <c r="C252" t="s">
        <v>563</v>
      </c>
      <c r="D252" t="str">
        <f ca="1">IFERROR(__xludf.DUMMYFUNCTION("GOOGLETRANSLATE(B252,""es"",""en"")"),"Animal")</f>
        <v>Animal</v>
      </c>
      <c r="E252" t="str">
        <f ca="1">IFERROR(__xludf.DUMMYFUNCTION("GOOGLETRANSLATE(C252,""es"",""en"")"),"Be irrational ,,,,")</f>
        <v>Be irrational ,,,,</v>
      </c>
    </row>
    <row r="253" spans="1:5" ht="13.2" x14ac:dyDescent="0.25">
      <c r="A253" t="s">
        <v>565</v>
      </c>
      <c r="B253" t="s">
        <v>562</v>
      </c>
      <c r="C253" t="s">
        <v>563</v>
      </c>
      <c r="D253" t="str">
        <f ca="1">IFERROR(__xludf.DUMMYFUNCTION("GOOGLETRANSLATE(B253,""es"",""en"")"),"Animal")</f>
        <v>Animal</v>
      </c>
      <c r="E253" t="str">
        <f ca="1">IFERROR(__xludf.DUMMYFUNCTION("GOOGLETRANSLATE(C253,""es"",""en"")"),"Be irrational ,,,,")</f>
        <v>Be irrational ,,,,</v>
      </c>
    </row>
    <row r="254" spans="1:5" ht="13.2" x14ac:dyDescent="0.25">
      <c r="A254" t="s">
        <v>566</v>
      </c>
      <c r="B254" t="s">
        <v>567</v>
      </c>
      <c r="C254" t="s">
        <v>568</v>
      </c>
      <c r="D254" t="str">
        <f ca="1">IFERROR(__xludf.DUMMYFUNCTION("GOOGLETRANSLATE(B254,""es"",""en"")"),"Be cooked")</f>
        <v>Be cooked</v>
      </c>
      <c r="E254" t="str">
        <f ca="1">IFERROR(__xludf.DUMMYFUNCTION("GOOGLETRANSLATE(C254,""es"",""en"")"),"Boiled ,,,,")</f>
        <v>Boiled ,,,,</v>
      </c>
    </row>
    <row r="255" spans="1:5" ht="13.2" x14ac:dyDescent="0.25">
      <c r="A255" t="s">
        <v>569</v>
      </c>
      <c r="B255" t="s">
        <v>570</v>
      </c>
      <c r="C255" t="s">
        <v>571</v>
      </c>
      <c r="D255" t="s">
        <v>572</v>
      </c>
      <c r="E255" t="str">
        <f ca="1">IFERROR(__xludf.DUMMYFUNCTION("GOOGLETRANSLATE(C255,""es"",""en"")"),"School, , , ,")</f>
        <v>School, , , ,</v>
      </c>
    </row>
    <row r="256" spans="1:5" ht="13.2" x14ac:dyDescent="0.25">
      <c r="A256" t="s">
        <v>573</v>
      </c>
      <c r="B256" t="s">
        <v>570</v>
      </c>
      <c r="C256" t="s">
        <v>571</v>
      </c>
      <c r="D256" t="s">
        <v>572</v>
      </c>
      <c r="E256" t="str">
        <f ca="1">IFERROR(__xludf.DUMMYFUNCTION("GOOGLETRANSLATE(C256,""es"",""en"")"),"School, , , ,")</f>
        <v>School, , , ,</v>
      </c>
    </row>
    <row r="257" spans="1:5" ht="13.2" x14ac:dyDescent="0.25">
      <c r="A257" t="s">
        <v>574</v>
      </c>
      <c r="B257" t="s">
        <v>575</v>
      </c>
      <c r="C257" t="s">
        <v>576</v>
      </c>
      <c r="D257" t="str">
        <f ca="1">IFERROR(__xludf.DUMMYFUNCTION("GOOGLETRANSLATE(B257,""es"",""en"")"),"Trash")</f>
        <v>Trash</v>
      </c>
      <c r="E257" t="str">
        <f ca="1">IFERROR(__xludf.DUMMYFUNCTION("GOOGLETRANSLATE(C257,""es"",""en"")"),"Waste, leftover, crumb ,,")</f>
        <v>Waste, leftover, crumb ,,</v>
      </c>
    </row>
    <row r="258" spans="1:5" ht="13.2" x14ac:dyDescent="0.25">
      <c r="A258" t="s">
        <v>577</v>
      </c>
      <c r="B258" t="s">
        <v>575</v>
      </c>
      <c r="D258" t="str">
        <f ca="1">IFERROR(__xludf.DUMMYFUNCTION("GOOGLETRANSLATE(B258,""es"",""en"")"),"Trash")</f>
        <v>Trash</v>
      </c>
      <c r="E258" t="str">
        <f ca="1">IFERROR(__xludf.DUMMYFUNCTION("GOOGLETRANSLATE(C258,""es"",""en"")"),"#VALUE!")</f>
        <v>#VALUE!</v>
      </c>
    </row>
    <row r="259" spans="1:5" ht="13.2" x14ac:dyDescent="0.25">
      <c r="A259" t="s">
        <v>578</v>
      </c>
      <c r="B259" t="s">
        <v>579</v>
      </c>
      <c r="D259" t="str">
        <f ca="1">IFERROR(__xludf.DUMMYFUNCTION("GOOGLETRANSLATE(B259,""es"",""en"")"),"Albino")</f>
        <v>Albino</v>
      </c>
      <c r="E259" t="str">
        <f ca="1">IFERROR(__xludf.DUMMYFUNCTION("GOOGLETRANSLATE(C259,""es"",""en"")"),"#VALUE!")</f>
        <v>#VALUE!</v>
      </c>
    </row>
    <row r="260" spans="1:5" ht="13.2" x14ac:dyDescent="0.25">
      <c r="A260" t="s">
        <v>580</v>
      </c>
      <c r="B260" t="s">
        <v>581</v>
      </c>
      <c r="C260" t="s">
        <v>582</v>
      </c>
      <c r="D260" t="str">
        <f ca="1">IFERROR(__xludf.DUMMYFUNCTION("GOOGLETRANSLATE(B260,""es"",""en"")"),"Child")</f>
        <v>Child</v>
      </c>
      <c r="E260" t="str">
        <f ca="1">IFERROR(__xludf.DUMMYFUNCTION("GOOGLETRANSLATE(C260,""es"",""en"")"),"Creature, newborn ,,,,")</f>
        <v>Creature, newborn ,,,,</v>
      </c>
    </row>
    <row r="261" spans="1:5" ht="13.2" x14ac:dyDescent="0.25">
      <c r="A261" t="s">
        <v>583</v>
      </c>
      <c r="B261" t="s">
        <v>581</v>
      </c>
      <c r="C261" t="s">
        <v>582</v>
      </c>
      <c r="D261" t="str">
        <f ca="1">IFERROR(__xludf.DUMMYFUNCTION("GOOGLETRANSLATE(B261,""es"",""en"")"),"Child")</f>
        <v>Child</v>
      </c>
      <c r="E261" t="str">
        <f ca="1">IFERROR(__xludf.DUMMYFUNCTION("GOOGLETRANSLATE(C261,""es"",""en"")"),"Creature, newborn ,,,,")</f>
        <v>Creature, newborn ,,,,</v>
      </c>
    </row>
    <row r="262" spans="1:5" ht="13.2" x14ac:dyDescent="0.25">
      <c r="A262" t="s">
        <v>584</v>
      </c>
      <c r="B262" t="s">
        <v>585</v>
      </c>
      <c r="D262" t="str">
        <f ca="1">IFERROR(__xludf.DUMMYFUNCTION("GOOGLETRANSLATE(B262,""es"",""en"")"),"GUNA HISTORY CHARACTER")</f>
        <v>GUNA HISTORY CHARACTER</v>
      </c>
      <c r="E262" t="str">
        <f ca="1">IFERROR(__xludf.DUMMYFUNCTION("GOOGLETRANSLATE(#REF!,""es"",""en"")"),"#REF!")</f>
        <v>#REF!</v>
      </c>
    </row>
    <row r="263" spans="1:5" ht="13.2" x14ac:dyDescent="0.25">
      <c r="A263" t="s">
        <v>586</v>
      </c>
      <c r="B263" t="s">
        <v>585</v>
      </c>
      <c r="D263" t="str">
        <f ca="1">IFERROR(__xludf.DUMMYFUNCTION("GOOGLETRANSLATE(B263,""es"",""en"")"),"GUNA HISTORY CHARACTER")</f>
        <v>GUNA HISTORY CHARACTER</v>
      </c>
      <c r="E263" t="str">
        <f ca="1">IFERROR(__xludf.DUMMYFUNCTION("GOOGLETRANSLATE(C262,""es"",""en"")"),"#VALUE!")</f>
        <v>#VALUE!</v>
      </c>
    </row>
    <row r="264" spans="1:5" ht="13.2" x14ac:dyDescent="0.25">
      <c r="A264" t="s">
        <v>587</v>
      </c>
      <c r="B264" t="s">
        <v>588</v>
      </c>
      <c r="C264" t="s">
        <v>589</v>
      </c>
      <c r="D264" t="str">
        <f ca="1">IFERROR(__xludf.DUMMYFUNCTION("GOOGLETRANSLATE(B264,""es"",""en"")"),"At daytime")</f>
        <v>At daytime</v>
      </c>
      <c r="E264" t="str">
        <f ca="1">IFERROR(__xludf.DUMMYFUNCTION("GOOGLETRANSLATE(C264,""es"",""en"")"),"Day ,,,,")</f>
        <v>Day ,,,,</v>
      </c>
    </row>
    <row r="265" spans="1:5" ht="13.2" x14ac:dyDescent="0.25">
      <c r="A265" t="s">
        <v>590</v>
      </c>
      <c r="B265" t="s">
        <v>591</v>
      </c>
      <c r="C265" t="s">
        <v>592</v>
      </c>
      <c r="D265" t="str">
        <f ca="1">IFERROR(__xludf.DUMMYFUNCTION("GOOGLETRANSLATE(B265,""es"",""en"")"),"Give shame")</f>
        <v>Give shame</v>
      </c>
      <c r="E265" t="str">
        <f ca="1">IFERROR(__xludf.DUMMYFUNCTION("GOOGLETRANSLATE(C265,""es"",""en"")"),"Sigh, complain ,,,,")</f>
        <v>Sigh, complain ,,,,</v>
      </c>
    </row>
    <row r="266" spans="1:5" ht="13.2" x14ac:dyDescent="0.25">
      <c r="A266" t="s">
        <v>593</v>
      </c>
      <c r="B266" t="s">
        <v>588</v>
      </c>
      <c r="C266" t="s">
        <v>589</v>
      </c>
      <c r="D266" t="str">
        <f ca="1">IFERROR(__xludf.DUMMYFUNCTION("GOOGLETRANSLATE(B266,""es"",""en"")"),"At daytime")</f>
        <v>At daytime</v>
      </c>
      <c r="E266" t="str">
        <f ca="1">IFERROR(__xludf.DUMMYFUNCTION("GOOGLETRANSLATE(C266,""es"",""en"")"),"Day ,,,,")</f>
        <v>Day ,,,,</v>
      </c>
    </row>
    <row r="267" spans="1:5" ht="13.2" x14ac:dyDescent="0.25">
      <c r="A267" t="s">
        <v>594</v>
      </c>
      <c r="B267" t="s">
        <v>595</v>
      </c>
      <c r="C267" t="s">
        <v>596</v>
      </c>
      <c r="D267" t="str">
        <f ca="1">IFERROR(__xludf.DUMMYFUNCTION("GOOGLETRANSLATE(B267,""es"",""en"")"),"Sunrise")</f>
        <v>Sunrise</v>
      </c>
      <c r="E267" t="str">
        <f ca="1">IFERROR(__xludf.DUMMYFUNCTION("GOOGLETRANSLATE(C267,""es"",""en"")"),"Get up ,,,,")</f>
        <v>Get up ,,,,</v>
      </c>
    </row>
    <row r="268" spans="1:5" ht="13.2" x14ac:dyDescent="0.25">
      <c r="A268" t="s">
        <v>597</v>
      </c>
      <c r="B268" t="s">
        <v>595</v>
      </c>
      <c r="C268" t="s">
        <v>596</v>
      </c>
      <c r="D268" t="str">
        <f ca="1">IFERROR(__xludf.DUMMYFUNCTION("GOOGLETRANSLATE(B268,""es"",""en"")"),"Sunrise")</f>
        <v>Sunrise</v>
      </c>
      <c r="E268" t="str">
        <f ca="1">IFERROR(__xludf.DUMMYFUNCTION("GOOGLETRANSLATE(C268,""es"",""en"")"),"Get up ,,,,")</f>
        <v>Get up ,,,,</v>
      </c>
    </row>
    <row r="269" spans="1:5" ht="13.2" x14ac:dyDescent="0.25">
      <c r="A269" t="s">
        <v>598</v>
      </c>
      <c r="B269" t="s">
        <v>599</v>
      </c>
      <c r="D269" t="str">
        <f ca="1">IFERROR(__xludf.DUMMYFUNCTION("GOOGLETRANSLATE(B269,""es"",""en"")"),"Because")</f>
        <v>Because</v>
      </c>
      <c r="E269" t="str">
        <f ca="1">IFERROR(__xludf.DUMMYFUNCTION("GOOGLETRANSLATE(C269,""es"",""en"")"),"#VALUE!")</f>
        <v>#VALUE!</v>
      </c>
    </row>
    <row r="270" spans="1:5" ht="13.2" x14ac:dyDescent="0.25">
      <c r="A270" t="s">
        <v>600</v>
      </c>
      <c r="B270" t="s">
        <v>601</v>
      </c>
      <c r="D270" t="str">
        <f ca="1">IFERROR(__xludf.DUMMYFUNCTION("GOOGLETRANSLATE(B270,""es"",""en"")"),"Babigala character")</f>
        <v>Babigala character</v>
      </c>
      <c r="E270" t="str">
        <f ca="1">IFERROR(__xludf.DUMMYFUNCTION("GOOGLETRANSLATE(C270,""es"",""en"")"),"#VALUE!")</f>
        <v>#VALUE!</v>
      </c>
    </row>
    <row r="271" spans="1:5" ht="13.2" x14ac:dyDescent="0.25">
      <c r="A271" t="s">
        <v>602</v>
      </c>
      <c r="B271" t="s">
        <v>603</v>
      </c>
      <c r="D271" t="str">
        <f ca="1">IFERROR(__xludf.DUMMYFUNCTION("GOOGLETRANSLATE(B271,""es"",""en"")"),"Babigar character")</f>
        <v>Babigar character</v>
      </c>
      <c r="E271" t="str">
        <f ca="1">IFERROR(__xludf.DUMMYFUNCTION("GOOGLETRANSLATE(C271,""es"",""en"")"),"#VALUE!")</f>
        <v>#VALUE!</v>
      </c>
    </row>
    <row r="272" spans="1:5" ht="13.2" x14ac:dyDescent="0.25">
      <c r="A272" t="s">
        <v>604</v>
      </c>
      <c r="B272" t="s">
        <v>603</v>
      </c>
      <c r="D272" t="str">
        <f ca="1">IFERROR(__xludf.DUMMYFUNCTION("GOOGLETRANSLATE(B272,""es"",""en"")"),"Babigar character")</f>
        <v>Babigar character</v>
      </c>
      <c r="E272" t="str">
        <f ca="1">IFERROR(__xludf.DUMMYFUNCTION("GOOGLETRANSLATE(C272,""es"",""en"")"),"#VALUE!")</f>
        <v>#VALUE!</v>
      </c>
    </row>
    <row r="273" spans="1:5" ht="13.2" x14ac:dyDescent="0.25">
      <c r="A273" t="s">
        <v>605</v>
      </c>
      <c r="B273" t="s">
        <v>606</v>
      </c>
      <c r="D273" t="str">
        <f ca="1">IFERROR(__xludf.DUMMYFUNCTION("GOOGLETRANSLATE(B273,""es"",""en"")"),"Cook")</f>
        <v>Cook</v>
      </c>
      <c r="E273" t="str">
        <f ca="1">IFERROR(__xludf.DUMMYFUNCTION("GOOGLETRANSLATE(C273,""es"",""en"")"),"#VALUE!")</f>
        <v>#VALUE!</v>
      </c>
    </row>
    <row r="274" spans="1:5" ht="13.2" x14ac:dyDescent="0.25">
      <c r="A274" t="s">
        <v>607</v>
      </c>
      <c r="B274" t="s">
        <v>608</v>
      </c>
      <c r="C274" t="s">
        <v>609</v>
      </c>
      <c r="D274" t="str">
        <f ca="1">IFERROR(__xludf.DUMMYFUNCTION("GOOGLETRANSLATE(B274,""es"",""en"")"),"Food")</f>
        <v>Food</v>
      </c>
      <c r="E274" t="str">
        <f ca="1">IFERROR(__xludf.DUMMYFUNCTION("GOOGLETRANSLATE(C274,""es"",""en"")"),"What can be eaten, edible ,,,,")</f>
        <v>What can be eaten, edible ,,,,</v>
      </c>
    </row>
    <row r="275" spans="1:5" ht="13.2" x14ac:dyDescent="0.25">
      <c r="A275" t="s">
        <v>610</v>
      </c>
      <c r="B275" t="s">
        <v>608</v>
      </c>
      <c r="C275" t="s">
        <v>611</v>
      </c>
      <c r="D275" t="str">
        <f ca="1">IFERROR(__xludf.DUMMYFUNCTION("GOOGLETRANSLATE(B275,""es"",""en"")"),"Food")</f>
        <v>Food</v>
      </c>
      <c r="E275" t="str">
        <f ca="1">IFERROR(__xludf.DUMMYFUNCTION("GOOGLETRANSLATE(C275,""es"",""en"")"),"Edible ,,,,")</f>
        <v>Edible ,,,,</v>
      </c>
    </row>
    <row r="276" spans="1:5" ht="13.2" x14ac:dyDescent="0.25">
      <c r="A276" t="s">
        <v>612</v>
      </c>
      <c r="B276" t="s">
        <v>613</v>
      </c>
      <c r="C276" t="s">
        <v>614</v>
      </c>
      <c r="D276" t="s">
        <v>615</v>
      </c>
      <c r="E276" t="str">
        <f ca="1">IFERROR(__xludf.DUMMYFUNCTION("GOOGLETRANSLATE(C276,""es"",""en"")"),"Upstairs")</f>
        <v>Upstairs</v>
      </c>
    </row>
    <row r="277" spans="1:5" ht="13.2" x14ac:dyDescent="0.25">
      <c r="A277" t="s">
        <v>616</v>
      </c>
      <c r="B277" t="s">
        <v>617</v>
      </c>
      <c r="C277" t="s">
        <v>618</v>
      </c>
      <c r="D277" t="str">
        <f ca="1">IFERROR(__xludf.DUMMYFUNCTION("GOOGLETRANSLATE(B277,""es"",""en"")"),"Fat")</f>
        <v>Fat</v>
      </c>
      <c r="E277" t="str">
        <f ca="1">IFERROR(__xludf.DUMMYFUNCTION("GOOGLETRANSLATE(C277,""es"",""en"")"),"Butter, , , ,")</f>
        <v>Butter, , , ,</v>
      </c>
    </row>
    <row r="278" spans="1:5" ht="13.2" x14ac:dyDescent="0.25">
      <c r="A278" t="s">
        <v>619</v>
      </c>
      <c r="B278" t="s">
        <v>620</v>
      </c>
      <c r="C278" t="s">
        <v>621</v>
      </c>
      <c r="D278" t="s">
        <v>622</v>
      </c>
      <c r="E278" t="str">
        <f ca="1">IFERROR(__xludf.DUMMYFUNCTION("GOOGLETRANSLATE(C278,""es"",""en"")"),"Wealthy ,,,,")</f>
        <v>Wealthy ,,,,</v>
      </c>
    </row>
    <row r="279" spans="1:5" ht="13.2" x14ac:dyDescent="0.25">
      <c r="A279" t="s">
        <v>263</v>
      </c>
      <c r="B279" t="s">
        <v>261</v>
      </c>
      <c r="C279" t="s">
        <v>262</v>
      </c>
      <c r="D279" t="str">
        <f ca="1">IFERROR(__xludf.DUMMYFUNCTION("GOOGLETRANSLATE(B279,""es"",""en"")"),"Mole")</f>
        <v>Mole</v>
      </c>
      <c r="E279" t="str">
        <f ca="1">IFERROR(__xludf.DUMMYFUNCTION("GOOGLETRANSLATE(C279,""es"",""en"")"),"Peca ,,,,")</f>
        <v>Peca ,,,,</v>
      </c>
    </row>
    <row r="280" spans="1:5" ht="13.2" x14ac:dyDescent="0.25">
      <c r="A280" t="s">
        <v>260</v>
      </c>
      <c r="B280" t="s">
        <v>261</v>
      </c>
      <c r="D280" t="str">
        <f ca="1">IFERROR(__xludf.DUMMYFUNCTION("GOOGLETRANSLATE(B280,""es"",""en"")"),"Mole")</f>
        <v>Mole</v>
      </c>
      <c r="E280" t="str">
        <f ca="1">IFERROR(__xludf.DUMMYFUNCTION("GOOGLETRANSLATE(C280,""es"",""en"")"),"#VALUE!")</f>
        <v>#VALUE!</v>
      </c>
    </row>
    <row r="281" spans="1:5" ht="13.2" x14ac:dyDescent="0.25">
      <c r="A281" t="s">
        <v>623</v>
      </c>
      <c r="B281" t="s">
        <v>624</v>
      </c>
      <c r="D281" t="str">
        <f ca="1">IFERROR(__xludf.DUMMYFUNCTION("GOOGLETRANSLATE(B281,""es"",""en"")"),"What is")</f>
        <v>What is</v>
      </c>
      <c r="E281" t="str">
        <f ca="1">IFERROR(__xludf.DUMMYFUNCTION("GOOGLETRANSLATE(C281,""es"",""en"")"),"#VALUE!")</f>
        <v>#VALUE!</v>
      </c>
    </row>
    <row r="282" spans="1:5" ht="13.2" x14ac:dyDescent="0.25">
      <c r="A282" t="s">
        <v>625</v>
      </c>
      <c r="B282" t="s">
        <v>626</v>
      </c>
      <c r="C282" t="s">
        <v>627</v>
      </c>
      <c r="D282" t="s">
        <v>628</v>
      </c>
      <c r="E282" t="str">
        <f ca="1">IFERROR(__xludf.DUMMYFUNCTION("GOOGLETRANSLATE(C282,""es"",""en"")"),"View, , , ,")</f>
        <v>View, , , ,</v>
      </c>
    </row>
    <row r="283" spans="1:5" ht="13.2" x14ac:dyDescent="0.25">
      <c r="A283" t="s">
        <v>629</v>
      </c>
      <c r="B283" t="s">
        <v>626</v>
      </c>
      <c r="C283" t="s">
        <v>627</v>
      </c>
      <c r="D283" t="s">
        <v>628</v>
      </c>
      <c r="E283" t="str">
        <f ca="1">IFERROR(__xludf.DUMMYFUNCTION("GOOGLETRANSLATE(C283,""es"",""en"")"),"View, , , ,")</f>
        <v>View, , , ,</v>
      </c>
    </row>
    <row r="284" spans="1:5" ht="13.2" x14ac:dyDescent="0.25">
      <c r="A284" t="s">
        <v>625</v>
      </c>
      <c r="B284" t="s">
        <v>630</v>
      </c>
      <c r="C284" t="s">
        <v>631</v>
      </c>
      <c r="D284" t="str">
        <f ca="1">IFERROR(__xludf.DUMMYFUNCTION("GOOGLETRANSLATE(B284,""es"",""en"")"),"Store")</f>
        <v>Store</v>
      </c>
      <c r="E284" t="str">
        <f ca="1">IFERROR(__xludf.DUMMYFUNCTION("GOOGLETRANSLATE(C284,""es"",""en"")"),"Business, , , ,")</f>
        <v>Business, , , ,</v>
      </c>
    </row>
    <row r="285" spans="1:5" ht="13.2" x14ac:dyDescent="0.25">
      <c r="A285" t="s">
        <v>632</v>
      </c>
      <c r="B285" t="s">
        <v>633</v>
      </c>
      <c r="C285" t="s">
        <v>634</v>
      </c>
      <c r="D285" t="str">
        <f ca="1">IFERROR(__xludf.DUMMYFUNCTION("GOOGLETRANSLATE(B285,""es"",""en"")"),"Squinting")</f>
        <v>Squinting</v>
      </c>
      <c r="E285" t="str">
        <f ca="1">IFERROR(__xludf.DUMMYFUNCTION("GOOGLETRANSLATE(C285,""es"",""en"")"),"Bisojo ,,,,")</f>
        <v>Bisojo ,,,,</v>
      </c>
    </row>
    <row r="286" spans="1:5" ht="13.2" x14ac:dyDescent="0.25">
      <c r="A286" t="s">
        <v>635</v>
      </c>
      <c r="B286" t="s">
        <v>636</v>
      </c>
      <c r="D286" t="str">
        <f ca="1">IFERROR(__xludf.DUMMYFUNCTION("GOOGLETRANSLATE(B286,""es"",""en"")"),"Tears")</f>
        <v>Tears</v>
      </c>
      <c r="E286" t="str">
        <f ca="1">IFERROR(__xludf.DUMMYFUNCTION("GOOGLETRANSLATE(C286,""es"",""en"")"),"#VALUE!")</f>
        <v>#VALUE!</v>
      </c>
    </row>
    <row r="287" spans="1:5" ht="13.2" x14ac:dyDescent="0.25">
      <c r="A287" t="s">
        <v>637</v>
      </c>
      <c r="B287" t="s">
        <v>638</v>
      </c>
      <c r="C287" t="s">
        <v>639</v>
      </c>
      <c r="D287" t="str">
        <f ca="1">IFERROR(__xludf.DUMMYFUNCTION("GOOGLETRANSLATE(B287,""es"",""en"")"),"Fall down")</f>
        <v>Fall down</v>
      </c>
      <c r="E287" t="str">
        <f ca="1">IFERROR(__xludf.DUMMYFUNCTION("GOOGLETRANSLATE(C287,""es"",""en"")"),"Collapse, crumble ,,,,")</f>
        <v>Collapse, crumble ,,,,</v>
      </c>
    </row>
    <row r="288" spans="1:5" ht="13.2" x14ac:dyDescent="0.25">
      <c r="A288" t="s">
        <v>640</v>
      </c>
      <c r="B288" t="s">
        <v>636</v>
      </c>
      <c r="D288" t="str">
        <f ca="1">IFERROR(__xludf.DUMMYFUNCTION("GOOGLETRANSLATE(B288,""es"",""en"")"),"Tears")</f>
        <v>Tears</v>
      </c>
      <c r="E288" t="str">
        <f ca="1">IFERROR(__xludf.DUMMYFUNCTION("GOOGLETRANSLATE(C288,""es"",""en"")"),"#VALUE!")</f>
        <v>#VALUE!</v>
      </c>
    </row>
    <row r="289" spans="1:5" ht="13.2" x14ac:dyDescent="0.25">
      <c r="A289" t="s">
        <v>641</v>
      </c>
      <c r="B289" t="s">
        <v>642</v>
      </c>
      <c r="D289" t="str">
        <f ca="1">IFERROR(__xludf.DUMMYFUNCTION("GOOGLETRANSLATE(B289,""es"",""en"")"),"Eyelashes")</f>
        <v>Eyelashes</v>
      </c>
      <c r="E289" t="str">
        <f ca="1">IFERROR(__xludf.DUMMYFUNCTION("GOOGLETRANSLATE(C289,""es"",""en"")"),"#VALUE!")</f>
        <v>#VALUE!</v>
      </c>
    </row>
    <row r="290" spans="1:5" ht="13.2" x14ac:dyDescent="0.25">
      <c r="A290" t="s">
        <v>643</v>
      </c>
      <c r="B290" t="s">
        <v>644</v>
      </c>
      <c r="C290" t="s">
        <v>645</v>
      </c>
      <c r="D290" t="str">
        <f ca="1">IFERROR(__xludf.DUMMYFUNCTION("GOOGLETRANSLATE(B290,""es"",""en"")"),"Blind")</f>
        <v>Blind</v>
      </c>
      <c r="E290" t="str">
        <f ca="1">IFERROR(__xludf.DUMMYFUNCTION("GOOGLETRANSLATE(C290,""es"",""en"")"),"Blind, , , ,")</f>
        <v>Blind, , , ,</v>
      </c>
    </row>
    <row r="291" spans="1:5" ht="13.2" x14ac:dyDescent="0.25">
      <c r="A291" t="s">
        <v>646</v>
      </c>
      <c r="B291" t="s">
        <v>644</v>
      </c>
      <c r="C291" t="s">
        <v>645</v>
      </c>
      <c r="D291" t="str">
        <f ca="1">IFERROR(__xludf.DUMMYFUNCTION("GOOGLETRANSLATE(B291,""es"",""en"")"),"Blind")</f>
        <v>Blind</v>
      </c>
      <c r="E291" t="str">
        <f ca="1">IFERROR(__xludf.DUMMYFUNCTION("GOOGLETRANSLATE(C291,""es"",""en"")"),"Blind, , , ,")</f>
        <v>Blind, , , ,</v>
      </c>
    </row>
    <row r="292" spans="1:5" ht="13.2" x14ac:dyDescent="0.25">
      <c r="A292" t="s">
        <v>647</v>
      </c>
      <c r="B292" t="s">
        <v>648</v>
      </c>
      <c r="C292" t="s">
        <v>649</v>
      </c>
      <c r="D292" t="str">
        <f ca="1">IFERROR(__xludf.DUMMYFUNCTION("GOOGLETRANSLATE(B292,""es"",""en"")"),"Fulgor")</f>
        <v>Fulgor</v>
      </c>
      <c r="E292" t="str">
        <f ca="1">IFERROR(__xludf.DUMMYFUNCTION("GOOGLETRANSLATE(C292,""es"",""en"")"),"Flash, glow ,,,,")</f>
        <v>Flash, glow ,,,,</v>
      </c>
    </row>
    <row r="293" spans="1:5" ht="13.2" x14ac:dyDescent="0.25">
      <c r="A293" t="s">
        <v>650</v>
      </c>
      <c r="B293" t="s">
        <v>651</v>
      </c>
      <c r="C293" t="s">
        <v>652</v>
      </c>
      <c r="D293" t="str">
        <f ca="1">IFERROR(__xludf.DUMMYFUNCTION("GOOGLETRANSLATE(B293,""es"",""en"")"),"Nearby")</f>
        <v>Nearby</v>
      </c>
      <c r="E293" t="str">
        <f ca="1">IFERROR(__xludf.DUMMYFUNCTION("GOOGLETRANSLATE(C293,""es"",""en"")"),"Pretty close, , , ,")</f>
        <v>Pretty close, , , ,</v>
      </c>
    </row>
    <row r="294" spans="1:5" ht="13.2" x14ac:dyDescent="0.25">
      <c r="A294" t="s">
        <v>653</v>
      </c>
      <c r="B294" t="s">
        <v>651</v>
      </c>
      <c r="C294" t="s">
        <v>652</v>
      </c>
      <c r="D294" t="str">
        <f ca="1">IFERROR(__xludf.DUMMYFUNCTION("GOOGLETRANSLATE(B294,""es"",""en"")"),"Nearby")</f>
        <v>Nearby</v>
      </c>
      <c r="E294" t="str">
        <f ca="1">IFERROR(__xludf.DUMMYFUNCTION("GOOGLETRANSLATE(C294,""es"",""en"")"),"Pretty close, , , ,")</f>
        <v>Pretty close, , , ,</v>
      </c>
    </row>
    <row r="295" spans="1:5" ht="13.2" x14ac:dyDescent="0.25">
      <c r="A295" t="s">
        <v>654</v>
      </c>
      <c r="B295" t="s">
        <v>651</v>
      </c>
      <c r="D295" t="str">
        <f ca="1">IFERROR(__xludf.DUMMYFUNCTION("GOOGLETRANSLATE(B295,""es"",""en"")"),"Nearby")</f>
        <v>Nearby</v>
      </c>
      <c r="E295" t="str">
        <f ca="1">IFERROR(__xludf.DUMMYFUNCTION("GOOGLETRANSLATE(C295,""es"",""en"")"),"#VALUE!")</f>
        <v>#VALUE!</v>
      </c>
    </row>
    <row r="296" spans="1:5" ht="13.2" x14ac:dyDescent="0.25">
      <c r="A296" t="s">
        <v>655</v>
      </c>
      <c r="B296" t="s">
        <v>656</v>
      </c>
      <c r="C296" t="s">
        <v>657</v>
      </c>
      <c r="D296" t="str">
        <f ca="1">IFERROR(__xludf.DUMMYFUNCTION("GOOGLETRANSLATE(B296,""es"",""en"")"),"Next")</f>
        <v>Next</v>
      </c>
      <c r="E296" t="str">
        <f ca="1">IFERROR(__xludf.DUMMYFUNCTION("GOOGLETRANSLATE(C296,""es"",""en"")"),"Near, , , ,")</f>
        <v>Near, , , ,</v>
      </c>
    </row>
    <row r="297" spans="1:5" ht="13.2" x14ac:dyDescent="0.25">
      <c r="A297" t="s">
        <v>658</v>
      </c>
      <c r="B297" t="s">
        <v>656</v>
      </c>
      <c r="C297" t="s">
        <v>657</v>
      </c>
      <c r="D297" t="str">
        <f ca="1">IFERROR(__xludf.DUMMYFUNCTION("GOOGLETRANSLATE(B297,""es"",""en"")"),"Next")</f>
        <v>Next</v>
      </c>
      <c r="E297" t="str">
        <f ca="1">IFERROR(__xludf.DUMMYFUNCTION("GOOGLETRANSLATE(C297,""es"",""en"")"),"Near, , , ,")</f>
        <v>Near, , , ,</v>
      </c>
    </row>
    <row r="298" spans="1:5" ht="13.2" x14ac:dyDescent="0.25">
      <c r="A298" t="s">
        <v>659</v>
      </c>
      <c r="B298" t="s">
        <v>638</v>
      </c>
      <c r="C298" t="s">
        <v>660</v>
      </c>
      <c r="D298" t="str">
        <f ca="1">IFERROR(__xludf.DUMMYFUNCTION("GOOGLETRANSLATE(B298,""es"",""en"")"),"Fall down")</f>
        <v>Fall down</v>
      </c>
      <c r="E298" t="str">
        <f ca="1">IFERROR(__xludf.DUMMYFUNCTION("GOOGLETRANSLATE(C298,""es"",""en"")"),"Collapse, , , ,")</f>
        <v>Collapse, , , ,</v>
      </c>
    </row>
    <row r="299" spans="1:5" ht="13.2" x14ac:dyDescent="0.25">
      <c r="A299" t="s">
        <v>661</v>
      </c>
      <c r="B299" t="s">
        <v>662</v>
      </c>
      <c r="C299" t="s">
        <v>663</v>
      </c>
      <c r="D299" t="str">
        <f ca="1">IFERROR(__xludf.DUMMYFUNCTION("GOOGLETRANSLATE(B299,""es"",""en"")"),"Break thread or chain")</f>
        <v>Break thread or chain</v>
      </c>
      <c r="E299" t="str">
        <f ca="1">IFERROR(__xludf.DUMMYFUNCTION("GOOGLETRANSLATE(C299,""es"",""en"")"),"Pause ,,,,")</f>
        <v>Pause ,,,,</v>
      </c>
    </row>
    <row r="300" spans="1:5" ht="13.2" x14ac:dyDescent="0.25">
      <c r="A300" t="s">
        <v>664</v>
      </c>
      <c r="B300" t="s">
        <v>665</v>
      </c>
      <c r="C300" t="s">
        <v>666</v>
      </c>
      <c r="D300" t="str">
        <f ca="1">IFERROR(__xludf.DUMMYFUNCTION("GOOGLETRANSLATE(B300,""es"",""en"")"),"A little further")</f>
        <v>A little further</v>
      </c>
      <c r="E300" t="str">
        <f ca="1">IFERROR(__xludf.DUMMYFUNCTION("GOOGLETRANSLATE(C300,""es"",""en"")"),"Over there, , , ,")</f>
        <v>Over there, , , ,</v>
      </c>
    </row>
    <row r="301" spans="1:5" ht="13.2" x14ac:dyDescent="0.25">
      <c r="A301" t="s">
        <v>667</v>
      </c>
      <c r="B301" t="s">
        <v>665</v>
      </c>
      <c r="C301" t="s">
        <v>666</v>
      </c>
      <c r="D301" t="str">
        <f ca="1">IFERROR(__xludf.DUMMYFUNCTION("GOOGLETRANSLATE(B301,""es"",""en"")"),"A little further")</f>
        <v>A little further</v>
      </c>
      <c r="E301" t="str">
        <f ca="1">IFERROR(__xludf.DUMMYFUNCTION("GOOGLETRANSLATE(C301,""es"",""en"")"),"Over there, , , ,")</f>
        <v>Over there, , , ,</v>
      </c>
    </row>
    <row r="302" spans="1:5" ht="13.2" x14ac:dyDescent="0.25">
      <c r="A302" t="s">
        <v>668</v>
      </c>
      <c r="B302" t="s">
        <v>665</v>
      </c>
      <c r="C302" t="s">
        <v>666</v>
      </c>
      <c r="D302" t="str">
        <f ca="1">IFERROR(__xludf.DUMMYFUNCTION("GOOGLETRANSLATE(B302,""es"",""en"")"),"A little further")</f>
        <v>A little further</v>
      </c>
      <c r="E302" t="str">
        <f ca="1">IFERROR(__xludf.DUMMYFUNCTION("GOOGLETRANSLATE(C302,""es"",""en"")"),"Over there, , , ,")</f>
        <v>Over there, , , ,</v>
      </c>
    </row>
    <row r="303" spans="1:5" ht="13.2" x14ac:dyDescent="0.25">
      <c r="A303" t="s">
        <v>669</v>
      </c>
      <c r="B303" t="s">
        <v>670</v>
      </c>
      <c r="C303" t="s">
        <v>671</v>
      </c>
      <c r="D303" t="str">
        <f ca="1">IFERROR(__xludf.DUMMYFUNCTION("GOOGLETRANSLATE(B303,""es"",""en"")"),"Cautious")</f>
        <v>Cautious</v>
      </c>
      <c r="E303" t="str">
        <f ca="1">IFERROR(__xludf.DUMMYFUNCTION("GOOGLETRANSLATE(C303,""es"",""en"")"),"Carefully, , , ,")</f>
        <v>Carefully, , , ,</v>
      </c>
    </row>
    <row r="304" spans="1:5" ht="13.2" x14ac:dyDescent="0.25">
      <c r="A304" t="s">
        <v>672</v>
      </c>
      <c r="B304" t="s">
        <v>670</v>
      </c>
      <c r="C304" t="s">
        <v>671</v>
      </c>
      <c r="D304" t="str">
        <f ca="1">IFERROR(__xludf.DUMMYFUNCTION("GOOGLETRANSLATE(B304,""es"",""en"")"),"Cautious")</f>
        <v>Cautious</v>
      </c>
      <c r="E304" t="str">
        <f ca="1">IFERROR(__xludf.DUMMYFUNCTION("GOOGLETRANSLATE(C304,""es"",""en"")"),"Carefully, , , ,")</f>
        <v>Carefully, , , ,</v>
      </c>
    </row>
    <row r="305" spans="1:5" ht="13.2" x14ac:dyDescent="0.25">
      <c r="A305" t="s">
        <v>673</v>
      </c>
      <c r="B305" t="s">
        <v>674</v>
      </c>
      <c r="C305" t="s">
        <v>675</v>
      </c>
      <c r="D305" t="str">
        <f ca="1">IFERROR(__xludf.DUMMYFUNCTION("GOOGLETRANSLATE(B305,""es"",""en"")"),"Hear")</f>
        <v>Hear</v>
      </c>
      <c r="E305" t="str">
        <f ca="1">IFERROR(__xludf.DUMMYFUNCTION("GOOGLETRANSLATE(C305,""es"",""en"")"),"Hear, feel, try, week,")</f>
        <v>Hear, feel, try, week,</v>
      </c>
    </row>
    <row r="306" spans="1:5" ht="13.2" x14ac:dyDescent="0.25">
      <c r="A306" t="s">
        <v>676</v>
      </c>
      <c r="B306" t="s">
        <v>677</v>
      </c>
      <c r="C306" t="s">
        <v>678</v>
      </c>
      <c r="D306" t="str">
        <f ca="1">IFERROR(__xludf.DUMMYFUNCTION("GOOGLETRANSLATE(B306,""es"",""en"")"),"Congress House")</f>
        <v>Congress House</v>
      </c>
      <c r="E306" t="str">
        <f ca="1">IFERROR(__xludf.DUMMYFUNCTION("GOOGLETRANSLATE(C306,""es"",""en"")"),"House of Meetings ,,,,")</f>
        <v>House of Meetings ,,,,</v>
      </c>
    </row>
    <row r="307" spans="1:5" ht="13.2" x14ac:dyDescent="0.25">
      <c r="A307" t="s">
        <v>679</v>
      </c>
      <c r="B307" t="s">
        <v>677</v>
      </c>
      <c r="D307" t="str">
        <f ca="1">IFERROR(__xludf.DUMMYFUNCTION("GOOGLETRANSLATE(B307,""es"",""en"")"),"Congress House")</f>
        <v>Congress House</v>
      </c>
      <c r="E307" t="str">
        <f ca="1">IFERROR(__xludf.DUMMYFUNCTION("GOOGLETRANSLATE(C307,""es"",""en"")"),"#VALUE!")</f>
        <v>#VALUE!</v>
      </c>
    </row>
    <row r="308" spans="1:5" ht="13.2" x14ac:dyDescent="0.25">
      <c r="A308" t="s">
        <v>680</v>
      </c>
      <c r="B308" t="s">
        <v>677</v>
      </c>
      <c r="D308" t="str">
        <f ca="1">IFERROR(__xludf.DUMMYFUNCTION("GOOGLETRANSLATE(B308,""es"",""en"")"),"Congress House")</f>
        <v>Congress House</v>
      </c>
      <c r="E308" t="str">
        <f ca="1">IFERROR(__xludf.DUMMYFUNCTION("GOOGLETRANSLATE(C308,""es"",""en"")"),"#VALUE!")</f>
        <v>#VALUE!</v>
      </c>
    </row>
    <row r="309" spans="1:5" ht="13.2" x14ac:dyDescent="0.25">
      <c r="A309" t="s">
        <v>681</v>
      </c>
      <c r="B309" t="s">
        <v>682</v>
      </c>
      <c r="D309" t="str">
        <f ca="1">IFERROR(__xludf.DUMMYFUNCTION("GOOGLETRANSLATE(B309,""es"",""en"")"),"Mangrove")</f>
        <v>Mangrove</v>
      </c>
      <c r="E309" t="str">
        <f ca="1">IFERROR(__xludf.DUMMYFUNCTION("GOOGLETRANSLATE(C309,""es"",""en"")"),"#VALUE!")</f>
        <v>#VALUE!</v>
      </c>
    </row>
    <row r="310" spans="1:5" ht="13.2" x14ac:dyDescent="0.25">
      <c r="A310" t="s">
        <v>683</v>
      </c>
      <c r="B310" t="s">
        <v>677</v>
      </c>
      <c r="D310" t="str">
        <f ca="1">IFERROR(__xludf.DUMMYFUNCTION("GOOGLETRANSLATE(B310,""es"",""en"")"),"Congress House")</f>
        <v>Congress House</v>
      </c>
      <c r="E310" t="str">
        <f ca="1">IFERROR(__xludf.DUMMYFUNCTION("GOOGLETRANSLATE(C310,""es"",""en"")"),"#VALUE!")</f>
        <v>#VALUE!</v>
      </c>
    </row>
    <row r="311" spans="1:5" ht="13.2" x14ac:dyDescent="0.25">
      <c r="A311" t="s">
        <v>676</v>
      </c>
      <c r="B311" t="s">
        <v>677</v>
      </c>
      <c r="D311" t="str">
        <f ca="1">IFERROR(__xludf.DUMMYFUNCTION("GOOGLETRANSLATE(B311,""es"",""en"")"),"Congress House")</f>
        <v>Congress House</v>
      </c>
      <c r="E311" t="str">
        <f ca="1">IFERROR(__xludf.DUMMYFUNCTION("GOOGLETRANSLATE(C311,""es"",""en"")"),"#VALUE!")</f>
        <v>#VALUE!</v>
      </c>
    </row>
    <row r="312" spans="1:5" ht="13.2" x14ac:dyDescent="0.25">
      <c r="A312" t="s">
        <v>684</v>
      </c>
      <c r="B312" t="s">
        <v>677</v>
      </c>
      <c r="D312" t="str">
        <f ca="1">IFERROR(__xludf.DUMMYFUNCTION("GOOGLETRANSLATE(B312,""es"",""en"")"),"Congress House")</f>
        <v>Congress House</v>
      </c>
      <c r="E312" t="str">
        <f ca="1">IFERROR(__xludf.DUMMYFUNCTION("GOOGLETRANSLATE(C312,""es"",""en"")"),"#VALUE!")</f>
        <v>#VALUE!</v>
      </c>
    </row>
    <row r="313" spans="1:5" ht="13.2" x14ac:dyDescent="0.25">
      <c r="A313" t="s">
        <v>685</v>
      </c>
      <c r="B313" t="s">
        <v>686</v>
      </c>
      <c r="C313" t="s">
        <v>687</v>
      </c>
      <c r="D313" t="str">
        <f ca="1">IFERROR(__xludf.DUMMYFUNCTION("GOOGLETRANSLATE(B313,""es"",""en"")"),"Grain")</f>
        <v>Grain</v>
      </c>
      <c r="E313" t="str">
        <f ca="1">IFERROR(__xludf.DUMMYFUNCTION("GOOGLETRANSLATE(C313,""es"",""en"")"),"Chickenpox, , , ,")</f>
        <v>Chickenpox, , , ,</v>
      </c>
    </row>
    <row r="314" spans="1:5" ht="13.2" x14ac:dyDescent="0.25">
      <c r="A314" t="s">
        <v>688</v>
      </c>
      <c r="B314" t="s">
        <v>689</v>
      </c>
      <c r="C314" t="s">
        <v>690</v>
      </c>
      <c r="D314" t="str">
        <f ca="1">IFERROR(__xludf.DUMMYFUNCTION("GOOGLETRANSLATE(B314,""es"",""en"")"),"Hop")</f>
        <v>Hop</v>
      </c>
      <c r="E314" t="str">
        <f ca="1">IFERROR(__xludf.DUMMYFUNCTION("GOOGLETRANSLATE(C314,""es"",""en"")"),"Jump, , , ,")</f>
        <v>Jump, , , ,</v>
      </c>
    </row>
    <row r="315" spans="1:5" ht="13.2" x14ac:dyDescent="0.25">
      <c r="A315" t="s">
        <v>691</v>
      </c>
      <c r="B315" t="s">
        <v>692</v>
      </c>
      <c r="C315" t="s">
        <v>693</v>
      </c>
      <c r="D315" t="str">
        <f ca="1">IFERROR(__xludf.DUMMYFUNCTION("GOOGLETRANSLATE(B315,""es"",""en"")"),"Guide")</f>
        <v>Guide</v>
      </c>
      <c r="E315" t="str">
        <f ca="1">IFERROR(__xludf.DUMMYFUNCTION("GOOGLETRANSLATE(C315,""es"",""en"")"),"Leader ,,,,")</f>
        <v>Leader ,,,,</v>
      </c>
    </row>
    <row r="316" spans="1:5" ht="13.2" x14ac:dyDescent="0.25">
      <c r="A316" t="s">
        <v>694</v>
      </c>
      <c r="B316" t="s">
        <v>692</v>
      </c>
      <c r="C316" t="s">
        <v>693</v>
      </c>
      <c r="D316" t="s">
        <v>695</v>
      </c>
      <c r="E316" t="str">
        <f ca="1">IFERROR(__xludf.DUMMYFUNCTION("GOOGLETRANSLATE(C316,""es"",""en"")"),"Leader ,,,,")</f>
        <v>Leader ,,,,</v>
      </c>
    </row>
    <row r="317" spans="1:5" ht="13.2" x14ac:dyDescent="0.25">
      <c r="A317" t="s">
        <v>696</v>
      </c>
      <c r="B317" t="s">
        <v>692</v>
      </c>
      <c r="C317" t="s">
        <v>693</v>
      </c>
      <c r="D317" t="s">
        <v>695</v>
      </c>
      <c r="E317" t="str">
        <f ca="1">IFERROR(__xludf.DUMMYFUNCTION("GOOGLETRANSLATE(C317,""es"",""en"")"),"Leader ,,,,")</f>
        <v>Leader ,,,,</v>
      </c>
    </row>
    <row r="318" spans="1:5" ht="13.2" x14ac:dyDescent="0.25">
      <c r="A318" t="s">
        <v>691</v>
      </c>
      <c r="B318" t="s">
        <v>697</v>
      </c>
      <c r="C318" t="s">
        <v>698</v>
      </c>
      <c r="D318" t="str">
        <f ca="1">IFERROR(__xludf.DUMMYFUNCTION("GOOGLETRANSLATE(B318,""es"",""en"")"),"Get ahead")</f>
        <v>Get ahead</v>
      </c>
      <c r="E318" t="str">
        <f ca="1">IFERROR(__xludf.DUMMYFUNCTION("GOOGLETRANSLATE(C318,""es"",""en"")"),"Go first ,,,,")</f>
        <v>Go first ,,,,</v>
      </c>
    </row>
    <row r="319" spans="1:5" ht="13.2" x14ac:dyDescent="0.25">
      <c r="A319" t="s">
        <v>699</v>
      </c>
      <c r="B319" t="s">
        <v>700</v>
      </c>
      <c r="C319" t="s">
        <v>701</v>
      </c>
      <c r="D319" t="s">
        <v>702</v>
      </c>
      <c r="E319" t="str">
        <f ca="1">IFERROR(__xludf.DUMMYFUNCTION("GOOGLETRANSLATE(C319,""es"",""en"")"),"Hair cutting ceremony ,,,,")</f>
        <v>Hair cutting ceremony ,,,,</v>
      </c>
    </row>
    <row r="320" spans="1:5" ht="13.2" x14ac:dyDescent="0.25">
      <c r="A320" t="s">
        <v>703</v>
      </c>
      <c r="B320" t="s">
        <v>704</v>
      </c>
      <c r="D320" t="str">
        <f ca="1">IFERROR(__xludf.DUMMYFUNCTION("GOOGLETRANSLATE(B320,""es"",""en"")"),"mangrove guabina")</f>
        <v>mangrove guabina</v>
      </c>
      <c r="E320" t="str">
        <f ca="1">IFERROR(__xludf.DUMMYFUNCTION("GOOGLETRANSLATE(C320,""es"",""en"")"),"#VALUE!")</f>
        <v>#VALUE!</v>
      </c>
    </row>
    <row r="321" spans="1:5" ht="13.2" x14ac:dyDescent="0.25">
      <c r="A321" t="s">
        <v>705</v>
      </c>
      <c r="B321" t="s">
        <v>706</v>
      </c>
      <c r="C321" t="s">
        <v>707</v>
      </c>
      <c r="D321" t="str">
        <f ca="1">IFERROR(__xludf.DUMMYFUNCTION("GOOGLETRANSLATE(B321,""es"",""en"")"),"Forget")</f>
        <v>Forget</v>
      </c>
      <c r="E321" t="str">
        <f ca="1">IFERROR(__xludf.DUMMYFUNCTION("GOOGLETRANSLATE(C321,""es"",""en"")"),"Set aside, delete from memory ,,,,")</f>
        <v>Set aside, delete from memory ,,,,</v>
      </c>
    </row>
    <row r="322" spans="1:5" ht="13.2" x14ac:dyDescent="0.25">
      <c r="A322" t="s">
        <v>708</v>
      </c>
      <c r="B322" t="s">
        <v>709</v>
      </c>
      <c r="C322" t="s">
        <v>710</v>
      </c>
      <c r="D322" t="str">
        <f ca="1">IFERROR(__xludf.DUMMYFUNCTION("GOOGLETRANSLATE(B322,""es"",""en"")"),"Via")</f>
        <v>Via</v>
      </c>
      <c r="E322" t="str">
        <f ca="1">IFERROR(__xludf.DUMMYFUNCTION("GOOGLETRANSLATE(C322,""es"",""en"")"),"Street, treated ,,,")</f>
        <v>Street, treated ,,,</v>
      </c>
    </row>
    <row r="323" spans="1:5" ht="13.2" x14ac:dyDescent="0.25">
      <c r="A323" t="s">
        <v>711</v>
      </c>
      <c r="B323" t="s">
        <v>692</v>
      </c>
      <c r="C323" t="s">
        <v>693</v>
      </c>
      <c r="D323" t="str">
        <f ca="1">IFERROR(__xludf.DUMMYFUNCTION("GOOGLETRANSLATE(B323,""es"",""en"")"),"Guide")</f>
        <v>Guide</v>
      </c>
      <c r="E323" t="str">
        <f ca="1">IFERROR(__xludf.DUMMYFUNCTION("GOOGLETRANSLATE(C323,""es"",""en"")"),"Leader ,,,,")</f>
        <v>Leader ,,,,</v>
      </c>
    </row>
    <row r="324" spans="1:5" ht="13.2" x14ac:dyDescent="0.25">
      <c r="A324" t="s">
        <v>712</v>
      </c>
      <c r="B324" t="s">
        <v>713</v>
      </c>
      <c r="C324" t="s">
        <v>714</v>
      </c>
      <c r="D324" t="str">
        <f ca="1">IFERROR(__xludf.DUMMYFUNCTION("GOOGLETRANSLATE(B324,""es"",""en"")"),"Needle")</f>
        <v>Needle</v>
      </c>
      <c r="E324" t="str">
        <f ca="1">IFERROR(__xludf.DUMMYFUNCTION("GOOGLETRANSLATE(C324,""es"",""en"")"),"Spine, púa, sting ,,,")</f>
        <v>Spine, púa, sting ,,,</v>
      </c>
    </row>
    <row r="325" spans="1:5" ht="13.2" x14ac:dyDescent="0.25">
      <c r="A325" t="s">
        <v>715</v>
      </c>
      <c r="B325" t="s">
        <v>716</v>
      </c>
      <c r="D325" t="str">
        <f ca="1">IFERROR(__xludf.DUMMYFUNCTION("GOOGLETRANSLATE(B325,""es"",""en"")"),"Thimble")</f>
        <v>Thimble</v>
      </c>
      <c r="E325" t="str">
        <f ca="1">IFERROR(__xludf.DUMMYFUNCTION("GOOGLETRANSLATE(C325,""es"",""en"")"),"#VALUE!")</f>
        <v>#VALUE!</v>
      </c>
    </row>
    <row r="326" spans="1:5" ht="13.2" x14ac:dyDescent="0.25">
      <c r="A326" t="s">
        <v>717</v>
      </c>
      <c r="B326" t="s">
        <v>716</v>
      </c>
      <c r="D326" t="str">
        <f ca="1">IFERROR(__xludf.DUMMYFUNCTION("GOOGLETRANSLATE(B326,""es"",""en"")"),"Thimble")</f>
        <v>Thimble</v>
      </c>
      <c r="E326" t="str">
        <f ca="1">IFERROR(__xludf.DUMMYFUNCTION("GOOGLETRANSLATE(C326,""es"",""en"")"),"#VALUE!")</f>
        <v>#VALUE!</v>
      </c>
    </row>
    <row r="327" spans="1:5" ht="13.2" x14ac:dyDescent="0.25">
      <c r="A327" t="s">
        <v>718</v>
      </c>
      <c r="B327" t="s">
        <v>719</v>
      </c>
      <c r="D327" t="str">
        <f ca="1">IFERROR(__xludf.DUMMYFUNCTION("GOOGLETRANSLATE(B327,""es"",""en"")"),"Pixbae")</f>
        <v>Pixbae</v>
      </c>
      <c r="E327" t="str">
        <f ca="1">IFERROR(__xludf.DUMMYFUNCTION("GOOGLETRANSLATE(C327,""es"",""en"")"),"#VALUE!")</f>
        <v>#VALUE!</v>
      </c>
    </row>
    <row r="328" spans="1:5" ht="13.2" x14ac:dyDescent="0.25">
      <c r="A328" t="s">
        <v>720</v>
      </c>
      <c r="B328" t="s">
        <v>719</v>
      </c>
      <c r="D328" t="str">
        <f ca="1">IFERROR(__xludf.DUMMYFUNCTION("GOOGLETRANSLATE(B328,""es"",""en"")"),"Pixbae")</f>
        <v>Pixbae</v>
      </c>
      <c r="E328" t="str">
        <f ca="1">IFERROR(__xludf.DUMMYFUNCTION("GOOGLETRANSLATE(C328,""es"",""en"")"),"#VALUE!")</f>
        <v>#VALUE!</v>
      </c>
    </row>
    <row r="329" spans="1:5" ht="13.2" x14ac:dyDescent="0.25">
      <c r="A329" t="s">
        <v>721</v>
      </c>
      <c r="B329" t="s">
        <v>719</v>
      </c>
      <c r="D329" t="str">
        <f ca="1">IFERROR(__xludf.DUMMYFUNCTION("GOOGLETRANSLATE(B329,""es"",""en"")"),"Pixbae")</f>
        <v>Pixbae</v>
      </c>
      <c r="E329" t="str">
        <f ca="1">IFERROR(__xludf.DUMMYFUNCTION("GOOGLETRANSLATE(C329,""es"",""en"")"),"#VALUE!")</f>
        <v>#VALUE!</v>
      </c>
    </row>
    <row r="330" spans="1:5" ht="13.2" x14ac:dyDescent="0.25">
      <c r="A330" t="s">
        <v>722</v>
      </c>
      <c r="B330" t="s">
        <v>723</v>
      </c>
      <c r="D330" t="str">
        <f ca="1">IFERROR(__xludf.DUMMYFUNCTION("GOOGLETRANSLATE(B330,""es"",""en"")"),"White Róbalo fish")</f>
        <v>White Róbalo fish</v>
      </c>
      <c r="E330" t="str">
        <f ca="1">IFERROR(__xludf.DUMMYFUNCTION("GOOGLETRANSLATE(C330,""es"",""en"")"),"#VALUE!")</f>
        <v>#VALUE!</v>
      </c>
    </row>
    <row r="331" spans="1:5" ht="13.2" x14ac:dyDescent="0.25">
      <c r="A331" t="s">
        <v>724</v>
      </c>
      <c r="B331" t="s">
        <v>725</v>
      </c>
      <c r="D331" t="str">
        <f ca="1">IFERROR(__xludf.DUMMYFUNCTION("GOOGLETRANSLATE(B331,""es"",""en"")"),"Center")</f>
        <v>Center</v>
      </c>
      <c r="E331" t="str">
        <f ca="1">IFERROR(__xludf.DUMMYFUNCTION("GOOGLETRANSLATE(C331,""es"",""en"")"),"#VALUE!")</f>
        <v>#VALUE!</v>
      </c>
    </row>
    <row r="332" spans="1:5" ht="13.2" x14ac:dyDescent="0.25">
      <c r="A332" t="s">
        <v>726</v>
      </c>
      <c r="B332" t="s">
        <v>727</v>
      </c>
      <c r="D332" t="str">
        <f ca="1">IFERROR(__xludf.DUMMYFUNCTION("GOOGLETRANSLATE(B332,""es"",""en"")"),"Mangrove swamp")</f>
        <v>Mangrove swamp</v>
      </c>
      <c r="E332" t="str">
        <f ca="1">IFERROR(__xludf.DUMMYFUNCTION("GOOGLETRANSLATE(C332,""es"",""en"")"),"#VALUE!")</f>
        <v>#VALUE!</v>
      </c>
    </row>
    <row r="333" spans="1:5" ht="13.2" x14ac:dyDescent="0.25">
      <c r="A333" t="s">
        <v>728</v>
      </c>
      <c r="B333" t="s">
        <v>12</v>
      </c>
      <c r="C333" t="s">
        <v>729</v>
      </c>
      <c r="D333" t="str">
        <f ca="1">IFERROR(__xludf.DUMMYFUNCTION("GOOGLETRANSLATE(B333,""es"",""en"")"),"Lack")</f>
        <v>Lack</v>
      </c>
      <c r="E333" t="str">
        <f ca="1">IFERROR(__xludf.DUMMYFUNCTION("GOOGLETRANSLATE(C333,""es"",""en"")"),"Absent ,,,,")</f>
        <v>Absent ,,,,</v>
      </c>
    </row>
    <row r="334" spans="1:5" ht="13.2" x14ac:dyDescent="0.25">
      <c r="A334" t="s">
        <v>730</v>
      </c>
      <c r="B334" t="s">
        <v>731</v>
      </c>
      <c r="C334" t="s">
        <v>732</v>
      </c>
      <c r="D334" t="str">
        <f ca="1">IFERROR(__xludf.DUMMYFUNCTION("GOOGLETRANSLATE(B334,""es"",""en"")"),"As")</f>
        <v>As</v>
      </c>
      <c r="E334" t="str">
        <f ca="1">IFERROR(__xludf.DUMMYFUNCTION("GOOGLETRANSLATE(C334,""es"",""en"")"),"That, , , ,")</f>
        <v>That, , , ,</v>
      </c>
    </row>
    <row r="335" spans="1:5" ht="13.2" x14ac:dyDescent="0.25">
      <c r="A335" t="s">
        <v>733</v>
      </c>
      <c r="B335" t="s">
        <v>734</v>
      </c>
      <c r="D335" t="str">
        <f ca="1">IFERROR(__xludf.DUMMYFUNCTION("GOOGLETRANSLATE(B335,""es"",""en"")"),"Ant Arrariera")</f>
        <v>Ant Arrariera</v>
      </c>
      <c r="E335" t="str">
        <f ca="1">IFERROR(__xludf.DUMMYFUNCTION("GOOGLETRANSLATE(C335,""es"",""en"")"),"#VALUE!")</f>
        <v>#VALUE!</v>
      </c>
    </row>
    <row r="336" spans="1:5" ht="13.2" x14ac:dyDescent="0.25">
      <c r="A336" t="s">
        <v>735</v>
      </c>
      <c r="B336" t="s">
        <v>736</v>
      </c>
      <c r="D336" t="str">
        <f ca="1">IFERROR(__xludf.DUMMYFUNCTION("GOOGLETRANSLATE(B336,""es"",""en"")"),"Arriera's manure")</f>
        <v>Arriera's manure</v>
      </c>
      <c r="E336" t="str">
        <f ca="1">IFERROR(__xludf.DUMMYFUNCTION("GOOGLETRANSLATE(C336,""es"",""en"")"),"#VALUE!")</f>
        <v>#VALUE!</v>
      </c>
    </row>
    <row r="337" spans="1:5" ht="13.2" x14ac:dyDescent="0.25">
      <c r="A337" t="s">
        <v>737</v>
      </c>
      <c r="B337" t="s">
        <v>738</v>
      </c>
      <c r="D337" t="str">
        <f ca="1">IFERROR(__xludf.DUMMYFUNCTION("GOOGLETRANSLATE(B337,""es"",""en"")"),"Pink")</f>
        <v>Pink</v>
      </c>
      <c r="E337" t="str">
        <f ca="1">IFERROR(__xludf.DUMMYFUNCTION("GOOGLETRANSLATE(C337,""es"",""en"")"),"#VALUE!")</f>
        <v>#VALUE!</v>
      </c>
    </row>
    <row r="338" spans="1:5" ht="13.2" x14ac:dyDescent="0.25">
      <c r="A338" t="s">
        <v>739</v>
      </c>
      <c r="B338" t="s">
        <v>740</v>
      </c>
      <c r="D338" t="str">
        <f ca="1">IFERROR(__xludf.DUMMYFUNCTION("GOOGLETRANSLATE(B338,""es"",""en"")"),"ESPINO CEDRO")</f>
        <v>ESPINO CEDRO</v>
      </c>
      <c r="E338" t="str">
        <f ca="1">IFERROR(__xludf.DUMMYFUNCTION("GOOGLETRANSLATE(C338,""es"",""en"")"),"#VALUE!")</f>
        <v>#VALUE!</v>
      </c>
    </row>
    <row r="339" spans="1:5" ht="13.2" x14ac:dyDescent="0.25">
      <c r="A339" t="s">
        <v>741</v>
      </c>
      <c r="B339" t="s">
        <v>742</v>
      </c>
      <c r="D339" t="str">
        <f ca="1">IFERROR(__xludf.DUMMYFUNCTION("GOOGLETRANSLATE(B339,""es"",""en"")"),"Salt tree")</f>
        <v>Salt tree</v>
      </c>
      <c r="E339" t="str">
        <f ca="1">IFERROR(__xludf.DUMMYFUNCTION("GOOGLETRANSLATE(C339,""es"",""en"")"),"#VALUE!")</f>
        <v>#VALUE!</v>
      </c>
    </row>
    <row r="340" spans="1:5" ht="13.2" x14ac:dyDescent="0.25">
      <c r="A340" t="s">
        <v>743</v>
      </c>
      <c r="B340" t="s">
        <v>742</v>
      </c>
      <c r="D340" t="str">
        <f ca="1">IFERROR(__xludf.DUMMYFUNCTION("GOOGLETRANSLATE(B340,""es"",""en"")"),"Salt tree")</f>
        <v>Salt tree</v>
      </c>
      <c r="E340" t="str">
        <f ca="1">IFERROR(__xludf.DUMMYFUNCTION("GOOGLETRANSLATE(C340,""es"",""en"")"),"#VALUE!")</f>
        <v>#VALUE!</v>
      </c>
    </row>
    <row r="341" spans="1:5" ht="13.2" x14ac:dyDescent="0.25">
      <c r="A341" t="s">
        <v>744</v>
      </c>
      <c r="B341" t="s">
        <v>742</v>
      </c>
      <c r="D341" t="str">
        <f ca="1">IFERROR(__xludf.DUMMYFUNCTION("GOOGLETRANSLATE(B341,""es"",""en"")"),"Salt tree")</f>
        <v>Salt tree</v>
      </c>
      <c r="E341" t="str">
        <f ca="1">IFERROR(__xludf.DUMMYFUNCTION("GOOGLETRANSLATE(C341,""es"",""en"")"),"#VALUE!")</f>
        <v>#VALUE!</v>
      </c>
    </row>
    <row r="342" spans="1:5" ht="13.2" x14ac:dyDescent="0.25">
      <c r="A342" t="s">
        <v>745</v>
      </c>
      <c r="B342" t="s">
        <v>742</v>
      </c>
      <c r="D342" t="str">
        <f ca="1">IFERROR(__xludf.DUMMYFUNCTION("GOOGLETRANSLATE(B342,""es"",""en"")"),"Salt tree")</f>
        <v>Salt tree</v>
      </c>
      <c r="E342" t="str">
        <f ca="1">IFERROR(__xludf.DUMMYFUNCTION("GOOGLETRANSLATE(C342,""es"",""en"")"),"#VALUE!")</f>
        <v>#VALUE!</v>
      </c>
    </row>
    <row r="343" spans="1:5" ht="13.2" x14ac:dyDescent="0.25">
      <c r="A343" t="s">
        <v>746</v>
      </c>
      <c r="B343" t="s">
        <v>747</v>
      </c>
      <c r="D343" t="str">
        <f ca="1">IFERROR(__xludf.DUMMYFUNCTION("GOOGLETRANSLATE(B343,""es"",""en"")"),"Mangrove crab")</f>
        <v>Mangrove crab</v>
      </c>
      <c r="E343" t="str">
        <f ca="1">IFERROR(__xludf.DUMMYFUNCTION("GOOGLETRANSLATE(C343,""es"",""en"")"),"#VALUE!")</f>
        <v>#VALUE!</v>
      </c>
    </row>
    <row r="344" spans="1:5" ht="13.2" x14ac:dyDescent="0.25">
      <c r="A344" t="s">
        <v>748</v>
      </c>
      <c r="B344" t="s">
        <v>749</v>
      </c>
      <c r="D344" t="str">
        <f ca="1">IFERROR(__xludf.DUMMYFUNCTION("GOOGLETRANSLATE(B344,""es"",""en"")"),"Mount almond")</f>
        <v>Mount almond</v>
      </c>
      <c r="E344" t="str">
        <f ca="1">IFERROR(__xludf.DUMMYFUNCTION("GOOGLETRANSLATE(C344,""es"",""en"")"),"#VALUE!")</f>
        <v>#VALUE!</v>
      </c>
    </row>
    <row r="345" spans="1:5" ht="13.2" x14ac:dyDescent="0.25">
      <c r="A345" t="s">
        <v>750</v>
      </c>
      <c r="B345" t="s">
        <v>751</v>
      </c>
      <c r="D345" t="str">
        <f ca="1">IFERROR(__xludf.DUMMYFUNCTION("GOOGLETRANSLATE(B345,""es"",""en"")"),"Ibeler's brother")</f>
        <v>Ibeler's brother</v>
      </c>
      <c r="E345" t="str">
        <f ca="1">IFERROR(__xludf.DUMMYFUNCTION("GOOGLETRANSLATE(C345,""es"",""en"")"),"#VALUE!")</f>
        <v>#VALUE!</v>
      </c>
    </row>
    <row r="346" spans="1:5" ht="13.2" x14ac:dyDescent="0.25">
      <c r="A346" t="s">
        <v>752</v>
      </c>
      <c r="B346" t="s">
        <v>751</v>
      </c>
      <c r="C346" t="s">
        <v>753</v>
      </c>
      <c r="D346" t="str">
        <f ca="1">IFERROR(__xludf.DUMMYFUNCTION("GOOGLETRANSLATE(B346,""es"",""en"")"),"Ibeler's brother")</f>
        <v>Ibeler's brother</v>
      </c>
      <c r="E346" t="str">
        <f ca="1">IFERROR(__xludf.DUMMYFUNCTION("GOOGLETRANSLATE(C346,""es"",""en"")"),"Bugsu ,,,,")</f>
        <v>Bugsu ,,,,</v>
      </c>
    </row>
    <row r="347" spans="1:5" ht="13.2" x14ac:dyDescent="0.25">
      <c r="A347" t="s">
        <v>754</v>
      </c>
      <c r="B347" t="s">
        <v>755</v>
      </c>
      <c r="D347" t="str">
        <f ca="1">IFERROR(__xludf.DUMMYFUNCTION("GOOGLETRANSLATE(B347,""es"",""en"")"),"Almendor de Monte")</f>
        <v>Almendor de Monte</v>
      </c>
      <c r="E347" t="str">
        <f ca="1">IFERROR(__xludf.DUMMYFUNCTION("GOOGLETRANSLATE(C347,""es"",""en"")"),"#VALUE!")</f>
        <v>#VALUE!</v>
      </c>
    </row>
    <row r="348" spans="1:5" ht="13.2" x14ac:dyDescent="0.25">
      <c r="A348" t="s">
        <v>756</v>
      </c>
      <c r="B348" t="s">
        <v>757</v>
      </c>
      <c r="D348" t="str">
        <f ca="1">IFERROR(__xludf.DUMMYFUNCTION("GOOGLETRANSLATE(B348,""es"",""en"")"),"Monite almond")</f>
        <v>Monite almond</v>
      </c>
      <c r="E348" t="str">
        <f ca="1">IFERROR(__xludf.DUMMYFUNCTION("GOOGLETRANSLATE(C348,""es"",""en"")"),"#VALUE!")</f>
        <v>#VALUE!</v>
      </c>
    </row>
    <row r="349" spans="1:5" ht="13.2" x14ac:dyDescent="0.25">
      <c r="A349" t="s">
        <v>758</v>
      </c>
      <c r="B349" t="s">
        <v>759</v>
      </c>
      <c r="D349" t="str">
        <f ca="1">IFERROR(__xludf.DUMMYFUNCTION("GOOGLETRANSLATE(B349,""es"",""en"")"),"Palma Jira")</f>
        <v>Palma Jira</v>
      </c>
      <c r="E349" t="str">
        <f ca="1">IFERROR(__xludf.DUMMYFUNCTION("GOOGLETRANSLATE(C349,""es"",""en"")"),"#VALUE!")</f>
        <v>#VALUE!</v>
      </c>
    </row>
    <row r="350" spans="1:5" ht="13.2" x14ac:dyDescent="0.25">
      <c r="A350" t="s">
        <v>760</v>
      </c>
      <c r="B350" t="s">
        <v>761</v>
      </c>
      <c r="C350" t="s">
        <v>762</v>
      </c>
      <c r="D350" t="str">
        <f ca="1">IFERROR(__xludf.DUMMYFUNCTION("GOOGLETRANSLATE(B350,""es"",""en"")"),"Once")</f>
        <v>Once</v>
      </c>
      <c r="E350" t="str">
        <f ca="1">IFERROR(__xludf.DUMMYFUNCTION("GOOGLETRANSLATE(C350,""es"",""en"")"),"At once ,,,,")</f>
        <v>At once ,,,,</v>
      </c>
    </row>
    <row r="351" spans="1:5" ht="13.2" x14ac:dyDescent="0.25">
      <c r="A351" t="s">
        <v>763</v>
      </c>
      <c r="B351" t="s">
        <v>764</v>
      </c>
      <c r="C351" t="s">
        <v>765</v>
      </c>
      <c r="D351" t="str">
        <f ca="1">IFERROR(__xludf.DUMMYFUNCTION("GOOGLETRANSLATE(B351,""es"",""en"")"),"Row")</f>
        <v>Row</v>
      </c>
      <c r="E351" t="str">
        <f ca="1">IFERROR(__xludf.DUMMYFUNCTION("GOOGLETRANSLATE(C351,""es"",""en"")"),"Order, row ,,,")</f>
        <v>Order, row ,,,</v>
      </c>
    </row>
    <row r="352" spans="1:5" ht="13.2" x14ac:dyDescent="0.25">
      <c r="A352" t="s">
        <v>766</v>
      </c>
      <c r="B352" t="s">
        <v>764</v>
      </c>
      <c r="C352" t="s">
        <v>765</v>
      </c>
      <c r="D352" t="str">
        <f ca="1">IFERROR(__xludf.DUMMYFUNCTION("GOOGLETRANSLATE(B352,""es"",""en"")"),"Row")</f>
        <v>Row</v>
      </c>
      <c r="E352" t="str">
        <f ca="1">IFERROR(__xludf.DUMMYFUNCTION("GOOGLETRANSLATE(C352,""es"",""en"")"),"Order, row ,,,")</f>
        <v>Order, row ,,,</v>
      </c>
    </row>
    <row r="353" spans="1:5" ht="13.2" x14ac:dyDescent="0.25">
      <c r="A353" t="s">
        <v>767</v>
      </c>
      <c r="B353" t="s">
        <v>768</v>
      </c>
      <c r="D353" t="str">
        <f ca="1">IFERROR(__xludf.DUMMYFUNCTION("GOOGLETRANSLATE(B353,""es"",""en"")"),"Mangrove crab")</f>
        <v>Mangrove crab</v>
      </c>
      <c r="E353" t="str">
        <f ca="1">IFERROR(__xludf.DUMMYFUNCTION("GOOGLETRANSLATE(C353,""es"",""en"")"),"#VALUE!")</f>
        <v>#VALUE!</v>
      </c>
    </row>
    <row r="354" spans="1:5" ht="13.2" x14ac:dyDescent="0.25">
      <c r="A354" t="s">
        <v>769</v>
      </c>
      <c r="B354" t="s">
        <v>770</v>
      </c>
      <c r="D354" t="str">
        <f ca="1">IFERROR(__xludf.DUMMYFUNCTION("GOOGLETRANSLATE(B354,""es"",""en"")"),"Line up")</f>
        <v>Line up</v>
      </c>
      <c r="E354" t="str">
        <f ca="1">IFERROR(__xludf.DUMMYFUNCTION("GOOGLETRANSLATE(C354,""es"",""en"")"),"#VALUE!")</f>
        <v>#VALUE!</v>
      </c>
    </row>
    <row r="355" spans="1:5" ht="13.2" x14ac:dyDescent="0.25">
      <c r="A355" t="s">
        <v>769</v>
      </c>
      <c r="B355" t="s">
        <v>771</v>
      </c>
      <c r="C355" t="s">
        <v>772</v>
      </c>
      <c r="D355" t="str">
        <f ca="1">IFERROR(__xludf.DUMMYFUNCTION("GOOGLETRANSLATE(B355,""es"",""en"")"),"Form in a row")</f>
        <v>Form in a row</v>
      </c>
      <c r="E355" t="str">
        <f ca="1">IFERROR(__xludf.DUMMYFUNCTION("GOOGLETRANSLATE(C355,""es"",""en"")"),"Sit in order ,,,,")</f>
        <v>Sit in order ,,,,</v>
      </c>
    </row>
    <row r="356" spans="1:5" ht="13.2" x14ac:dyDescent="0.25">
      <c r="A356" t="s">
        <v>773</v>
      </c>
      <c r="B356" t="s">
        <v>774</v>
      </c>
      <c r="C356" t="s">
        <v>775</v>
      </c>
      <c r="D356" t="str">
        <f ca="1">IFERROR(__xludf.DUMMYFUNCTION("GOOGLETRANSLATE(B356,""es"",""en"")"),"Organize")</f>
        <v>Organize</v>
      </c>
      <c r="E356" t="str">
        <f ca="1">IFERROR(__xludf.DUMMYFUNCTION("GOOGLETRANSLATE(C356,""es"",""en"")"),"order, systematize ,,,,")</f>
        <v>order, systematize ,,,,</v>
      </c>
    </row>
    <row r="357" spans="1:5" ht="13.2" x14ac:dyDescent="0.25">
      <c r="A357" t="s">
        <v>776</v>
      </c>
      <c r="B357" t="s">
        <v>777</v>
      </c>
      <c r="D357" t="str">
        <f ca="1">IFERROR(__xludf.DUMMYFUNCTION("GOOGLETRANSLATE(B357,""es"",""en"")"),"English language")</f>
        <v>English language</v>
      </c>
      <c r="E357" t="str">
        <f ca="1">IFERROR(__xludf.DUMMYFUNCTION("GOOGLETRANSLATE(C357,""es"",""en"")"),"#VALUE!")</f>
        <v>#VALUE!</v>
      </c>
    </row>
    <row r="358" spans="1:5" ht="13.2" x14ac:dyDescent="0.25">
      <c r="A358" t="s">
        <v>778</v>
      </c>
      <c r="B358" t="s">
        <v>777</v>
      </c>
      <c r="D358" t="str">
        <f ca="1">IFERROR(__xludf.DUMMYFUNCTION("GOOGLETRANSLATE(B358,""es"",""en"")"),"English language")</f>
        <v>English language</v>
      </c>
      <c r="E358" t="str">
        <f ca="1">IFERROR(__xludf.DUMMYFUNCTION("GOOGLETRANSLATE(C358,""es"",""en"")"),"#VALUE!")</f>
        <v>#VALUE!</v>
      </c>
    </row>
    <row r="359" spans="1:5" ht="13.2" x14ac:dyDescent="0.25">
      <c r="A359" t="s">
        <v>779</v>
      </c>
      <c r="B359" t="s">
        <v>780</v>
      </c>
      <c r="C359" t="s">
        <v>781</v>
      </c>
      <c r="D359" t="str">
        <f ca="1">IFERROR(__xludf.DUMMYFUNCTION("GOOGLETRANSLATE(B359,""es"",""en"")"),"Gross")</f>
        <v>Gross</v>
      </c>
      <c r="E359" t="str">
        <f ca="1">IFERROR(__xludf.DUMMYFUNCTION("GOOGLETRANSLATE(C359,""es"",""en"")"),"That disgusting, , , ,")</f>
        <v>That disgusting, , , ,</v>
      </c>
    </row>
    <row r="360" spans="1:5" ht="13.2" x14ac:dyDescent="0.25">
      <c r="A360" t="s">
        <v>782</v>
      </c>
      <c r="B360" t="s">
        <v>783</v>
      </c>
      <c r="C360" t="s">
        <v>784</v>
      </c>
      <c r="D360" t="str">
        <f ca="1">IFERROR(__xludf.DUMMYFUNCTION("GOOGLETRANSLATE(B360,""es"",""en"")"),"Do")</f>
        <v>Do</v>
      </c>
      <c r="E360" t="str">
        <f ca="1">IFERROR(__xludf.DUMMYFUNCTION("GOOGLETRANSLATE(C360,""es"",""en"")"),"Perform, undertake, executemp3,")</f>
        <v>Perform, undertake, executemp3,</v>
      </c>
    </row>
    <row r="361" spans="1:5" ht="13.2" x14ac:dyDescent="0.25">
      <c r="A361" t="s">
        <v>785</v>
      </c>
      <c r="B361" t="s">
        <v>783</v>
      </c>
      <c r="C361" t="s">
        <v>786</v>
      </c>
      <c r="D361" t="str">
        <f ca="1">IFERROR(__xludf.DUMMYFUNCTION("GOOGLETRANSLATE(B361,""es"",""en"")"),"Do")</f>
        <v>Do</v>
      </c>
      <c r="E361" t="str">
        <f ca="1">IFERROR(__xludf.DUMMYFUNCTION("GOOGLETRANSLATE(C361,""es"",""en"")"),"Carry out, , , ,")</f>
        <v>Carry out, , , ,</v>
      </c>
    </row>
    <row r="362" spans="1:5" ht="13.2" x14ac:dyDescent="0.25">
      <c r="A362" t="s">
        <v>787</v>
      </c>
      <c r="B362" t="s">
        <v>788</v>
      </c>
      <c r="C362" t="s">
        <v>789</v>
      </c>
      <c r="D362" t="str">
        <f ca="1">IFERROR(__xludf.DUMMYFUNCTION("GOOGLETRANSLATE(B362,""es"",""en"")"),"Between")</f>
        <v>Between</v>
      </c>
      <c r="E362" t="str">
        <f ca="1">IFERROR(__xludf.DUMMYFUNCTION("GOOGLETRANSLATE(C362,""es"",""en"")"),"Between, , , ,")</f>
        <v>Between, , , ,</v>
      </c>
    </row>
    <row r="363" spans="1:5" ht="13.2" x14ac:dyDescent="0.25">
      <c r="A363" t="s">
        <v>790</v>
      </c>
      <c r="B363" t="s">
        <v>791</v>
      </c>
      <c r="C363" t="s">
        <v>792</v>
      </c>
      <c r="D363" t="str">
        <f ca="1">IFERROR(__xludf.DUMMYFUNCTION("GOOGLETRANSLATE(B363,""es"",""en"")"),"Sometimes")</f>
        <v>Sometimes</v>
      </c>
      <c r="E363" t="str">
        <f ca="1">IFERROR(__xludf.DUMMYFUNCTION("GOOGLETRANSLATE(C363,""es"",""en"")"),"From time to time, , , ,")</f>
        <v>From time to time, , , ,</v>
      </c>
    </row>
    <row r="364" spans="1:5" ht="13.2" x14ac:dyDescent="0.25">
      <c r="A364" t="s">
        <v>793</v>
      </c>
      <c r="B364" t="s">
        <v>794</v>
      </c>
      <c r="D364" t="str">
        <f ca="1">IFERROR(__xludf.DUMMYFUNCTION("GOOGLETRANSLATE(B364,""es"",""en"")"),"Manglero crab")</f>
        <v>Manglero crab</v>
      </c>
      <c r="E364" t="str">
        <f ca="1">IFERROR(__xludf.DUMMYFUNCTION("GOOGLETRANSLATE(C364,""es"",""en"")"),"#VALUE!")</f>
        <v>#VALUE!</v>
      </c>
    </row>
    <row r="365" spans="1:5" ht="13.2" x14ac:dyDescent="0.25">
      <c r="A365" t="s">
        <v>795</v>
      </c>
      <c r="B365" t="s">
        <v>791</v>
      </c>
      <c r="C365" t="s">
        <v>792</v>
      </c>
      <c r="D365" t="str">
        <f ca="1">IFERROR(__xludf.DUMMYFUNCTION("GOOGLETRANSLATE(B365,""es"",""en"")"),"Sometimes")</f>
        <v>Sometimes</v>
      </c>
      <c r="E365" t="str">
        <f ca="1">IFERROR(__xludf.DUMMYFUNCTION("GOOGLETRANSLATE(C365,""es"",""en"")"),"From time to time, , , ,")</f>
        <v>From time to time, , , ,</v>
      </c>
    </row>
    <row r="366" spans="1:5" ht="13.2" x14ac:dyDescent="0.25">
      <c r="A366" t="s">
        <v>796</v>
      </c>
      <c r="B366" t="s">
        <v>797</v>
      </c>
      <c r="C366" t="s">
        <v>798</v>
      </c>
      <c r="D366" t="str">
        <f ca="1">IFERROR(__xludf.DUMMYFUNCTION("GOOGLETRANSLATE(B366,""es"",""en"")"),"Fed up")</f>
        <v>Fed up</v>
      </c>
      <c r="E366" t="str">
        <f ca="1">IFERROR(__xludf.DUMMYFUNCTION("GOOGLETRANSLATE(C366,""es"",""en"")"),"Full, , , ,")</f>
        <v>Full, , , ,</v>
      </c>
    </row>
    <row r="367" spans="1:5" ht="13.2" x14ac:dyDescent="0.25">
      <c r="A367" t="s">
        <v>799</v>
      </c>
      <c r="B367" t="s">
        <v>797</v>
      </c>
      <c r="C367" t="s">
        <v>798</v>
      </c>
      <c r="D367" t="str">
        <f ca="1">IFERROR(__xludf.DUMMYFUNCTION("GOOGLETRANSLATE(B367,""es"",""en"")"),"Fed up")</f>
        <v>Fed up</v>
      </c>
      <c r="E367" t="str">
        <f ca="1">IFERROR(__xludf.DUMMYFUNCTION("GOOGLETRANSLATE(C367,""es"",""en"")"),"Full, , , ,")</f>
        <v>Full, , , ,</v>
      </c>
    </row>
    <row r="368" spans="1:5" ht="13.2" x14ac:dyDescent="0.25">
      <c r="A368" t="s">
        <v>800</v>
      </c>
      <c r="B368" t="s">
        <v>95</v>
      </c>
      <c r="C368" t="s">
        <v>801</v>
      </c>
      <c r="D368" t="str">
        <f ca="1">IFERROR(__xludf.DUMMYFUNCTION("GOOGLETRANSLATE(B368,""es"",""en"")"),"Trial")</f>
        <v>Trial</v>
      </c>
      <c r="E368" t="str">
        <f ca="1">IFERROR(__xludf.DUMMYFUNCTION("GOOGLETRANSLATE(C368,""es"",""en"")"),"Cut, , , ,")</f>
        <v>Cut, , , ,</v>
      </c>
    </row>
    <row r="369" spans="1:5" ht="13.2" x14ac:dyDescent="0.25">
      <c r="A369" t="s">
        <v>802</v>
      </c>
      <c r="B369" t="s">
        <v>803</v>
      </c>
      <c r="C369" t="s">
        <v>804</v>
      </c>
      <c r="D369" t="str">
        <f ca="1">IFERROR(__xludf.DUMMYFUNCTION("GOOGLETRANSLATE(B369,""es"",""en"")"),"Plow")</f>
        <v>Plow</v>
      </c>
      <c r="E369" t="str">
        <f ca="1">IFERROR(__xludf.DUMMYFUNCTION("GOOGLETRANSLATE(C369,""es"",""en"")"),"Work, dig, stir ,,")</f>
        <v>Work, dig, stir ,,</v>
      </c>
    </row>
    <row r="370" spans="1:5" ht="13.2" x14ac:dyDescent="0.25">
      <c r="A370" t="s">
        <v>805</v>
      </c>
      <c r="B370" t="s">
        <v>806</v>
      </c>
      <c r="C370" t="s">
        <v>807</v>
      </c>
      <c r="D370" t="str">
        <f ca="1">IFERROR(__xludf.DUMMYFUNCTION("GOOGLETRANSLATE(B370,""es"",""en"")"),"Medicine")</f>
        <v>Medicine</v>
      </c>
      <c r="E370" t="str">
        <f ca="1">IFERROR(__xludf.DUMMYFUNCTION("GOOGLETRANSLATE(C370,""es"",""en"")"),"Medicinal plant ,,,,")</f>
        <v>Medicinal plant ,,,,</v>
      </c>
    </row>
    <row r="371" spans="1:5" ht="13.2" x14ac:dyDescent="0.25">
      <c r="A371" t="s">
        <v>808</v>
      </c>
      <c r="B371" t="s">
        <v>809</v>
      </c>
      <c r="D371" t="str">
        <f ca="1">IFERROR(__xludf.DUMMYFUNCTION("GOOGLETRANSLATE(B371,""es"",""en"")"),"Connoisseur of medicinal plants")</f>
        <v>Connoisseur of medicinal plants</v>
      </c>
      <c r="E371" t="str">
        <f ca="1">IFERROR(__xludf.DUMMYFUNCTION("GOOGLETRANSLATE(C371,""es"",""en"")"),"#VALUE!")</f>
        <v>#VALUE!</v>
      </c>
    </row>
    <row r="372" spans="1:5" ht="13.2" x14ac:dyDescent="0.25">
      <c r="A372" t="s">
        <v>810</v>
      </c>
      <c r="B372" t="s">
        <v>811</v>
      </c>
      <c r="D372" t="str">
        <f ca="1">IFERROR(__xludf.DUMMYFUNCTION("GOOGLETRANSLATE(B372,""es"",""en"")"),"November")</f>
        <v>November</v>
      </c>
      <c r="E372" t="str">
        <f ca="1">IFERROR(__xludf.DUMMYFUNCTION("GOOGLETRANSLATE(C372,""es"",""en"")"),"#VALUE!")</f>
        <v>#VALUE!</v>
      </c>
    </row>
    <row r="373" spans="1:5" ht="13.2" x14ac:dyDescent="0.25">
      <c r="A373" t="s">
        <v>812</v>
      </c>
      <c r="B373" t="s">
        <v>813</v>
      </c>
      <c r="C373" t="s">
        <v>814</v>
      </c>
      <c r="D373" t="str">
        <f ca="1">IFERROR(__xludf.DUMMYFUNCTION("GOOGLETRANSLATE(B373,""es"",""en"")"),"Potion")</f>
        <v>Potion</v>
      </c>
      <c r="E373" t="str">
        <f ca="1">IFERROR(__xludf.DUMMYFUNCTION("GOOGLETRANSLATE(C373,""es"",""en"")"),"Poison, potion ,,,,")</f>
        <v>Poison, potion ,,,,</v>
      </c>
    </row>
    <row r="374" spans="1:5" ht="13.2" x14ac:dyDescent="0.25">
      <c r="A374" t="s">
        <v>815</v>
      </c>
      <c r="B374" t="s">
        <v>816</v>
      </c>
      <c r="C374" t="s">
        <v>817</v>
      </c>
      <c r="D374" t="str">
        <f ca="1">IFERROR(__xludf.DUMMYFUNCTION("GOOGLETRANSLATE(B374,""es"",""en"")"),"RAICILLA")</f>
        <v>RAICILLA</v>
      </c>
      <c r="E374" t="str">
        <f ca="1">IFERROR(__xludf.DUMMYFUNCTION("GOOGLETRANSLATE(C374,""es"",""en"")"),"Plant, , , ,")</f>
        <v>Plant, , , ,</v>
      </c>
    </row>
    <row r="375" spans="1:5" ht="13.2" x14ac:dyDescent="0.25">
      <c r="A375" t="s">
        <v>818</v>
      </c>
      <c r="B375" t="s">
        <v>819</v>
      </c>
      <c r="D375" t="str">
        <f ca="1">IFERROR(__xludf.DUMMYFUNCTION("GOOGLETRANSLATE(B375,""es"",""en"")"),"Mangrove crab")</f>
        <v>Mangrove crab</v>
      </c>
      <c r="E375" t="str">
        <f ca="1">IFERROR(__xludf.DUMMYFUNCTION("GOOGLETRANSLATE(C375,""es"",""en"")"),"#VALUE!")</f>
        <v>#VALUE!</v>
      </c>
    </row>
    <row r="376" spans="1:5" ht="13.2" x14ac:dyDescent="0.25">
      <c r="A376" t="s">
        <v>820</v>
      </c>
      <c r="B376" t="s">
        <v>821</v>
      </c>
      <c r="D376" t="str">
        <f ca="1">IFERROR(__xludf.DUMMYFUNCTION("GOOGLETRANSLATE(B376,""es"",""en"")"),"Cayuco for medicinal bathrooms")</f>
        <v>Cayuco for medicinal bathrooms</v>
      </c>
      <c r="E376" t="str">
        <f ca="1">IFERROR(__xludf.DUMMYFUNCTION("GOOGLETRANSLATE(C376,""es"",""en"")"),"#VALUE!")</f>
        <v>#VALUE!</v>
      </c>
    </row>
    <row r="377" spans="1:5" ht="13.2" x14ac:dyDescent="0.25">
      <c r="A377" t="s">
        <v>822</v>
      </c>
      <c r="B377" t="s">
        <v>821</v>
      </c>
      <c r="D377" t="str">
        <f ca="1">IFERROR(__xludf.DUMMYFUNCTION("GOOGLETRANSLATE(B377,""es"",""en"")"),"Cayuco for medicinal bathrooms")</f>
        <v>Cayuco for medicinal bathrooms</v>
      </c>
      <c r="E377" t="str">
        <f ca="1">IFERROR(__xludf.DUMMYFUNCTION("GOOGLETRANSLATE(C377,""es"",""en"")"),"#VALUE!")</f>
        <v>#VALUE!</v>
      </c>
    </row>
    <row r="378" spans="1:5" ht="13.2" x14ac:dyDescent="0.25">
      <c r="A378" t="s">
        <v>823</v>
      </c>
      <c r="B378" t="s">
        <v>824</v>
      </c>
      <c r="C378" t="s">
        <v>825</v>
      </c>
      <c r="D378" t="str">
        <f ca="1">IFERROR(__xludf.DUMMYFUNCTION("GOOGLETRANSLATE(B378,""es"",""en"")"),"Leave")</f>
        <v>Leave</v>
      </c>
      <c r="E378" t="str">
        <f ca="1">IFERROR(__xludf.DUMMYFUNCTION("GOOGLETRANSLATE(C378,""es"",""en"")"),"Release, separate from ,,,")</f>
        <v>Release, separate from ,,,</v>
      </c>
    </row>
    <row r="379" spans="1:5" ht="13.2" x14ac:dyDescent="0.25">
      <c r="A379" t="s">
        <v>826</v>
      </c>
      <c r="B379" t="s">
        <v>827</v>
      </c>
      <c r="D379" t="str">
        <f ca="1">IFERROR(__xludf.DUMMYFUNCTION("GOOGLETRANSLATE(B379,""es"",""en"")"),"When")</f>
        <v>When</v>
      </c>
      <c r="E379" t="str">
        <f ca="1">IFERROR(__xludf.DUMMYFUNCTION("GOOGLETRANSLATE(C379,""es"",""en"")"),"#VALUE!")</f>
        <v>#VALUE!</v>
      </c>
    </row>
    <row r="380" spans="1:5" ht="13.2" x14ac:dyDescent="0.25">
      <c r="A380" t="s">
        <v>828</v>
      </c>
      <c r="B380" t="s">
        <v>827</v>
      </c>
      <c r="D380" t="str">
        <f ca="1">IFERROR(__xludf.DUMMYFUNCTION("GOOGLETRANSLATE(B380,""es"",""en"")"),"When")</f>
        <v>When</v>
      </c>
      <c r="E380" t="str">
        <f ca="1">IFERROR(__xludf.DUMMYFUNCTION("GOOGLETRANSLATE(C380,""es"",""en"")"),"#VALUE!")</f>
        <v>#VALUE!</v>
      </c>
    </row>
    <row r="381" spans="1:5" ht="13.2" x14ac:dyDescent="0.25">
      <c r="A381" t="s">
        <v>829</v>
      </c>
      <c r="B381" t="s">
        <v>29</v>
      </c>
      <c r="D381" t="str">
        <f ca="1">IFERROR(__xludf.DUMMYFUNCTION("GOOGLETRANSLATE(B381,""es"",""en"")"),"Cane juice")</f>
        <v>Cane juice</v>
      </c>
      <c r="E381" t="str">
        <f ca="1">IFERROR(__xludf.DUMMYFUNCTION("GOOGLETRANSLATE(C381,""es"",""en"")"),"#VALUE!")</f>
        <v>#VALUE!</v>
      </c>
    </row>
    <row r="382" spans="1:5" ht="13.2" x14ac:dyDescent="0.25">
      <c r="A382" t="s">
        <v>830</v>
      </c>
      <c r="B382" t="s">
        <v>831</v>
      </c>
      <c r="D382" t="s">
        <v>832</v>
      </c>
      <c r="E382" t="str">
        <f ca="1">IFERROR(__xludf.DUMMYFUNCTION("GOOGLETRANSLATE(C382,""es"",""en"")"),"#VALUE!")</f>
        <v>#VALUE!</v>
      </c>
    </row>
    <row r="383" spans="1:5" ht="13.2" x14ac:dyDescent="0.25">
      <c r="A383" t="s">
        <v>833</v>
      </c>
      <c r="B383" t="s">
        <v>831</v>
      </c>
      <c r="D383" t="s">
        <v>832</v>
      </c>
      <c r="E383" t="str">
        <f ca="1">IFERROR(__xludf.DUMMYFUNCTION("GOOGLETRANSLATE(C383,""es"",""en"")"),"#VALUE!")</f>
        <v>#VALUE!</v>
      </c>
    </row>
    <row r="384" spans="1:5" ht="13.2" x14ac:dyDescent="0.25">
      <c r="A384" t="s">
        <v>829</v>
      </c>
      <c r="B384" t="s">
        <v>834</v>
      </c>
      <c r="D384" t="str">
        <f ca="1">IFERROR(__xludf.DUMMYFUNCTION("GOOGLETRANSLATE(B384,""es"",""en"")"),"Corn soda")</f>
        <v>Corn soda</v>
      </c>
      <c r="E384" t="str">
        <f ca="1">IFERROR(__xludf.DUMMYFUNCTION("GOOGLETRANSLATE(C384,""es"",""en"")"),"#VALUE!")</f>
        <v>#VALUE!</v>
      </c>
    </row>
    <row r="385" spans="1:5" ht="13.2" x14ac:dyDescent="0.25">
      <c r="A385" t="s">
        <v>835</v>
      </c>
      <c r="B385" t="s">
        <v>836</v>
      </c>
      <c r="C385" t="s">
        <v>837</v>
      </c>
      <c r="D385" t="str">
        <f ca="1">IFERROR(__xludf.DUMMYFUNCTION("GOOGLETRANSLATE(B385,""es"",""en"")"),"Twist")</f>
        <v>Twist</v>
      </c>
      <c r="E385" t="str">
        <f ca="1">IFERROR(__xludf.DUMMYFUNCTION("GOOGLETRANSLATE(C385,""es"",""en"")"),"bow, archeish ,,,,")</f>
        <v>bow, archeish ,,,,</v>
      </c>
    </row>
    <row r="386" spans="1:5" ht="13.2" x14ac:dyDescent="0.25">
      <c r="A386" t="s">
        <v>838</v>
      </c>
      <c r="B386" t="s">
        <v>839</v>
      </c>
      <c r="C386" t="s">
        <v>840</v>
      </c>
      <c r="D386" t="s">
        <v>841</v>
      </c>
      <c r="E386" t="str">
        <f ca="1">IFERROR(__xludf.DUMMYFUNCTION("GOOGLETRANSLATE(C386,""es"",""en"")"),"Chicha house ,,,,")</f>
        <v>Chicha house ,,,,</v>
      </c>
    </row>
    <row r="387" spans="1:5" ht="13.2" x14ac:dyDescent="0.25">
      <c r="A387" t="s">
        <v>842</v>
      </c>
      <c r="B387" t="s">
        <v>843</v>
      </c>
      <c r="C387" t="s">
        <v>844</v>
      </c>
      <c r="D387" t="s">
        <v>841</v>
      </c>
      <c r="E387" t="str">
        <f ca="1">IFERROR(__xludf.DUMMYFUNCTION("GOOGLETRANSLATE(C387,""es"",""en"")"),"Chicha house ,,,,")</f>
        <v>Chicha house ,,,,</v>
      </c>
    </row>
    <row r="388" spans="1:5" ht="13.2" x14ac:dyDescent="0.25">
      <c r="A388" t="s">
        <v>845</v>
      </c>
      <c r="B388" t="s">
        <v>843</v>
      </c>
      <c r="C388" t="s">
        <v>844</v>
      </c>
      <c r="D388" t="s">
        <v>841</v>
      </c>
      <c r="E388" t="str">
        <f ca="1">IFERROR(__xludf.DUMMYFUNCTION("GOOGLETRANSLATE(C388,""es"",""en"")"),"Chicha house ,,,,")</f>
        <v>Chicha house ,,,,</v>
      </c>
    </row>
    <row r="389" spans="1:5" ht="13.2" x14ac:dyDescent="0.25">
      <c r="A389" t="s">
        <v>846</v>
      </c>
      <c r="B389" t="s">
        <v>843</v>
      </c>
      <c r="C389" t="s">
        <v>844</v>
      </c>
      <c r="D389" t="s">
        <v>841</v>
      </c>
      <c r="E389" t="str">
        <f ca="1">IFERROR(__xludf.DUMMYFUNCTION("GOOGLETRANSLATE(C389,""es"",""en"")"),"Chicha house ,,,,")</f>
        <v>Chicha house ,,,,</v>
      </c>
    </row>
    <row r="390" spans="1:5" ht="13.2" x14ac:dyDescent="0.25">
      <c r="A390" t="s">
        <v>847</v>
      </c>
      <c r="B390" t="s">
        <v>848</v>
      </c>
      <c r="C390" t="s">
        <v>849</v>
      </c>
      <c r="D390" t="str">
        <f ca="1">IFERROR(__xludf.DUMMYFUNCTION("GOOGLETRANSLATE(B390,""es"",""en"")"),"Corn juice")</f>
        <v>Corn juice</v>
      </c>
      <c r="E390" t="str">
        <f ca="1">IFERROR(__xludf.DUMMYFUNCTION("GOOGLETRANSLATE(C390,""es"",""en"")")," Soda or wine")</f>
        <v xml:space="preserve"> Soda or wine</v>
      </c>
    </row>
    <row r="391" spans="1:5" ht="13.2" x14ac:dyDescent="0.25">
      <c r="A391" t="s">
        <v>850</v>
      </c>
      <c r="B391" t="s">
        <v>851</v>
      </c>
      <c r="D391" t="str">
        <f ca="1">IFERROR(__xludf.DUMMYFUNCTION("GOOGLETRANSLATE(B391,""es"",""en"")"),"Haircut ceremony")</f>
        <v>Haircut ceremony</v>
      </c>
      <c r="E391" t="str">
        <f ca="1">IFERROR(__xludf.DUMMYFUNCTION("GOOGLETRANSLATE(C391,""es"",""en"")"),"#VALUE!")</f>
        <v>#VALUE!</v>
      </c>
    </row>
    <row r="392" spans="1:5" ht="13.2" x14ac:dyDescent="0.25">
      <c r="A392" t="s">
        <v>852</v>
      </c>
      <c r="B392" t="s">
        <v>853</v>
      </c>
      <c r="C392" t="s">
        <v>854</v>
      </c>
      <c r="D392" t="str">
        <f ca="1">IFERROR(__xludf.DUMMYFUNCTION("GOOGLETRANSLATE(B392,""es"",""en"")"),"straight")</f>
        <v>straight</v>
      </c>
      <c r="E392" t="str">
        <f ca="1">IFERROR(__xludf.DUMMYFUNCTION("GOOGLETRANSLATE(C392,""es"",""en"")"),"walk correctly")</f>
        <v>walk correctly</v>
      </c>
    </row>
    <row r="393" spans="1:5" ht="13.2" x14ac:dyDescent="0.25">
      <c r="A393" t="s">
        <v>855</v>
      </c>
      <c r="B393" t="s">
        <v>856</v>
      </c>
      <c r="C393" t="s">
        <v>857</v>
      </c>
      <c r="D393" t="str">
        <f ca="1">IFERROR(__xludf.DUMMYFUNCTION("GOOGLETRANSLATE(B393,""es"",""en"")"),"Straight")</f>
        <v>Straight</v>
      </c>
      <c r="E393" t="str">
        <f ca="1">IFERROR(__xludf.DUMMYFUNCTION("GOOGLETRANSLATE(C393,""es"",""en"")"),"rectilinear")</f>
        <v>rectilinear</v>
      </c>
    </row>
    <row r="394" spans="1:5" ht="13.2" x14ac:dyDescent="0.25">
      <c r="A394" t="s">
        <v>858</v>
      </c>
      <c r="B394" t="s">
        <v>859</v>
      </c>
      <c r="C394" t="s">
        <v>860</v>
      </c>
      <c r="D394" t="str">
        <f ca="1">IFERROR(__xludf.DUMMYFUNCTION("GOOGLETRANSLATE(B394,""es"",""en"")"),"In row")</f>
        <v>In row</v>
      </c>
      <c r="E394" t="str">
        <f ca="1">IFERROR(__xludf.DUMMYFUNCTION("GOOGLETRANSLATE(C394,""es"",""en"")"),"In row")</f>
        <v>In row</v>
      </c>
    </row>
    <row r="395" spans="1:5" ht="13.2" x14ac:dyDescent="0.25">
      <c r="A395" t="s">
        <v>861</v>
      </c>
      <c r="B395" t="s">
        <v>862</v>
      </c>
      <c r="C395" t="s">
        <v>863</v>
      </c>
      <c r="D395" t="str">
        <f ca="1">IFERROR(__xludf.DUMMYFUNCTION("GOOGLETRANSLATE(B395,""es"",""en"")"),"TRUE")</f>
        <v>TRUE</v>
      </c>
      <c r="E395" t="str">
        <f ca="1">IFERROR(__xludf.DUMMYFUNCTION("GOOGLETRANSLATE(C395,""es"",""en"")"),"It's true, , , ,")</f>
        <v>It's true, , , ,</v>
      </c>
    </row>
    <row r="396" spans="1:5" ht="13.2" x14ac:dyDescent="0.25">
      <c r="A396" t="s">
        <v>864</v>
      </c>
      <c r="B396" t="s">
        <v>865</v>
      </c>
      <c r="C396" t="s">
        <v>866</v>
      </c>
      <c r="D396" t="str">
        <f ca="1">IFERROR(__xludf.DUMMYFUNCTION("GOOGLETRANSLATE(B396,""es"",""en"")"),"In some place")</f>
        <v>In some place</v>
      </c>
      <c r="E396" t="str">
        <f ca="1">IFERROR(__xludf.DUMMYFUNCTION("GOOGLETRANSLATE(C396,""es"",""en"")"),"Someplace, , , ,")</f>
        <v>Someplace, , , ,</v>
      </c>
    </row>
    <row r="397" spans="1:5" ht="13.2" x14ac:dyDescent="0.25">
      <c r="A397" t="s">
        <v>867</v>
      </c>
      <c r="B397" t="s">
        <v>862</v>
      </c>
      <c r="C397" t="s">
        <v>868</v>
      </c>
      <c r="D397" t="str">
        <f ca="1">IFERROR(__xludf.DUMMYFUNCTION("GOOGLETRANSLATE(B397,""es"",""en"")"),"TRUE")</f>
        <v>TRUE</v>
      </c>
      <c r="E397" t="str">
        <f ca="1">IFERROR(__xludf.DUMMYFUNCTION("GOOGLETRANSLATE(C397,""es"",""en"")"),"It's true, it's true ,,,,")</f>
        <v>It's true, it's true ,,,,</v>
      </c>
    </row>
    <row r="398" spans="1:5" ht="13.2" x14ac:dyDescent="0.25">
      <c r="A398" t="s">
        <v>869</v>
      </c>
      <c r="B398" t="s">
        <v>862</v>
      </c>
      <c r="C398" t="s">
        <v>868</v>
      </c>
      <c r="D398" t="str">
        <f ca="1">IFERROR(__xludf.DUMMYFUNCTION("GOOGLETRANSLATE(B398,""es"",""en"")"),"TRUE")</f>
        <v>TRUE</v>
      </c>
      <c r="E398" t="str">
        <f ca="1">IFERROR(__xludf.DUMMYFUNCTION("GOOGLETRANSLATE(C398,""es"",""en"")"),"It's true, it's true ,,,,")</f>
        <v>It's true, it's true ,,,,</v>
      </c>
    </row>
    <row r="399" spans="1:5" ht="13.2" x14ac:dyDescent="0.25">
      <c r="A399" t="s">
        <v>870</v>
      </c>
      <c r="B399" t="s">
        <v>856</v>
      </c>
      <c r="C399" t="s">
        <v>871</v>
      </c>
      <c r="D399" t="str">
        <f ca="1">IFERROR(__xludf.DUMMYFUNCTION("GOOGLETRANSLATE(B399,""es"",""en"")"),"Straight")</f>
        <v>Straight</v>
      </c>
      <c r="E399" t="str">
        <f ca="1">IFERROR(__xludf.DUMMYFUNCTION("GOOGLETRANSLATE(C399,""es"",""en"")"),"Straight line, impartial ,,,,")</f>
        <v>Straight line, impartial ,,,,</v>
      </c>
    </row>
    <row r="400" spans="1:5" ht="13.2" x14ac:dyDescent="0.25">
      <c r="A400" t="s">
        <v>872</v>
      </c>
      <c r="B400" t="s">
        <v>856</v>
      </c>
      <c r="C400" t="s">
        <v>873</v>
      </c>
      <c r="D400" t="str">
        <f ca="1">IFERROR(__xludf.DUMMYFUNCTION("GOOGLETRANSLATE(B400,""es"",""en"")"),"Straight")</f>
        <v>Straight</v>
      </c>
      <c r="E400" t="str">
        <f ca="1">IFERROR(__xludf.DUMMYFUNCTION("GOOGLETRANSLATE(C400,""es"",""en"")"),"Straight line, , , ,")</f>
        <v>Straight line, , , ,</v>
      </c>
    </row>
    <row r="401" spans="1:5" ht="13.2" x14ac:dyDescent="0.25">
      <c r="A401" t="s">
        <v>874</v>
      </c>
      <c r="B401" t="s">
        <v>875</v>
      </c>
      <c r="C401" t="s">
        <v>876</v>
      </c>
      <c r="D401" t="str">
        <f ca="1">IFERROR(__xludf.DUMMYFUNCTION("GOOGLETRANSLATE(B401,""es"",""en"")"),"Remember")</f>
        <v>Remember</v>
      </c>
      <c r="E401" t="str">
        <f ca="1">IFERROR(__xludf.DUMMYFUNCTION("GOOGLETRANSLATE(C401,""es"",""en"")"),"Remember, commemorate ,,,,")</f>
        <v>Remember, commemorate ,,,,</v>
      </c>
    </row>
    <row r="402" spans="1:5" ht="13.2" x14ac:dyDescent="0.25">
      <c r="A402" t="s">
        <v>877</v>
      </c>
      <c r="B402" t="s">
        <v>875</v>
      </c>
      <c r="C402" t="s">
        <v>878</v>
      </c>
      <c r="D402" t="str">
        <f ca="1">IFERROR(__xludf.DUMMYFUNCTION("GOOGLETRANSLATE(B402,""es"",""en"")"),"Remember")</f>
        <v>Remember</v>
      </c>
      <c r="E402" t="str">
        <f ca="1">IFERROR(__xludf.DUMMYFUNCTION("GOOGLETRANSLATE(C402,""es"",""en"")"),"remember, commemorate ,,,,")</f>
        <v>remember, commemorate ,,,,</v>
      </c>
    </row>
    <row r="403" spans="1:5" ht="13.2" x14ac:dyDescent="0.25">
      <c r="A403" t="s">
        <v>879</v>
      </c>
      <c r="B403" t="s">
        <v>880</v>
      </c>
      <c r="C403" t="s">
        <v>881</v>
      </c>
      <c r="D403" t="str">
        <f ca="1">IFERROR(__xludf.DUMMYFUNCTION("GOOGLETRANSLATE(B403,""es"",""en"")"),"First")</f>
        <v>First</v>
      </c>
      <c r="E403" t="str">
        <f ca="1">IFERROR(__xludf.DUMMYFUNCTION("GOOGLETRANSLATE(C403,""es"",""en"")"),"Forward, , , ,")</f>
        <v>Forward, , , ,</v>
      </c>
    </row>
    <row r="404" spans="1:5" ht="13.2" x14ac:dyDescent="0.25">
      <c r="A404" t="s">
        <v>882</v>
      </c>
      <c r="B404" t="s">
        <v>883</v>
      </c>
      <c r="C404" t="s">
        <v>884</v>
      </c>
      <c r="D404" t="str">
        <f ca="1">IFERROR(__xludf.DUMMYFUNCTION("GOOGLETRANSLATE(B404,""es"",""en"")"),"Bean")</f>
        <v>Bean</v>
      </c>
      <c r="E404" t="str">
        <f ca="1">IFERROR(__xludf.DUMMYFUNCTION("GOOGLETRANSLATE(C404,""es"",""en"")"),"Alubia, Jewish, Habicuela ,,")</f>
        <v>Alubia, Jewish, Habicuela ,,</v>
      </c>
    </row>
    <row r="405" spans="1:5" ht="13.2" x14ac:dyDescent="0.25">
      <c r="A405" t="s">
        <v>885</v>
      </c>
      <c r="B405" t="s">
        <v>883</v>
      </c>
      <c r="C405" t="s">
        <v>886</v>
      </c>
      <c r="D405" t="str">
        <f ca="1">IFERROR(__xludf.DUMMYFUNCTION("GOOGLETRANSLATE(B405,""es"",""en"")"),"Bean")</f>
        <v>Bean</v>
      </c>
      <c r="E405" t="str">
        <f ca="1">IFERROR(__xludf.DUMMYFUNCTION("GOOGLETRANSLATE(C405,""es"",""en"")"),"Alubia, Jewish, Habichuela ,,")</f>
        <v>Alubia, Jewish, Habichuela ,,</v>
      </c>
    </row>
    <row r="406" spans="1:5" ht="13.2" x14ac:dyDescent="0.25">
      <c r="A406" t="s">
        <v>887</v>
      </c>
      <c r="B406" t="s">
        <v>888</v>
      </c>
      <c r="C406" t="s">
        <v>889</v>
      </c>
      <c r="D406" t="str">
        <f ca="1">IFERROR(__xludf.DUMMYFUNCTION("GOOGLETRANSLATE(B406,""es"",""en"")"),"Older sister")</f>
        <v>Older sister</v>
      </c>
      <c r="E406" t="str">
        <f ca="1">IFERROR(__xludf.DUMMYFUNCTION("GOOGLETRANSLATE(C406,""es"",""en"")"),"From woman to woman ,,,,")</f>
        <v>From woman to woman ,,,,</v>
      </c>
    </row>
    <row r="407" spans="1:5" ht="13.2" x14ac:dyDescent="0.25">
      <c r="A407" t="s">
        <v>890</v>
      </c>
      <c r="B407" t="s">
        <v>891</v>
      </c>
      <c r="C407" t="s">
        <v>892</v>
      </c>
      <c r="D407" t="str">
        <f ca="1">IFERROR(__xludf.DUMMYFUNCTION("GOOGLETRANSLATE(B407,""es"",""en"")"),"Go out")</f>
        <v>Go out</v>
      </c>
      <c r="E407" t="str">
        <f ca="1">IFERROR(__xludf.DUMMYFUNCTION("GOOGLETRANSLATE(C407,""es"",""en"")"),"Brush, germinate, suggest ,,,")</f>
        <v>Brush, germinate, suggest ,,,</v>
      </c>
    </row>
    <row r="408" spans="1:5" ht="13.2" x14ac:dyDescent="0.25">
      <c r="A408" t="s">
        <v>893</v>
      </c>
      <c r="B408" t="s">
        <v>888</v>
      </c>
      <c r="D408" t="str">
        <f ca="1">IFERROR(__xludf.DUMMYFUNCTION("GOOGLETRANSLATE(B408,""es"",""en"")"),"Older sister")</f>
        <v>Older sister</v>
      </c>
      <c r="E408" t="str">
        <f ca="1">IFERROR(__xludf.DUMMYFUNCTION("GOOGLETRANSLATE(C408,""es"",""en"")"),"#VALUE!")</f>
        <v>#VALUE!</v>
      </c>
    </row>
    <row r="409" spans="1:5" ht="13.2" x14ac:dyDescent="0.25">
      <c r="A409" t="s">
        <v>894</v>
      </c>
      <c r="B409" t="s">
        <v>895</v>
      </c>
      <c r="C409" t="s">
        <v>896</v>
      </c>
      <c r="D409" t="str">
        <f ca="1">IFERROR(__xludf.DUMMYFUNCTION("GOOGLETRANSLATE(B409,""es"",""en"")"),"Easy")</f>
        <v>Easy</v>
      </c>
      <c r="E409" t="str">
        <f ca="1">IFERROR(__xludf.DUMMYFUNCTION("GOOGLETRANSLATE(C409,""es"",""en"")"),"Comfortable, , , ,")</f>
        <v>Comfortable, , , ,</v>
      </c>
    </row>
    <row r="410" spans="1:5" ht="13.2" x14ac:dyDescent="0.25">
      <c r="A410" t="s">
        <v>897</v>
      </c>
      <c r="B410" t="s">
        <v>895</v>
      </c>
      <c r="C410" t="s">
        <v>896</v>
      </c>
      <c r="D410" t="str">
        <f ca="1">IFERROR(__xludf.DUMMYFUNCTION("GOOGLETRANSLATE(B410,""es"",""en"")"),"Easy")</f>
        <v>Easy</v>
      </c>
      <c r="E410" t="str">
        <f ca="1">IFERROR(__xludf.DUMMYFUNCTION("GOOGLETRANSLATE(C410,""es"",""en"")"),"Comfortable, , , ,")</f>
        <v>Comfortable, , , ,</v>
      </c>
    </row>
    <row r="411" spans="1:5" ht="13.2" x14ac:dyDescent="0.25">
      <c r="A411" t="s">
        <v>898</v>
      </c>
      <c r="B411" t="s">
        <v>899</v>
      </c>
      <c r="C411" t="s">
        <v>900</v>
      </c>
      <c r="D411" t="str">
        <f ca="1">IFERROR(__xludf.DUMMYFUNCTION("GOOGLETRANSLATE(B411,""es"",""en"")"),"Glass")</f>
        <v>Glass</v>
      </c>
      <c r="E411" t="str">
        <f ca="1">IFERROR(__xludf.DUMMYFUNCTION("GOOGLETRANSLATE(C411,""es"",""en"")"),"Crystal, mirror ,,,,")</f>
        <v>Crystal, mirror ,,,,</v>
      </c>
    </row>
    <row r="412" spans="1:5" ht="13.2" x14ac:dyDescent="0.25">
      <c r="A412" t="s">
        <v>901</v>
      </c>
      <c r="B412" t="s">
        <v>902</v>
      </c>
      <c r="D412" t="str">
        <f ca="1">IFERROR(__xludf.DUMMYFUNCTION("GOOGLETRANSLATE(B412,""es"",""en"")"),"Casabe fish")</f>
        <v>Casabe fish</v>
      </c>
      <c r="E412" t="str">
        <f ca="1">IFERROR(__xludf.DUMMYFUNCTION("GOOGLETRANSLATE(C412,""es"",""en"")"),"#VALUE!")</f>
        <v>#VALUE!</v>
      </c>
    </row>
    <row r="413" spans="1:5" ht="13.2" x14ac:dyDescent="0.25">
      <c r="A413" t="s">
        <v>903</v>
      </c>
      <c r="B413" t="s">
        <v>904</v>
      </c>
      <c r="C413" t="s">
        <v>905</v>
      </c>
      <c r="D413" t="str">
        <f ca="1">IFERROR(__xludf.DUMMYFUNCTION("GOOGLETRANSLATE(B413,""es"",""en"")"),"Glasses")</f>
        <v>Glasses</v>
      </c>
      <c r="E413" t="str">
        <f ca="1">IFERROR(__xludf.DUMMYFUNCTION("GOOGLETRANSLATE(C413,""es"",""en"")"),"Glasses, , , ,")</f>
        <v>Glasses, , , ,</v>
      </c>
    </row>
    <row r="414" spans="1:5" ht="13.2" x14ac:dyDescent="0.25">
      <c r="A414" t="s">
        <v>906</v>
      </c>
      <c r="B414" t="s">
        <v>907</v>
      </c>
      <c r="C414" t="s">
        <v>908</v>
      </c>
      <c r="D414" t="str">
        <f ca="1">IFERROR(__xludf.DUMMYFUNCTION("GOOGLETRANSLATE(B414,""es"",""en"")"),"Hateful")</f>
        <v>Hateful</v>
      </c>
      <c r="E414" t="str">
        <f ca="1">IFERROR(__xludf.DUMMYFUNCTION("GOOGLETRANSLATE(C414,""es"",""en"")"),"Abominable, abominable, detestable,")</f>
        <v>Abominable, abominable, detestable,</v>
      </c>
    </row>
    <row r="415" spans="1:5" ht="13.2" x14ac:dyDescent="0.25">
      <c r="A415" t="s">
        <v>909</v>
      </c>
      <c r="B415" t="s">
        <v>910</v>
      </c>
      <c r="C415" t="s">
        <v>911</v>
      </c>
      <c r="D415" t="str">
        <f ca="1">IFERROR(__xludf.DUMMYFUNCTION("GOOGLETRANSLATE(B415,""es"",""en"")"),"Hate")</f>
        <v>Hate</v>
      </c>
      <c r="E415" t="str">
        <f ca="1">IFERROR(__xludf.DUMMYFUNCTION("GOOGLETRANSLATE(C415,""es"",""en"")"),"Repudiate, hate ,,,,")</f>
        <v>Repudiate, hate ,,,,</v>
      </c>
    </row>
    <row r="416" spans="1:5" ht="13.2" x14ac:dyDescent="0.25">
      <c r="A416" t="s">
        <v>912</v>
      </c>
      <c r="B416" t="s">
        <v>910</v>
      </c>
      <c r="C416" t="s">
        <v>913</v>
      </c>
      <c r="D416" t="str">
        <f ca="1">IFERROR(__xludf.DUMMYFUNCTION("GOOGLETRANSLATE(B416,""es"",""en"")"),"Hate")</f>
        <v>Hate</v>
      </c>
      <c r="E416" t="str">
        <f ca="1">IFERROR(__xludf.DUMMYFUNCTION("GOOGLETRANSLATE(C416,""es"",""en"")"),"Repudiate, hate ,,,,")</f>
        <v>Repudiate, hate ,,,,</v>
      </c>
    </row>
    <row r="417" spans="1:5" ht="13.2" x14ac:dyDescent="0.25">
      <c r="A417" t="s">
        <v>914</v>
      </c>
      <c r="B417" t="s">
        <v>915</v>
      </c>
      <c r="C417" t="s">
        <v>916</v>
      </c>
      <c r="D417" t="str">
        <f ca="1">IFERROR(__xludf.DUMMYFUNCTION("GOOGLETRANSLATE(B417,""es"",""en"")"),"Not allowed")</f>
        <v>Not allowed</v>
      </c>
      <c r="E417" t="str">
        <f ca="1">IFERROR(__xludf.DUMMYFUNCTION("GOOGLETRANSLATE(C417,""es"",""en"")"),"It should not be desecrated ,,,,")</f>
        <v>It should not be desecrated ,,,,</v>
      </c>
    </row>
    <row r="418" spans="1:5" ht="13.2" x14ac:dyDescent="0.25">
      <c r="A418" t="s">
        <v>917</v>
      </c>
      <c r="B418" t="s">
        <v>918</v>
      </c>
      <c r="C418" t="s">
        <v>919</v>
      </c>
      <c r="D418" t="str">
        <f ca="1">IFERROR(__xludf.DUMMYFUNCTION("GOOGLETRANSLATE(B418,""es"",""en"")"),"Set aside")</f>
        <v>Set aside</v>
      </c>
      <c r="E418" t="str">
        <f ca="1">IFERROR(__xludf.DUMMYFUNCTION("GOOGLETRANSLATE(C418,""es"",""en"")"),"Take off, , , ,")</f>
        <v>Take off, , , ,</v>
      </c>
    </row>
    <row r="419" spans="1:5" ht="13.2" x14ac:dyDescent="0.25">
      <c r="A419" t="s">
        <v>920</v>
      </c>
      <c r="B419" t="s">
        <v>921</v>
      </c>
      <c r="C419" t="s">
        <v>922</v>
      </c>
      <c r="D419" t="str">
        <f ca="1">IFERROR(__xludf.DUMMYFUNCTION("GOOGLETRANSLATE(B419,""es"",""en"")"),"Unhealthy")</f>
        <v>Unhealthy</v>
      </c>
      <c r="E419" t="str">
        <f ca="1">IFERROR(__xludf.DUMMYFUNCTION("GOOGLETRANSLATE(C419,""es"",""en"")"),"Unusable, malefic ,,,,")</f>
        <v>Unusable, malefic ,,,,</v>
      </c>
    </row>
    <row r="420" spans="1:5" ht="13.2" x14ac:dyDescent="0.25">
      <c r="A420" t="s">
        <v>923</v>
      </c>
      <c r="B420" t="s">
        <v>924</v>
      </c>
      <c r="C420" t="s">
        <v>925</v>
      </c>
      <c r="D420" t="str">
        <f ca="1">IFERROR(__xludf.DUMMYFUNCTION("GOOGLETRANSLATE(B420,""es"",""en"")"),"Borriguero")</f>
        <v>Borriguero</v>
      </c>
      <c r="E420" t="str">
        <f ca="1">IFERROR(__xludf.DUMMYFUNCTION("GOOGLETRANSLATE(C420,""es"",""en"")"),"Species of small ,,,,")</f>
        <v>Species of small ,,,,</v>
      </c>
    </row>
    <row r="421" spans="1:5" ht="13.2" x14ac:dyDescent="0.25">
      <c r="A421" t="s">
        <v>926</v>
      </c>
      <c r="B421" t="s">
        <v>927</v>
      </c>
      <c r="D421" t="str">
        <f ca="1">IFERROR(__xludf.DUMMYFUNCTION("GOOGLETRANSLATE(B421,""es"",""en"")"),"Variety of lizard")</f>
        <v>Variety of lizard</v>
      </c>
      <c r="E421" t="str">
        <f ca="1">IFERROR(__xludf.DUMMYFUNCTION("GOOGLETRANSLATE(C421,""es"",""en"")"),"#VALUE!")</f>
        <v>#VALUE!</v>
      </c>
    </row>
    <row r="422" spans="1:5" ht="13.2" x14ac:dyDescent="0.25">
      <c r="A422" t="s">
        <v>928</v>
      </c>
      <c r="B422" t="s">
        <v>929</v>
      </c>
      <c r="C422" t="s">
        <v>930</v>
      </c>
      <c r="D422" t="str">
        <f ca="1">IFERROR(__xludf.DUMMYFUNCTION("GOOGLETRANSLATE(B422,""es"",""en"")"),"Spoil")</f>
        <v>Spoil</v>
      </c>
      <c r="E422" t="str">
        <f ca="1">IFERROR(__xludf.DUMMYFUNCTION("GOOGLETRANSLATE(C422,""es"",""en"")"),"Corrupt ,,,,,")</f>
        <v>Corrupt ,,,,,</v>
      </c>
    </row>
    <row r="423" spans="1:5" ht="13.2" x14ac:dyDescent="0.25">
      <c r="A423" t="s">
        <v>931</v>
      </c>
      <c r="B423" t="s">
        <v>932</v>
      </c>
      <c r="D423" t="str">
        <f ca="1">IFERROR(__xludf.DUMMYFUNCTION("GOOGLETRANSLATE(B423,""es"",""en"")"),"Cockroach")</f>
        <v>Cockroach</v>
      </c>
      <c r="E423" t="str">
        <f ca="1">IFERROR(__xludf.DUMMYFUNCTION("GOOGLETRANSLATE(C423,""es"",""en"")"),"#VALUE!")</f>
        <v>#VALUE!</v>
      </c>
    </row>
    <row r="424" spans="1:5" ht="13.2" x14ac:dyDescent="0.25">
      <c r="A424" t="s">
        <v>933</v>
      </c>
      <c r="B424" t="s">
        <v>934</v>
      </c>
      <c r="D424" t="str">
        <f ca="1">IFERROR(__xludf.DUMMYFUNCTION("GOOGLETRANSLATE(B424,""es"",""en"")"),"Sneeze")</f>
        <v>Sneeze</v>
      </c>
      <c r="E424" t="str">
        <f ca="1">IFERROR(__xludf.DUMMYFUNCTION("GOOGLETRANSLATE(C424,""es"",""en"")"),"#VALUE!")</f>
        <v>#VALUE!</v>
      </c>
    </row>
    <row r="425" spans="1:5" ht="13.2" x14ac:dyDescent="0.25">
      <c r="A425" t="s">
        <v>935</v>
      </c>
      <c r="B425" t="s">
        <v>934</v>
      </c>
      <c r="D425" t="str">
        <f ca="1">IFERROR(__xludf.DUMMYFUNCTION("GOOGLETRANSLATE(B425,""es"",""en"")"),"Sneeze")</f>
        <v>Sneeze</v>
      </c>
      <c r="E425" t="str">
        <f ca="1">IFERROR(__xludf.DUMMYFUNCTION("GOOGLETRANSLATE(C425,""es"",""en"")"),"#VALUE!")</f>
        <v>#VALUE!</v>
      </c>
    </row>
    <row r="426" spans="1:5" ht="13.2" x14ac:dyDescent="0.25">
      <c r="A426" t="s">
        <v>936</v>
      </c>
      <c r="B426" t="s">
        <v>937</v>
      </c>
      <c r="C426" t="s">
        <v>938</v>
      </c>
      <c r="D426" t="str">
        <f ca="1">IFERROR(__xludf.DUMMYFUNCTION("GOOGLETRANSLATE(B426,""es"",""en"")"),"Bad")</f>
        <v>Bad</v>
      </c>
      <c r="E426" t="str">
        <f ca="1">IFERROR(__xludf.DUMMYFUNCTION("GOOGLETRANSLATE(C426,""es"",""en"")"),"Non -CREATIBLE ,,,,")</f>
        <v>Non -CREATIBLE ,,,,</v>
      </c>
    </row>
    <row r="427" spans="1:5" ht="13.2" x14ac:dyDescent="0.25">
      <c r="A427" t="s">
        <v>939</v>
      </c>
      <c r="B427" t="s">
        <v>937</v>
      </c>
      <c r="C427" t="s">
        <v>940</v>
      </c>
      <c r="D427" t="str">
        <f ca="1">IFERROR(__xludf.DUMMYFUNCTION("GOOGLETRANSLATE(B427,""es"",""en"")"),"Bad")</f>
        <v>Bad</v>
      </c>
      <c r="E427" t="str">
        <f ca="1">IFERROR(__xludf.DUMMYFUNCTION("GOOGLETRANSLATE(C427,""es"",""en"")"),"Damaged, unhealthy ,,,")</f>
        <v>Damaged, unhealthy ,,,</v>
      </c>
    </row>
    <row r="428" spans="1:5" ht="13.2" x14ac:dyDescent="0.25">
      <c r="A428" t="s">
        <v>941</v>
      </c>
      <c r="B428" t="s">
        <v>937</v>
      </c>
      <c r="C428" t="s">
        <v>940</v>
      </c>
      <c r="D428" t="str">
        <f ca="1">IFERROR(__xludf.DUMMYFUNCTION("GOOGLETRANSLATE(B428,""es"",""en"")"),"Bad")</f>
        <v>Bad</v>
      </c>
      <c r="E428" t="str">
        <f ca="1">IFERROR(__xludf.DUMMYFUNCTION("GOOGLETRANSLATE(C428,""es"",""en"")"),"Damaged, unhealthy ,,,")</f>
        <v>Damaged, unhealthy ,,,</v>
      </c>
    </row>
    <row r="429" spans="1:5" ht="13.2" x14ac:dyDescent="0.25">
      <c r="A429" t="s">
        <v>942</v>
      </c>
      <c r="B429" t="s">
        <v>943</v>
      </c>
      <c r="C429" t="s">
        <v>944</v>
      </c>
      <c r="D429" t="str">
        <f ca="1">IFERROR(__xludf.DUMMYFUNCTION("GOOGLETRANSLATE(B429,""es"",""en"")"),"Brother in law")</f>
        <v>Brother in law</v>
      </c>
      <c r="E429" t="str">
        <f ca="1">IFERROR(__xludf.DUMMYFUNCTION("GOOGLETRANSLATE(C429,""es"",""en"")"),"Referred to by a woman ,,,,")</f>
        <v>Referred to by a woman ,,,,</v>
      </c>
    </row>
    <row r="430" spans="1:5" ht="13.2" x14ac:dyDescent="0.25">
      <c r="A430" t="s">
        <v>945</v>
      </c>
      <c r="B430" t="s">
        <v>946</v>
      </c>
      <c r="C430" t="s">
        <v>947</v>
      </c>
      <c r="D430" t="str">
        <f ca="1">IFERROR(__xludf.DUMMYFUNCTION("GOOGLETRANSLATE(B430,""es"",""en"")"),"Bit")</f>
        <v>Bit</v>
      </c>
      <c r="E430" t="str">
        <f ca="1">IFERROR(__xludf.DUMMYFUNCTION("GOOGLETRANSLATE(C430,""es"",""en"")"),"Scarce, meager, insufficient,")</f>
        <v>Scarce, meager, insufficient,</v>
      </c>
    </row>
    <row r="431" spans="1:5" ht="13.2" x14ac:dyDescent="0.25">
      <c r="A431" t="s">
        <v>948</v>
      </c>
      <c r="B431" t="s">
        <v>946</v>
      </c>
      <c r="C431" t="s">
        <v>949</v>
      </c>
      <c r="D431" t="str">
        <f ca="1">IFERROR(__xludf.DUMMYFUNCTION("GOOGLETRANSLATE(B431,""es"",""en"")"),"Bit")</f>
        <v>Bit</v>
      </c>
      <c r="E431" t="str">
        <f ca="1">IFERROR(__xludf.DUMMYFUNCTION("GOOGLETRANSLATE(C431,""es"",""en"")"),"Meager, insufficient ,,,,")</f>
        <v>Meager, insufficient ,,,,</v>
      </c>
    </row>
    <row r="432" spans="1:5" ht="13.2" x14ac:dyDescent="0.25">
      <c r="A432" t="s">
        <v>950</v>
      </c>
      <c r="B432" t="s">
        <v>951</v>
      </c>
      <c r="D432" t="str">
        <f ca="1">IFERROR(__xludf.DUMMYFUNCTION("GOOGLETRANSLATE(B432,""es"",""en"")"),"Lot")</f>
        <v>Lot</v>
      </c>
      <c r="E432" t="str">
        <f ca="1">IFERROR(__xludf.DUMMYFUNCTION("GOOGLETRANSLATE(C432,""es"",""en"")"),"#VALUE!")</f>
        <v>#VALUE!</v>
      </c>
    </row>
    <row r="433" spans="1:5" ht="13.2" x14ac:dyDescent="0.25">
      <c r="A433" t="s">
        <v>952</v>
      </c>
      <c r="B433" t="s">
        <v>951</v>
      </c>
      <c r="D433" t="str">
        <f ca="1">IFERROR(__xludf.DUMMYFUNCTION("GOOGLETRANSLATE(B433,""es"",""en"")"),"Lot")</f>
        <v>Lot</v>
      </c>
      <c r="E433" t="str">
        <f ca="1">IFERROR(__xludf.DUMMYFUNCTION("GOOGLETRANSLATE(C433,""es"",""en"")"),"#VALUE!")</f>
        <v>#VALUE!</v>
      </c>
    </row>
    <row r="434" spans="1:5" ht="13.2" x14ac:dyDescent="0.25">
      <c r="A434" t="s">
        <v>953</v>
      </c>
      <c r="B434" t="s">
        <v>954</v>
      </c>
      <c r="C434" t="s">
        <v>955</v>
      </c>
      <c r="D434" t="str">
        <f ca="1">IFERROR(__xludf.DUMMYFUNCTION("GOOGLETRANSLATE(B434,""es"",""en"")"),"To damage")</f>
        <v>To damage</v>
      </c>
      <c r="E434" t="str">
        <f ca="1">IFERROR(__xludf.DUMMYFUNCTION("GOOGLETRANSLATE(C434,""es"",""en"")"),"Decompose ,,,,")</f>
        <v>Decompose ,,,,</v>
      </c>
    </row>
    <row r="435" spans="1:5" ht="13.2" x14ac:dyDescent="0.25">
      <c r="A435" t="s">
        <v>956</v>
      </c>
      <c r="B435" t="s">
        <v>957</v>
      </c>
      <c r="C435" t="s">
        <v>958</v>
      </c>
      <c r="D435" t="str">
        <f ca="1">IFERROR(__xludf.DUMMYFUNCTION("GOOGLETRANSLATE(B435,""es"",""en"")"),"Harm")</f>
        <v>Harm</v>
      </c>
      <c r="E435" t="str">
        <f ca="1">IFERROR(__xludf.DUMMYFUNCTION("GOOGLETRANSLATE(C435,""es"",""en"")"),"Spoil ,,,,")</f>
        <v>Spoil ,,,,</v>
      </c>
    </row>
    <row r="436" spans="1:5" ht="13.2" x14ac:dyDescent="0.25">
      <c r="A436" t="s">
        <v>959</v>
      </c>
      <c r="B436" t="s">
        <v>960</v>
      </c>
      <c r="C436" t="s">
        <v>961</v>
      </c>
      <c r="D436" t="str">
        <f ca="1">IFERROR(__xludf.DUMMYFUNCTION("GOOGLETRANSLATE(B436,""es"",""en"")"),"Broad")</f>
        <v>Broad</v>
      </c>
      <c r="E436" t="str">
        <f ca="1">IFERROR(__xludf.DUMMYFUNCTION("GOOGLETRANSLATE(C436,""es"",""en"")"),"Flat, , , ,")</f>
        <v>Flat, , , ,</v>
      </c>
    </row>
    <row r="437" spans="1:5" ht="13.2" x14ac:dyDescent="0.25">
      <c r="A437" t="s">
        <v>962</v>
      </c>
      <c r="B437" t="s">
        <v>960</v>
      </c>
      <c r="C437" t="s">
        <v>961</v>
      </c>
      <c r="D437" t="str">
        <f ca="1">IFERROR(__xludf.DUMMYFUNCTION("GOOGLETRANSLATE(B437,""es"",""en"")"),"Broad")</f>
        <v>Broad</v>
      </c>
      <c r="E437" t="str">
        <f ca="1">IFERROR(__xludf.DUMMYFUNCTION("GOOGLETRANSLATE(C437,""es"",""en"")"),"Flat, , , ,")</f>
        <v>Flat, , , ,</v>
      </c>
    </row>
    <row r="438" spans="1:5" ht="13.2" x14ac:dyDescent="0.25">
      <c r="A438" t="s">
        <v>963</v>
      </c>
      <c r="B438" t="s">
        <v>964</v>
      </c>
      <c r="C438" t="s">
        <v>965</v>
      </c>
      <c r="D438" t="str">
        <f ca="1">IFERROR(__xludf.DUMMYFUNCTION("GOOGLETRANSLATE(B438,""es"",""en"")"),"Width")</f>
        <v>Width</v>
      </c>
      <c r="E438" t="str">
        <f ca="1">IFERROR(__xludf.DUMMYFUNCTION("GOOGLETRANSLATE(C438,""es"",""en"")"),"Extension, amplitude ,,,")</f>
        <v>Extension, amplitude ,,,</v>
      </c>
    </row>
    <row r="439" spans="1:5" ht="13.2" x14ac:dyDescent="0.25">
      <c r="A439" t="s">
        <v>966</v>
      </c>
      <c r="B439" t="s">
        <v>967</v>
      </c>
      <c r="D439" t="str">
        <f ca="1">IFERROR(__xludf.DUMMYFUNCTION("GOOGLETRANSLATE(B439,""es"",""en"")"),"Low")</f>
        <v>Low</v>
      </c>
      <c r="E439" t="str">
        <f ca="1">IFERROR(__xludf.DUMMYFUNCTION("GOOGLETRANSLATE(C439,""es"",""en"")"),"#VALUE!")</f>
        <v>#VALUE!</v>
      </c>
    </row>
    <row r="440" spans="1:5" ht="13.2" x14ac:dyDescent="0.25">
      <c r="A440" t="s">
        <v>968</v>
      </c>
      <c r="B440" t="s">
        <v>969</v>
      </c>
      <c r="D440" t="str">
        <f ca="1">IFERROR(__xludf.DUMMYFUNCTION("GOOGLETRANSLATE(B440,""es"",""en"")"),"In half")</f>
        <v>In half</v>
      </c>
      <c r="E440" t="str">
        <f ca="1">IFERROR(__xludf.DUMMYFUNCTION("GOOGLETRANSLATE(C440,""es"",""en"")"),"#VALUE!")</f>
        <v>#VALUE!</v>
      </c>
    </row>
    <row r="441" spans="1:5" ht="13.2" x14ac:dyDescent="0.25">
      <c r="A441" t="s">
        <v>970</v>
      </c>
      <c r="B441" t="s">
        <v>971</v>
      </c>
      <c r="D441" t="str">
        <f ca="1">IFERROR(__xludf.DUMMYFUNCTION("GOOGLETRANSLATE(B441,""es"",""en"")"),"Onion")</f>
        <v>Onion</v>
      </c>
      <c r="E441" t="str">
        <f ca="1">IFERROR(__xludf.DUMMYFUNCTION("GOOGLETRANSLATE(C441,""es"",""en"")"),"#VALUE!")</f>
        <v>#VALUE!</v>
      </c>
    </row>
    <row r="442" spans="1:5" ht="13.2" x14ac:dyDescent="0.25">
      <c r="A442" t="s">
        <v>972</v>
      </c>
      <c r="B442" t="s">
        <v>973</v>
      </c>
      <c r="D442" t="str">
        <f ca="1">IFERROR(__xludf.DUMMYFUNCTION("GOOGLETRANSLATE(B442,""es"",""en"")"),"Little")</f>
        <v>Little</v>
      </c>
      <c r="E442" t="str">
        <f ca="1">IFERROR(__xludf.DUMMYFUNCTION("GOOGLETRANSLATE(C442,""es"",""en"")"),"#VALUE!")</f>
        <v>#VALUE!</v>
      </c>
    </row>
    <row r="443" spans="1:5" ht="13.2" x14ac:dyDescent="0.25">
      <c r="A443" t="s">
        <v>974</v>
      </c>
      <c r="B443" t="s">
        <v>975</v>
      </c>
      <c r="C443" t="s">
        <v>976</v>
      </c>
      <c r="D443" t="str">
        <f ca="1">IFERROR(__xludf.DUMMYFUNCTION("GOOGLETRANSLATE(B443,""es"",""en"")"),"Patch up")</f>
        <v>Patch up</v>
      </c>
      <c r="E443" t="str">
        <f ca="1">IFERROR(__xludf.DUMMYFUNCTION("GOOGLETRANSLATE(C443,""es"",""en"")"),"Zurcir, compose a dress ,,,")</f>
        <v>Zurcir, compose a dress ,,,</v>
      </c>
    </row>
    <row r="444" spans="1:5" ht="13.2" x14ac:dyDescent="0.25">
      <c r="A444" t="s">
        <v>977</v>
      </c>
      <c r="B444" t="s">
        <v>978</v>
      </c>
      <c r="C444" t="s">
        <v>979</v>
      </c>
      <c r="D444" t="str">
        <f ca="1">IFERROR(__xludf.DUMMYFUNCTION("GOOGLETRANSLATE(B444,""es"",""en"")"),"High")</f>
        <v>High</v>
      </c>
      <c r="E444" t="str">
        <f ca="1">IFERROR(__xludf.DUMMYFUNCTION("GOOGLETRANSLATE(C444,""es"",""en"")"),"Not low ,,,,")</f>
        <v>Not low ,,,,</v>
      </c>
    </row>
    <row r="445" spans="1:5" ht="13.2" x14ac:dyDescent="0.25">
      <c r="A445" t="s">
        <v>980</v>
      </c>
      <c r="B445" t="s">
        <v>978</v>
      </c>
      <c r="C445" t="s">
        <v>979</v>
      </c>
      <c r="D445" t="str">
        <f ca="1">IFERROR(__xludf.DUMMYFUNCTION("GOOGLETRANSLATE(B445,""es"",""en"")"),"High")</f>
        <v>High</v>
      </c>
      <c r="E445" t="str">
        <f ca="1">IFERROR(__xludf.DUMMYFUNCTION("GOOGLETRANSLATE(C445,""es"",""en"")"),"Not low ,,,,")</f>
        <v>Not low ,,,,</v>
      </c>
    </row>
    <row r="446" spans="1:5" ht="13.2" x14ac:dyDescent="0.25">
      <c r="A446" t="s">
        <v>981</v>
      </c>
      <c r="B446" t="s">
        <v>982</v>
      </c>
      <c r="D446" t="str">
        <f ca="1">IFERROR(__xludf.DUMMYFUNCTION("GOOGLETRANSLATE(B446,""es"",""en"")"),"Bread")</f>
        <v>Bread</v>
      </c>
      <c r="E446" t="str">
        <f ca="1">IFERROR(__xludf.DUMMYFUNCTION("GOOGLETRANSLATE(C446,""es"",""en"")"),"#VALUE!")</f>
        <v>#VALUE!</v>
      </c>
    </row>
    <row r="447" spans="1:5" ht="13.2" x14ac:dyDescent="0.25">
      <c r="A447" t="s">
        <v>983</v>
      </c>
      <c r="B447" t="s">
        <v>984</v>
      </c>
      <c r="D447" t="str">
        <f ca="1">IFERROR(__xludf.DUMMYFUNCTION("GOOGLETRANSLATE(B447,""es"",""en"")"),"Cookie")</f>
        <v>Cookie</v>
      </c>
      <c r="E447" t="str">
        <f ca="1">IFERROR(__xludf.DUMMYFUNCTION("GOOGLETRANSLATE(C447,""es"",""en"")"),"#VALUE!")</f>
        <v>#VALUE!</v>
      </c>
    </row>
    <row r="448" spans="1:5" ht="13.2" x14ac:dyDescent="0.25">
      <c r="A448" t="s">
        <v>985</v>
      </c>
      <c r="B448" t="s">
        <v>986</v>
      </c>
      <c r="C448" t="s">
        <v>987</v>
      </c>
      <c r="D448" t="str">
        <f ca="1">IFERROR(__xludf.DUMMYFUNCTION("GOOGLETRANSLATE(B448,""es"",""en"")"),"Flour")</f>
        <v>Flour</v>
      </c>
      <c r="E448" t="str">
        <f ca="1">IFERROR(__xludf.DUMMYFUNCTION("GOOGLETRANSLATE(C448,""es"",""en"")"),"Starch ,,,,")</f>
        <v>Starch ,,,,</v>
      </c>
    </row>
    <row r="449" spans="1:5" ht="13.2" x14ac:dyDescent="0.25">
      <c r="A449" t="s">
        <v>988</v>
      </c>
      <c r="B449" t="s">
        <v>989</v>
      </c>
      <c r="C449" t="s">
        <v>990</v>
      </c>
      <c r="D449" t="str">
        <f ca="1">IFERROR(__xludf.DUMMYFUNCTION("GOOGLETRANSLATE(B449,""es"",""en"")"),"Puff pastry")</f>
        <v>Puff pastry</v>
      </c>
      <c r="E449" t="str">
        <f ca="1">IFERROR(__xludf.DUMMYFUNCTION("GOOGLETRANSLATE(C449,""es"",""en"")"),"Fried flour ,,,,")</f>
        <v>Fried flour ,,,,</v>
      </c>
    </row>
    <row r="450" spans="1:5" ht="13.2" x14ac:dyDescent="0.25">
      <c r="A450" t="s">
        <v>991</v>
      </c>
      <c r="B450" t="s">
        <v>992</v>
      </c>
      <c r="D450" t="str">
        <f ca="1">IFERROR(__xludf.DUMMYFUNCTION("GOOGLETRANSLATE(B450,""es"",""en"")"),"Yeast")</f>
        <v>Yeast</v>
      </c>
      <c r="E450" t="str">
        <f ca="1">IFERROR(__xludf.DUMMYFUNCTION("GOOGLETRANSLATE(C450,""es"",""en"")"),"#VALUE!")</f>
        <v>#VALUE!</v>
      </c>
    </row>
    <row r="451" spans="1:5" ht="13.2" x14ac:dyDescent="0.25">
      <c r="A451" t="s">
        <v>993</v>
      </c>
      <c r="B451" t="s">
        <v>994</v>
      </c>
      <c r="C451" t="s">
        <v>995</v>
      </c>
      <c r="D451" t="str">
        <f ca="1">IFERROR(__xludf.DUMMYFUNCTION("GOOGLETRANSLATE(B451,""es"",""en"")"),"Urticaria")</f>
        <v>Urticaria</v>
      </c>
      <c r="E451" t="str">
        <f ca="1">IFERROR(__xludf.DUMMYFUNCTION("GOOGLETRANSLATE(C451,""es"",""en"")"),"Irritation ,,,,")</f>
        <v>Irritation ,,,,</v>
      </c>
    </row>
    <row r="452" spans="1:5" ht="13.2" x14ac:dyDescent="0.25">
      <c r="A452" t="s">
        <v>996</v>
      </c>
      <c r="B452" t="s">
        <v>997</v>
      </c>
      <c r="C452" t="s">
        <v>998</v>
      </c>
      <c r="D452" t="str">
        <f ca="1">IFERROR(__xludf.DUMMYFUNCTION("GOOGLETRANSLATE(B452,""es"",""en"")"),"Friend")</f>
        <v>Friend</v>
      </c>
      <c r="E452" t="str">
        <f ca="1">IFERROR(__xludf.DUMMYFUNCTION("GOOGLETRANSLATE(C452,""es"",""en"")"),"Partner, known, ally,")</f>
        <v>Partner, known, ally,</v>
      </c>
    </row>
    <row r="453" spans="1:5" ht="13.2" x14ac:dyDescent="0.25">
      <c r="A453" t="s">
        <v>999</v>
      </c>
      <c r="B453" t="s">
        <v>1000</v>
      </c>
      <c r="C453" t="s">
        <v>1001</v>
      </c>
      <c r="D453" t="str">
        <f ca="1">IFERROR(__xludf.DUMMYFUNCTION("GOOGLETRANSLATE(B453,""es"",""en"")"),"Banana or Maduro Guineo")</f>
        <v>Banana or Maduro Guineo</v>
      </c>
      <c r="E453" t="str">
        <f ca="1">IFERROR(__xludf.DUMMYFUNCTION("GOOGLETRANSLATE(C453,""es"",""en"")"),"Banana cream ,,,,")</f>
        <v>Banana cream ,,,,</v>
      </c>
    </row>
    <row r="454" spans="1:5" ht="13.2" x14ac:dyDescent="0.25">
      <c r="A454" t="s">
        <v>1002</v>
      </c>
      <c r="B454" t="s">
        <v>1003</v>
      </c>
      <c r="D454" t="str">
        <f ca="1">IFERROR(__xludf.DUMMYFUNCTION("GOOGLETRANSLATE(B454,""es"",""en"")"),"Bread made of ripe banana")</f>
        <v>Bread made of ripe banana</v>
      </c>
      <c r="E454" t="str">
        <f ca="1">IFERROR(__xludf.DUMMYFUNCTION("GOOGLETRANSLATE(C454,""es"",""en"")"),"#VALUE!")</f>
        <v>#VALUE!</v>
      </c>
    </row>
    <row r="455" spans="1:5" ht="13.2" x14ac:dyDescent="0.25">
      <c r="A455" t="s">
        <v>1004</v>
      </c>
      <c r="B455" t="s">
        <v>1005</v>
      </c>
      <c r="C455" t="s">
        <v>1006</v>
      </c>
      <c r="D455" t="str">
        <f ca="1">IFERROR(__xludf.DUMMYFUNCTION("GOOGLETRANSLATE(B455,""es"",""en"")"),"Round Máiz Bread")</f>
        <v>Round Máiz Bread</v>
      </c>
      <c r="E455" t="str">
        <f ca="1">IFERROR(__xludf.DUMMYFUNCTION("GOOGLETRANSLATE(C455,""es"",""en"")"),"Corn tortilla, , , ,")</f>
        <v>Corn tortilla, , , ,</v>
      </c>
    </row>
    <row r="456" spans="1:5" ht="13.2" x14ac:dyDescent="0.25">
      <c r="A456" t="s">
        <v>1007</v>
      </c>
      <c r="B456" t="s">
        <v>1008</v>
      </c>
      <c r="D456" t="str">
        <f ca="1">IFERROR(__xludf.DUMMYFUNCTION("GOOGLETRANSLATE(B456,""es"",""en"")"),"Baker")</f>
        <v>Baker</v>
      </c>
      <c r="E456" t="str">
        <f ca="1">IFERROR(__xludf.DUMMYFUNCTION("GOOGLETRANSLATE(C456,""es"",""en"")"),"#VALUE!")</f>
        <v>#VALUE!</v>
      </c>
    </row>
    <row r="457" spans="1:5" ht="13.2" x14ac:dyDescent="0.25">
      <c r="A457" t="s">
        <v>1009</v>
      </c>
      <c r="B457" t="s">
        <v>1010</v>
      </c>
      <c r="D457" t="str">
        <f ca="1">IFERROR(__xludf.DUMMYFUNCTION("GOOGLETRANSLATE(B457,""es"",""en"")"),"Bakery")</f>
        <v>Bakery</v>
      </c>
      <c r="E457" t="str">
        <f ca="1">IFERROR(__xludf.DUMMYFUNCTION("GOOGLETRANSLATE(C457,""es"",""en"")"),"#VALUE!")</f>
        <v>#VALUE!</v>
      </c>
    </row>
    <row r="458" spans="1:5" ht="13.2" x14ac:dyDescent="0.25">
      <c r="A458" t="s">
        <v>1011</v>
      </c>
      <c r="B458" t="s">
        <v>1010</v>
      </c>
      <c r="D458" t="str">
        <f ca="1">IFERROR(__xludf.DUMMYFUNCTION("GOOGLETRANSLATE(B458,""es"",""en"")"),"Bakery")</f>
        <v>Bakery</v>
      </c>
      <c r="E458" t="str">
        <f ca="1">IFERROR(__xludf.DUMMYFUNCTION("GOOGLETRANSLATE(C458,""es"",""en"")"),"#VALUE!")</f>
        <v>#VALUE!</v>
      </c>
    </row>
    <row r="459" spans="1:5" ht="13.2" x14ac:dyDescent="0.25">
      <c r="A459" t="s">
        <v>1012</v>
      </c>
      <c r="B459" t="s">
        <v>1010</v>
      </c>
      <c r="D459" t="str">
        <f ca="1">IFERROR(__xludf.DUMMYFUNCTION("GOOGLETRANSLATE(B459,""es"",""en"")"),"Bakery")</f>
        <v>Bakery</v>
      </c>
      <c r="E459" t="str">
        <f ca="1">IFERROR(__xludf.DUMMYFUNCTION("GOOGLETRANSLATE(C459,""es"",""en"")"),"#VALUE!")</f>
        <v>#VALUE!</v>
      </c>
    </row>
    <row r="460" spans="1:5" ht="13.2" x14ac:dyDescent="0.25">
      <c r="A460" t="s">
        <v>1013</v>
      </c>
      <c r="B460" t="s">
        <v>1014</v>
      </c>
      <c r="D460" t="s">
        <v>1015</v>
      </c>
      <c r="E460" t="str">
        <f ca="1">IFERROR(__xludf.DUMMYFUNCTION("GOOGLETRANSLATE(C460,""es"",""en"")"),"#VALUE!")</f>
        <v>#VALUE!</v>
      </c>
    </row>
    <row r="461" spans="1:5" ht="13.2" x14ac:dyDescent="0.25">
      <c r="A461" t="s">
        <v>1016</v>
      </c>
      <c r="B461" t="s">
        <v>1017</v>
      </c>
      <c r="C461" t="s">
        <v>1018</v>
      </c>
      <c r="D461" t="str">
        <f ca="1">IFERROR(__xludf.DUMMYFUNCTION("GOOGLETRANSLATE(B461,""es"",""en"")"),"Take semi -solid food")</f>
        <v>Take semi -solid food</v>
      </c>
      <c r="E461" t="str">
        <f ca="1">IFERROR(__xludf.DUMMYFUNCTION("GOOGLETRANSLATE(C461,""es"",""en"")"),"Soup, , , ,")</f>
        <v>Soup, , , ,</v>
      </c>
    </row>
    <row r="462" spans="1:5" ht="13.2" x14ac:dyDescent="0.25">
      <c r="A462" t="s">
        <v>1019</v>
      </c>
      <c r="B462" t="s">
        <v>1020</v>
      </c>
      <c r="C462" t="s">
        <v>1021</v>
      </c>
      <c r="D462" t="str">
        <f ca="1">IFERROR(__xludf.DUMMYFUNCTION("GOOGLETRANSLATE(B462,""es"",""en"")"),"Clear")</f>
        <v>Clear</v>
      </c>
      <c r="E462" t="str">
        <f ca="1">IFERROR(__xludf.DUMMYFUNCTION("GOOGLETRANSLATE(C462,""es"",""en"")"),"Horizon, clear, open sea ,,")</f>
        <v>Horizon, clear, open sea ,,</v>
      </c>
    </row>
    <row r="463" spans="1:5" ht="13.2" x14ac:dyDescent="0.25">
      <c r="A463" t="s">
        <v>1022</v>
      </c>
      <c r="B463" t="s">
        <v>997</v>
      </c>
      <c r="C463" t="s">
        <v>1023</v>
      </c>
      <c r="D463" t="str">
        <f ca="1">IFERROR(__xludf.DUMMYFUNCTION("GOOGLETRANSLATE(B463,""es"",""en"")"),"Friend")</f>
        <v>Friend</v>
      </c>
      <c r="E463" t="str">
        <f ca="1">IFERROR(__xludf.DUMMYFUNCTION("GOOGLETRANSLATE(C463,""es"",""en"")"),"Buddy, , , ,")</f>
        <v>Buddy, , , ,</v>
      </c>
    </row>
    <row r="464" spans="1:5" ht="13.2" x14ac:dyDescent="0.25">
      <c r="A464" t="s">
        <v>1024</v>
      </c>
      <c r="B464" t="s">
        <v>1025</v>
      </c>
      <c r="C464" t="s">
        <v>1026</v>
      </c>
      <c r="D464" t="str">
        <f ca="1">IFERROR(__xludf.DUMMYFUNCTION("GOOGLETRANSLATE(B464,""es"",""en"")"),"Ma outside")</f>
        <v>Ma outside</v>
      </c>
      <c r="E464" t="str">
        <f ca="1">IFERROR(__xludf.DUMMYFUNCTION("GOOGLETRANSLATE(C464,""es"",""en"")"),"Far from the coast ,,,,")</f>
        <v>Far from the coast ,,,,</v>
      </c>
    </row>
    <row r="465" spans="1:5" ht="13.2" x14ac:dyDescent="0.25">
      <c r="A465" t="s">
        <v>1027</v>
      </c>
      <c r="B465" t="s">
        <v>1028</v>
      </c>
      <c r="C465" t="s">
        <v>1026</v>
      </c>
      <c r="D465" t="str">
        <f ca="1">IFERROR(__xludf.DUMMYFUNCTION("GOOGLETRANSLATE(B465,""es"",""en"")"),"Sea outside")</f>
        <v>Sea outside</v>
      </c>
      <c r="E465" t="str">
        <f ca="1">IFERROR(__xludf.DUMMYFUNCTION("GOOGLETRANSLATE(C465,""es"",""en"")"),"Far from the coast ,,,,")</f>
        <v>Far from the coast ,,,,</v>
      </c>
    </row>
    <row r="466" spans="1:5" ht="13.2" x14ac:dyDescent="0.25">
      <c r="A466" t="s">
        <v>1029</v>
      </c>
      <c r="B466" t="s">
        <v>1030</v>
      </c>
      <c r="D466" t="str">
        <f ca="1">IFERROR(__xludf.DUMMYFUNCTION("GOOGLETRANSLATE(B466,""es"",""en"")"),"Barracuda fish")</f>
        <v>Barracuda fish</v>
      </c>
      <c r="E466" t="str">
        <f ca="1">IFERROR(__xludf.DUMMYFUNCTION("GOOGLETRANSLATE(C466,""es"",""en"")"),"#VALUE!")</f>
        <v>#VALUE!</v>
      </c>
    </row>
    <row r="467" spans="1:5" ht="13.2" x14ac:dyDescent="0.25">
      <c r="A467" t="s">
        <v>1031</v>
      </c>
      <c r="B467" t="s">
        <v>1032</v>
      </c>
      <c r="D467" t="str">
        <f ca="1">IFERROR(__xludf.DUMMYFUNCTION("GOOGLETRANSLATE(B467,""es"",""en"")"),"Barracuda fish")</f>
        <v>Barracuda fish</v>
      </c>
      <c r="E467" t="str">
        <f ca="1">IFERROR(__xludf.DUMMYFUNCTION("GOOGLETRANSLATE(C467,""es"",""en"")"),"#VALUE!")</f>
        <v>#VALUE!</v>
      </c>
    </row>
    <row r="468" spans="1:5" ht="13.2" x14ac:dyDescent="0.25">
      <c r="A468" t="s">
        <v>1033</v>
      </c>
      <c r="B468" t="s">
        <v>1034</v>
      </c>
      <c r="D468" t="str">
        <f ca="1">IFERROR(__xludf.DUMMYFUNCTION("GOOGLETRANSLATE(B468,""es"",""en"")"),"Pee")</f>
        <v>Pee</v>
      </c>
      <c r="E468" t="str">
        <f ca="1">IFERROR(__xludf.DUMMYFUNCTION("GOOGLETRANSLATE(C468,""es"",""en"")"),"#VALUE!")</f>
        <v>#VALUE!</v>
      </c>
    </row>
    <row r="469" spans="1:5" ht="13.2" x14ac:dyDescent="0.25">
      <c r="A469" t="s">
        <v>1035</v>
      </c>
      <c r="B469" t="s">
        <v>1034</v>
      </c>
      <c r="D469" t="str">
        <f ca="1">IFERROR(__xludf.DUMMYFUNCTION("GOOGLETRANSLATE(B469,""es"",""en"")"),"Pee")</f>
        <v>Pee</v>
      </c>
      <c r="E469" t="str">
        <f ca="1">IFERROR(__xludf.DUMMYFUNCTION("GOOGLETRANSLATE(C469,""es"",""en"")"),"#VALUE!")</f>
        <v>#VALUE!</v>
      </c>
    </row>
    <row r="470" spans="1:5" ht="13.2" x14ac:dyDescent="0.25">
      <c r="A470" t="s">
        <v>1036</v>
      </c>
      <c r="B470" t="s">
        <v>1034</v>
      </c>
      <c r="D470" t="str">
        <f ca="1">IFERROR(__xludf.DUMMYFUNCTION("GOOGLETRANSLATE(B470,""es"",""en"")"),"Pee")</f>
        <v>Pee</v>
      </c>
      <c r="E470" t="str">
        <f ca="1">IFERROR(__xludf.DUMMYFUNCTION("GOOGLETRANSLATE(C470,""es"",""en"")"),"#VALUE!")</f>
        <v>#VALUE!</v>
      </c>
    </row>
    <row r="471" spans="1:5" ht="13.2" x14ac:dyDescent="0.25">
      <c r="A471" t="s">
        <v>1037</v>
      </c>
      <c r="B471" t="s">
        <v>1038</v>
      </c>
      <c r="C471" t="s">
        <v>1039</v>
      </c>
      <c r="D471" t="str">
        <f ca="1">IFERROR(__xludf.DUMMYFUNCTION("GOOGLETRANSLATE(B471,""es"",""en"")"),"Red plants dye")</f>
        <v>Red plants dye</v>
      </c>
      <c r="E471" t="str">
        <f ca="1">IFERROR(__xludf.DUMMYFUNCTION("GOOGLETRANSLATE(C471,""es"",""en"")"),"Ceremonial use ,,,,")</f>
        <v>Ceremonial use ,,,,</v>
      </c>
    </row>
    <row r="472" spans="1:5" ht="13.2" x14ac:dyDescent="0.25">
      <c r="A472" t="s">
        <v>1040</v>
      </c>
      <c r="B472" t="s">
        <v>1041</v>
      </c>
      <c r="C472" t="s">
        <v>1042</v>
      </c>
      <c r="D472" t="str">
        <f ca="1">IFERROR(__xludf.DUMMYFUNCTION("GOOGLETRANSLATE(B472,""es"",""en"")"),"Paint")</f>
        <v>Paint</v>
      </c>
      <c r="E472" t="str">
        <f ca="1">IFERROR(__xludf.DUMMYFUNCTION("GOOGLETRANSLATE(C472,""es"",""en"")"),"Coloring ,,,,")</f>
        <v>Coloring ,,,,</v>
      </c>
    </row>
    <row r="473" spans="1:5" ht="13.2" x14ac:dyDescent="0.25">
      <c r="A473" t="s">
        <v>1043</v>
      </c>
      <c r="B473" t="s">
        <v>1044</v>
      </c>
      <c r="D473" t="str">
        <f ca="1">IFERROR(__xludf.DUMMYFUNCTION("GOOGLETRANSLATE(B473,""es"",""en"")"),"Raw")</f>
        <v>Raw</v>
      </c>
      <c r="E473" t="str">
        <f ca="1">IFERROR(__xludf.DUMMYFUNCTION("GOOGLETRANSLATE(C473,""es"",""en"")"),"#VALUE!")</f>
        <v>#VALUE!</v>
      </c>
    </row>
    <row r="474" spans="1:5" ht="13.2" x14ac:dyDescent="0.25">
      <c r="A474" t="s">
        <v>1045</v>
      </c>
      <c r="B474" t="s">
        <v>1046</v>
      </c>
      <c r="C474" t="s">
        <v>1047</v>
      </c>
      <c r="D474" t="str">
        <f ca="1">IFERROR(__xludf.DUMMYFUNCTION("GOOGLETRANSLATE(B474,""es"",""en"")"),"Friendship")</f>
        <v>Friendship</v>
      </c>
      <c r="E474" t="str">
        <f ca="1">IFERROR(__xludf.DUMMYFUNCTION("GOOGLETRANSLATE(C474,""es"",""en"")"),"Friendly, , , ,")</f>
        <v>Friendly, , , ,</v>
      </c>
    </row>
    <row r="475" spans="1:5" ht="13.2" x14ac:dyDescent="0.25">
      <c r="A475" t="s">
        <v>1048</v>
      </c>
      <c r="B475" t="s">
        <v>1049</v>
      </c>
      <c r="D475" t="str">
        <f ca="1">IFERROR(__xludf.DUMMYFUNCTION("GOOGLETRANSLATE(B475,""es"",""en"")"),"Half raw")</f>
        <v>Half raw</v>
      </c>
      <c r="E475" t="str">
        <f ca="1">IFERROR(__xludf.DUMMYFUNCTION("GOOGLETRANSLATE(C475,""es"",""en"")"),"#VALUE!")</f>
        <v>#VALUE!</v>
      </c>
    </row>
    <row r="476" spans="1:5" ht="13.2" x14ac:dyDescent="0.25">
      <c r="A476" t="s">
        <v>1050</v>
      </c>
      <c r="B476" t="s">
        <v>1051</v>
      </c>
      <c r="C476" t="s">
        <v>1052</v>
      </c>
      <c r="D476" t="str">
        <f ca="1">IFERROR(__xludf.DUMMYFUNCTION("GOOGLETRANSLATE(B476,""es"",""en"")"),"Foam")</f>
        <v>Foam</v>
      </c>
      <c r="E476" t="str">
        <f ca="1">IFERROR(__xludf.DUMMYFUNCTION("GOOGLETRANSLATE(C476,""es"",""en"")"),"Bubbles, , , ,")</f>
        <v>Bubbles, , , ,</v>
      </c>
    </row>
    <row r="477" spans="1:5" ht="13.2" x14ac:dyDescent="0.25">
      <c r="A477" t="s">
        <v>1053</v>
      </c>
      <c r="B477" t="s">
        <v>1054</v>
      </c>
      <c r="C477" t="s">
        <v>1055</v>
      </c>
      <c r="D477" t="str">
        <f ca="1">IFERROR(__xludf.DUMMYFUNCTION("GOOGLETRANSLATE(B477,""es"",""en"")"),"Understand")</f>
        <v>Understand</v>
      </c>
      <c r="E477" t="str">
        <f ca="1">IFERROR(__xludf.DUMMYFUNCTION("GOOGLETRANSLATE(C477,""es"",""en"")"),"Grasp, , , ,")</f>
        <v>Grasp, , , ,</v>
      </c>
    </row>
    <row r="478" spans="1:5" ht="13.2" x14ac:dyDescent="0.25">
      <c r="A478" t="s">
        <v>1056</v>
      </c>
      <c r="B478" t="s">
        <v>1057</v>
      </c>
      <c r="D478" t="str">
        <f ca="1">IFERROR(__xludf.DUMMYFUNCTION("GOOGLETRANSLATE(B478,""es"",""en"")"),"Something with whitish spots")</f>
        <v>Something with whitish spots</v>
      </c>
      <c r="E478" t="str">
        <f ca="1">IFERROR(__xludf.DUMMYFUNCTION("GOOGLETRANSLATE(C478,""es"",""en"")"),"#VALUE!")</f>
        <v>#VALUE!</v>
      </c>
    </row>
    <row r="479" spans="1:5" ht="13.2" x14ac:dyDescent="0.25">
      <c r="A479" t="s">
        <v>1058</v>
      </c>
      <c r="B479" t="s">
        <v>1059</v>
      </c>
      <c r="C479" t="s">
        <v>1060</v>
      </c>
      <c r="D479" t="str">
        <f ca="1">IFERROR(__xludf.DUMMYFUNCTION("GOOGLETRANSLATE(B479,""es"",""en"")"),"Lying down. Laborer")</f>
        <v>Lying down. Laborer</v>
      </c>
      <c r="E479" t="s">
        <v>1061</v>
      </c>
    </row>
    <row r="480" spans="1:5" ht="13.2" x14ac:dyDescent="0.25">
      <c r="A480" t="s">
        <v>1062</v>
      </c>
      <c r="B480" t="s">
        <v>1063</v>
      </c>
      <c r="C480" t="s">
        <v>1064</v>
      </c>
      <c r="D480" t="str">
        <f ca="1">IFERROR(__xludf.DUMMYFUNCTION("GOOGLETRANSLATE(B480,""es"",""en"")"),"Foot")</f>
        <v>Foot</v>
      </c>
      <c r="E480" t="str">
        <f ca="1">IFERROR(__xludf.DUMMYFUNCTION("GOOGLETRANSLATE(C480,""es"",""en"")"),"Pata, support, root ,,")</f>
        <v>Pata, support, root ,,</v>
      </c>
    </row>
    <row r="481" spans="1:5" ht="13.2" x14ac:dyDescent="0.25">
      <c r="A481" t="s">
        <v>1065</v>
      </c>
      <c r="B481" t="s">
        <v>1063</v>
      </c>
      <c r="C481" t="s">
        <v>1066</v>
      </c>
      <c r="D481" t="str">
        <f ca="1">IFERROR(__xludf.DUMMYFUNCTION("GOOGLETRANSLATE(B481,""es"",""en"")"),"Foot")</f>
        <v>Foot</v>
      </c>
      <c r="E481" t="str">
        <f ca="1">IFERROR(__xludf.DUMMYFUNCTION("GOOGLETRANSLATE(C481,""es"",""en"")"),"Paw, , , ,")</f>
        <v>Paw, , , ,</v>
      </c>
    </row>
    <row r="482" spans="1:5" ht="13.2" x14ac:dyDescent="0.25">
      <c r="A482" t="s">
        <v>1067</v>
      </c>
      <c r="B482" t="s">
        <v>1063</v>
      </c>
      <c r="C482" t="s">
        <v>1066</v>
      </c>
      <c r="D482" t="str">
        <f ca="1">IFERROR(__xludf.DUMMYFUNCTION("GOOGLETRANSLATE(B482,""es"",""en"")"),"Foot")</f>
        <v>Foot</v>
      </c>
      <c r="E482" t="str">
        <f ca="1">IFERROR(__xludf.DUMMYFUNCTION("GOOGLETRANSLATE(C482,""es"",""en"")"),"Paw, , , ,")</f>
        <v>Paw, , , ,</v>
      </c>
    </row>
    <row r="483" spans="1:5" ht="13.2" x14ac:dyDescent="0.25">
      <c r="A483" t="s">
        <v>1068</v>
      </c>
      <c r="B483" t="s">
        <v>1069</v>
      </c>
      <c r="C483" t="s">
        <v>1070</v>
      </c>
      <c r="D483" t="str">
        <f ca="1">IFERROR(__xludf.DUMMYFUNCTION("GOOGLETRANSLATE(B483,""es"",""en"")"),"Yucca")</f>
        <v>Yucca</v>
      </c>
      <c r="E483" t="str">
        <f ca="1">IFERROR(__xludf.DUMMYFUNCTION("GOOGLETRANSLATE(C483,""es"",""en"")"),"Cassava, udder, teta, breast,")</f>
        <v>Cassava, udder, teta, breast,</v>
      </c>
    </row>
    <row r="484" spans="1:5" ht="13.2" x14ac:dyDescent="0.25">
      <c r="A484" t="s">
        <v>1071</v>
      </c>
      <c r="B484" t="s">
        <v>1072</v>
      </c>
      <c r="C484" t="s">
        <v>1073</v>
      </c>
      <c r="D484" t="str">
        <f ca="1">IFERROR(__xludf.DUMMYFUNCTION("GOOGLETRANSLATE(B484,""es"",""en"")"),"Palo or Higuerote Matal Tree")</f>
        <v>Palo or Higuerote Matal Tree</v>
      </c>
      <c r="E484" t="str">
        <f ca="1">IFERROR(__xludf.DUMMYFUNCTION("GOOGLETRANSLATE(C484,""es"",""en"")"),"Tree, , , ,")</f>
        <v>Tree, , , ,</v>
      </c>
    </row>
    <row r="485" spans="1:5" ht="13.2" x14ac:dyDescent="0.25">
      <c r="A485" t="s">
        <v>1074</v>
      </c>
      <c r="B485" t="s">
        <v>1046</v>
      </c>
      <c r="C485" t="s">
        <v>1047</v>
      </c>
      <c r="D485" t="str">
        <f ca="1">IFERROR(__xludf.DUMMYFUNCTION("GOOGLETRANSLATE(B485,""es"",""en"")"),"Friendship")</f>
        <v>Friendship</v>
      </c>
      <c r="E485" t="str">
        <f ca="1">IFERROR(__xludf.DUMMYFUNCTION("GOOGLETRANSLATE(C485,""es"",""en"")"),"Friendly, , , ,")</f>
        <v>Friendly, , , ,</v>
      </c>
    </row>
    <row r="486" spans="1:5" ht="13.2" x14ac:dyDescent="0.25">
      <c r="A486" t="s">
        <v>1075</v>
      </c>
      <c r="B486" t="s">
        <v>1076</v>
      </c>
      <c r="D486" t="str">
        <f ca="1">IFERROR(__xludf.DUMMYFUNCTION("GOOGLETRANSLATE(B486,""es"",""en"")"),"Mamey")</f>
        <v>Mamey</v>
      </c>
      <c r="E486" t="str">
        <f ca="1">IFERROR(__xludf.DUMMYFUNCTION("GOOGLETRANSLATE(C486,""es"",""en"")"),"#VALUE!")</f>
        <v>#VALUE!</v>
      </c>
    </row>
    <row r="487" spans="1:5" ht="13.2" x14ac:dyDescent="0.25">
      <c r="A487" t="s">
        <v>1077</v>
      </c>
      <c r="B487" t="s">
        <v>1078</v>
      </c>
      <c r="C487" t="s">
        <v>1079</v>
      </c>
      <c r="D487" t="str">
        <f ca="1">IFERROR(__xludf.DUMMYFUNCTION("GOOGLETRANSLATE(B487,""es"",""en"")"),"Suck")</f>
        <v>Suck</v>
      </c>
      <c r="E487" t="str">
        <f ca="1">IFERROR(__xludf.DUMMYFUNCTION("GOOGLETRANSLATE(C487,""es"",""en"")"),"Lacting ,,,,")</f>
        <v>Lacting ,,,,</v>
      </c>
    </row>
    <row r="488" spans="1:5" ht="13.2" x14ac:dyDescent="0.25">
      <c r="A488" t="s">
        <v>1080</v>
      </c>
      <c r="B488" t="s">
        <v>1078</v>
      </c>
      <c r="C488" t="s">
        <v>1079</v>
      </c>
      <c r="D488" t="str">
        <f ca="1">IFERROR(__xludf.DUMMYFUNCTION("GOOGLETRANSLATE(B488,""es"",""en"")"),"Suck")</f>
        <v>Suck</v>
      </c>
      <c r="E488" t="str">
        <f ca="1">IFERROR(__xludf.DUMMYFUNCTION("GOOGLETRANSLATE(C488,""es"",""en"")"),"Lacting ,,,,")</f>
        <v>Lacting ,,,,</v>
      </c>
    </row>
    <row r="489" spans="1:5" ht="13.2" x14ac:dyDescent="0.25">
      <c r="A489" t="s">
        <v>1081</v>
      </c>
      <c r="B489" t="s">
        <v>1082</v>
      </c>
      <c r="D489" t="str">
        <f ca="1">IFERROR(__xludf.DUMMYFUNCTION("GOOGLETRANSLATE(B489,""es"",""en"")"),"West wind")</f>
        <v>West wind</v>
      </c>
      <c r="E489" t="str">
        <f ca="1">IFERROR(__xludf.DUMMYFUNCTION("GOOGLETRANSLATE(C489,""es"",""en"")"),"#VALUE!")</f>
        <v>#VALUE!</v>
      </c>
    </row>
    <row r="490" spans="1:5" ht="13.2" x14ac:dyDescent="0.25">
      <c r="A490" t="s">
        <v>1083</v>
      </c>
      <c r="B490" t="s">
        <v>1084</v>
      </c>
      <c r="C490" t="s">
        <v>1085</v>
      </c>
      <c r="D490" t="str">
        <f ca="1">IFERROR(__xludf.DUMMYFUNCTION("GOOGLETRANSLATE(B490,""es"",""en"")"),"Money")</f>
        <v>Money</v>
      </c>
      <c r="E490" t="str">
        <f ca="1">IFERROR(__xludf.DUMMYFUNCTION("GOOGLETRANSLATE(C490,""es"",""en"")"),"Silver, , , ,")</f>
        <v>Silver, , , ,</v>
      </c>
    </row>
    <row r="491" spans="1:5" ht="13.2" x14ac:dyDescent="0.25">
      <c r="A491" t="s">
        <v>1086</v>
      </c>
      <c r="B491" t="s">
        <v>1087</v>
      </c>
      <c r="C491" t="s">
        <v>1088</v>
      </c>
      <c r="D491" t="str">
        <f ca="1">IFERROR(__xludf.DUMMYFUNCTION("GOOGLETRANSLATE(B491,""es"",""en"")"),"Cheap")</f>
        <v>Cheap</v>
      </c>
      <c r="E491" t="str">
        <f ca="1">IFERROR(__xludf.DUMMYFUNCTION("GOOGLETRANSLATE(C491,""es"",""en"")"),"Economic, Modic ,,,,")</f>
        <v>Economic, Modic ,,,,</v>
      </c>
    </row>
    <row r="492" spans="1:5" ht="13.2" x14ac:dyDescent="0.25">
      <c r="A492" t="s">
        <v>1089</v>
      </c>
      <c r="B492" t="s">
        <v>1090</v>
      </c>
      <c r="D492" t="str">
        <f ca="1">IFERROR(__xludf.DUMMYFUNCTION("GOOGLETRANSLATE(B492,""es"",""en"")"),"Chicken egg")</f>
        <v>Chicken egg</v>
      </c>
      <c r="E492" t="str">
        <f ca="1">IFERROR(__xludf.DUMMYFUNCTION("GOOGLETRANSLATE(C492,""es"",""en"")"),"#VALUE!")</f>
        <v>#VALUE!</v>
      </c>
    </row>
    <row r="493" spans="1:5" ht="13.2" x14ac:dyDescent="0.25">
      <c r="A493" t="s">
        <v>1091</v>
      </c>
      <c r="B493" t="s">
        <v>1090</v>
      </c>
      <c r="D493" t="str">
        <f ca="1">IFERROR(__xludf.DUMMYFUNCTION("GOOGLETRANSLATE(B493,""es"",""en"")"),"Chicken egg")</f>
        <v>Chicken egg</v>
      </c>
      <c r="E493" t="str">
        <f ca="1">IFERROR(__xludf.DUMMYFUNCTION("GOOGLETRANSLATE(C493,""es"",""en"")"),"#VALUE!")</f>
        <v>#VALUE!</v>
      </c>
    </row>
    <row r="494" spans="1:5" ht="13.2" x14ac:dyDescent="0.25">
      <c r="A494" t="s">
        <v>1092</v>
      </c>
      <c r="B494" t="s">
        <v>1090</v>
      </c>
      <c r="D494" t="str">
        <f ca="1">IFERROR(__xludf.DUMMYFUNCTION("GOOGLETRANSLATE(B494,""es"",""en"")"),"Chicken egg")</f>
        <v>Chicken egg</v>
      </c>
      <c r="E494" t="str">
        <f ca="1">IFERROR(__xludf.DUMMYFUNCTION("GOOGLETRANSLATE(C494,""es"",""en"")"),"#VALUE!")</f>
        <v>#VALUE!</v>
      </c>
    </row>
    <row r="495" spans="1:5" ht="13.2" x14ac:dyDescent="0.25">
      <c r="A495" t="s">
        <v>1093</v>
      </c>
      <c r="B495" t="s">
        <v>1094</v>
      </c>
      <c r="C495" t="s">
        <v>1095</v>
      </c>
      <c r="D495" t="str">
        <f ca="1">IFERROR(__xludf.DUMMYFUNCTION("GOOGLETRANSLATE(B495,""es"",""en"")"),"Ray")</f>
        <v>Ray</v>
      </c>
      <c r="E495" t="str">
        <f ca="1">IFERROR(__xludf.DUMMYFUNCTION("GOOGLETRANSLATE(C495,""es"",""en"")"),"Replamamago ,,,,")</f>
        <v>Replamamago ,,,,</v>
      </c>
    </row>
    <row r="496" spans="1:5" ht="13.2" x14ac:dyDescent="0.25">
      <c r="A496" t="s">
        <v>1096</v>
      </c>
      <c r="B496" t="s">
        <v>1097</v>
      </c>
      <c r="C496" t="s">
        <v>1098</v>
      </c>
      <c r="D496" t="str">
        <f ca="1">IFERROR(__xludf.DUMMYFUNCTION("GOOGLETRANSLATE(B496,""es"",""en"")"),"Friendship")</f>
        <v>Friendship</v>
      </c>
      <c r="E496" t="str">
        <f ca="1">IFERROR(__xludf.DUMMYFUNCTION("GOOGLETRANSLATE(C496,""es"",""en"")"),"Make friends, , , ,")</f>
        <v>Make friends, , , ,</v>
      </c>
    </row>
    <row r="497" spans="1:5" ht="13.2" x14ac:dyDescent="0.25">
      <c r="A497" t="s">
        <v>1099</v>
      </c>
      <c r="B497" t="s">
        <v>1094</v>
      </c>
      <c r="C497" t="s">
        <v>1100</v>
      </c>
      <c r="D497" t="str">
        <f ca="1">IFERROR(__xludf.DUMMYFUNCTION("GOOGLETRANSLATE(B497,""es"",""en"")"),"Ray")</f>
        <v>Ray</v>
      </c>
      <c r="E497" t="str">
        <f ca="1">IFERROR(__xludf.DUMMYFUNCTION("GOOGLETRANSLATE(C497,""es"",""en"")"),"Flash of lightning, , , ,")</f>
        <v>Flash of lightning, , , ,</v>
      </c>
    </row>
    <row r="498" spans="1:5" ht="13.2" x14ac:dyDescent="0.25">
      <c r="A498" t="s">
        <v>1101</v>
      </c>
      <c r="B498" t="s">
        <v>1102</v>
      </c>
      <c r="D498" t="str">
        <f ca="1">IFERROR(__xludf.DUMMYFUNCTION("GOOGLETRANSLATE(B498,""es"",""en"")"),"Hammer")</f>
        <v>Hammer</v>
      </c>
      <c r="E498" t="str">
        <f ca="1">IFERROR(__xludf.DUMMYFUNCTION("GOOGLETRANSLATE(C498,""es"",""en"")"),"#VALUE!")</f>
        <v>#VALUE!</v>
      </c>
    </row>
    <row r="499" spans="1:5" ht="13.2" x14ac:dyDescent="0.25">
      <c r="A499" t="s">
        <v>1103</v>
      </c>
      <c r="B499" t="s">
        <v>1104</v>
      </c>
      <c r="C499" t="s">
        <v>1105</v>
      </c>
      <c r="D499" t="str">
        <f ca="1">IFERROR(__xludf.DUMMYFUNCTION("GOOGLETRANSLATE(B499,""es"",""en"")"),"Break")</f>
        <v>Break</v>
      </c>
      <c r="E499" t="str">
        <f ca="1">IFERROR(__xludf.DUMMYFUNCTION("GOOGLETRANSLATE(C499,""es"",""en"")"),"Once, leave ,,,,")</f>
        <v>Once, leave ,,,,</v>
      </c>
    </row>
    <row r="500" spans="1:5" ht="13.2" x14ac:dyDescent="0.25">
      <c r="A500" t="s">
        <v>1106</v>
      </c>
      <c r="B500" t="s">
        <v>1107</v>
      </c>
      <c r="C500" t="s">
        <v>1108</v>
      </c>
      <c r="D500" t="str">
        <f ca="1">IFERROR(__xludf.DUMMYFUNCTION("GOOGLETRANSLATE(B500,""es"",""en"")"),"Thunder")</f>
        <v>Thunder</v>
      </c>
      <c r="E500" t="str">
        <f ca="1">IFERROR(__xludf.DUMMYFUNCTION("GOOGLETRANSLATE(C500,""es"",""en"")"),"Thunder, , , ,")</f>
        <v>Thunder, , , ,</v>
      </c>
    </row>
    <row r="501" spans="1:5" ht="13.2" x14ac:dyDescent="0.25">
      <c r="A501" t="s">
        <v>1109</v>
      </c>
      <c r="B501" t="s">
        <v>1110</v>
      </c>
      <c r="C501" t="s">
        <v>1111</v>
      </c>
      <c r="D501" t="str">
        <f ca="1">IFERROR(__xludf.DUMMYFUNCTION("GOOGLETRANSLATE(B501,""es"",""en"")"),"Crack")</f>
        <v>Crack</v>
      </c>
      <c r="E501" t="s">
        <v>1112</v>
      </c>
    </row>
    <row r="502" spans="1:5" ht="13.2" x14ac:dyDescent="0.25">
      <c r="A502" t="s">
        <v>1113</v>
      </c>
      <c r="B502" t="s">
        <v>1114</v>
      </c>
      <c r="C502" t="s">
        <v>1115</v>
      </c>
      <c r="D502" t="str">
        <f ca="1">IFERROR(__xludf.DUMMYFUNCTION("GOOGLETRANSLATE(B502,""es"",""en"")"),"Guama or Guaba")</f>
        <v>Guama or Guaba</v>
      </c>
      <c r="E502" t="str">
        <f ca="1">IFERROR(__xludf.DUMMYFUNCTION("GOOGLETRANSLATE(C502,""es"",""en"")"),"native plant")</f>
        <v>native plant</v>
      </c>
    </row>
    <row r="503" spans="1:5" ht="13.2" x14ac:dyDescent="0.25">
      <c r="A503" t="s">
        <v>1116</v>
      </c>
      <c r="B503" t="s">
        <v>1117</v>
      </c>
      <c r="D503" t="str">
        <f ca="1">IFERROR(__xludf.DUMMYFUNCTION("GOOGLETRANSLATE(B503,""es"",""en"")"),"White cane")</f>
        <v>White cane</v>
      </c>
      <c r="E503" t="str">
        <f ca="1">IFERROR(__xludf.DUMMYFUNCTION("GOOGLETRANSLATE(C503,""es"",""en"")"),"#VALUE!")</f>
        <v>#VALUE!</v>
      </c>
    </row>
    <row r="504" spans="1:5" ht="13.2" x14ac:dyDescent="0.25">
      <c r="A504" t="s">
        <v>1118</v>
      </c>
      <c r="B504" t="s">
        <v>1119</v>
      </c>
      <c r="D504" t="str">
        <f ca="1">IFERROR(__xludf.DUMMYFUNCTION("GOOGLETRANSLATE(B504,""es"",""en"")"),"Guide treaty after death")</f>
        <v>Guide treaty after death</v>
      </c>
      <c r="E504" t="str">
        <f ca="1">IFERROR(__xludf.DUMMYFUNCTION("GOOGLETRANSLATE(C504,""es"",""en"")"),"#VALUE!")</f>
        <v>#VALUE!</v>
      </c>
    </row>
    <row r="505" spans="1:5" ht="13.2" x14ac:dyDescent="0.25">
      <c r="A505" t="s">
        <v>1120</v>
      </c>
      <c r="B505" t="s">
        <v>1121</v>
      </c>
      <c r="D505" t="s">
        <v>1122</v>
      </c>
      <c r="E505" t="str">
        <f ca="1">IFERROR(__xludf.DUMMYFUNCTION("GOOGLETRANSLATE(C505,""es"",""en"")"),"#VALUE!")</f>
        <v>#VALUE!</v>
      </c>
    </row>
    <row r="506" spans="1:5" ht="13.2" x14ac:dyDescent="0.25">
      <c r="A506" t="s">
        <v>1123</v>
      </c>
      <c r="B506" t="s">
        <v>1124</v>
      </c>
      <c r="D506" t="str">
        <f ca="1">IFERROR(__xludf.DUMMYFUNCTION("GOOGLETRANSLATE(B506,""es"",""en"")"),"June")</f>
        <v>June</v>
      </c>
      <c r="E506" t="str">
        <f ca="1">IFERROR(__xludf.DUMMYFUNCTION("GOOGLETRANSLATE(C506,""es"",""en"")"),"#VALUE!")</f>
        <v>#VALUE!</v>
      </c>
    </row>
    <row r="507" spans="1:5" ht="13.2" x14ac:dyDescent="0.25">
      <c r="A507" t="s">
        <v>1125</v>
      </c>
      <c r="B507" t="s">
        <v>1097</v>
      </c>
      <c r="C507" t="s">
        <v>1098</v>
      </c>
      <c r="D507" t="str">
        <f ca="1">IFERROR(__xludf.DUMMYFUNCTION("GOOGLETRANSLATE(B507,""es"",""en"")"),"Friendship")</f>
        <v>Friendship</v>
      </c>
      <c r="E507" t="str">
        <f ca="1">IFERROR(__xludf.DUMMYFUNCTION("GOOGLETRANSLATE(C507,""es"",""en"")"),"Make friends, , , ,")</f>
        <v>Make friends, , , ,</v>
      </c>
    </row>
    <row r="508" spans="1:5" ht="13.2" x14ac:dyDescent="0.25">
      <c r="A508" t="s">
        <v>1126</v>
      </c>
      <c r="B508" t="s">
        <v>1117</v>
      </c>
      <c r="D508" t="str">
        <f ca="1">IFERROR(__xludf.DUMMYFUNCTION("GOOGLETRANSLATE(B508,""es"",""en"")"),"White cane")</f>
        <v>White cane</v>
      </c>
      <c r="E508" t="str">
        <f ca="1">IFERROR(__xludf.DUMMYFUNCTION("GOOGLETRANSLATE(C508,""es"",""en"")"),"#VALUE!")</f>
        <v>#VALUE!</v>
      </c>
    </row>
    <row r="509" spans="1:5" ht="13.2" x14ac:dyDescent="0.25">
      <c r="A509" t="s">
        <v>1127</v>
      </c>
      <c r="B509" t="s">
        <v>1128</v>
      </c>
      <c r="C509" t="s">
        <v>1129</v>
      </c>
      <c r="D509" t="str">
        <f ca="1">IFERROR(__xludf.DUMMYFUNCTION("GOOGLETRANSLATE(B509,""es"",""en"")"),"Frying")</f>
        <v>Frying</v>
      </c>
      <c r="E509" t="str">
        <f ca="1">IFERROR(__xludf.DUMMYFUNCTION("GOOGLETRANSLATE(C509,""es"",""en"")"),"Fried banana, patacón ,,,,")</f>
        <v>Fried banana, patacón ,,,,</v>
      </c>
    </row>
    <row r="510" spans="1:5" ht="13.2" x14ac:dyDescent="0.25">
      <c r="A510" t="s">
        <v>1130</v>
      </c>
      <c r="B510" t="s">
        <v>606</v>
      </c>
      <c r="C510" t="s">
        <v>1131</v>
      </c>
      <c r="D510" t="str">
        <f ca="1">IFERROR(__xludf.DUMMYFUNCTION("GOOGLETRANSLATE(B510,""es"",""en"")"),"Cook")</f>
        <v>Cook</v>
      </c>
      <c r="E510" t="str">
        <f ca="1">IFERROR(__xludf.DUMMYFUNCTION("GOOGLETRANSLATE(C510,""es"",""en"")"),"Chef, , , ,")</f>
        <v>Chef, , , ,</v>
      </c>
    </row>
    <row r="511" spans="1:5" ht="13.2" x14ac:dyDescent="0.25">
      <c r="A511" t="s">
        <v>1132</v>
      </c>
      <c r="B511" t="s">
        <v>1133</v>
      </c>
      <c r="D511" t="str">
        <f ca="1">IFERROR(__xludf.DUMMYFUNCTION("GOOGLETRANSLATE(B511,""es"",""en"")"),"Banana plantation")</f>
        <v>Banana plantation</v>
      </c>
      <c r="E511" t="str">
        <f ca="1">IFERROR(__xludf.DUMMYFUNCTION("GOOGLETRANSLATE(C511,""es"",""en"")"),"#VALUE!")</f>
        <v>#VALUE!</v>
      </c>
    </row>
    <row r="512" spans="1:5" ht="13.2" x14ac:dyDescent="0.25">
      <c r="A512" t="s">
        <v>1134</v>
      </c>
      <c r="B512" t="s">
        <v>1135</v>
      </c>
      <c r="D512" t="str">
        <f ca="1">IFERROR(__xludf.DUMMYFUNCTION("GOOGLETRANSLATE(B512,""es"",""en"")"),"Bananas Tenaza")</f>
        <v>Bananas Tenaza</v>
      </c>
      <c r="E512" t="str">
        <f ca="1">IFERROR(__xludf.DUMMYFUNCTION("GOOGLETRANSLATE(C512,""es"",""en"")"),"#VALUE!")</f>
        <v>#VALUE!</v>
      </c>
    </row>
    <row r="513" spans="1:5" ht="13.2" x14ac:dyDescent="0.25">
      <c r="A513" t="s">
        <v>1136</v>
      </c>
      <c r="B513" t="s">
        <v>1137</v>
      </c>
      <c r="C513" t="s">
        <v>1138</v>
      </c>
      <c r="D513" t="str">
        <f ca="1">IFERROR(__xludf.DUMMYFUNCTION("GOOGLETRANSLATE(B513,""es"",""en"")"),"Eat")</f>
        <v>Eat</v>
      </c>
      <c r="E513" t="str">
        <f ca="1">IFERROR(__xludf.DUMMYFUNCTION("GOOGLETRANSLATE(C513,""es"",""en"")"),"Lunch, dinner ,,,,")</f>
        <v>Lunch, dinner ,,,,</v>
      </c>
    </row>
    <row r="514" spans="1:5" ht="13.2" x14ac:dyDescent="0.25">
      <c r="A514" t="s">
        <v>1139</v>
      </c>
      <c r="B514" t="s">
        <v>1140</v>
      </c>
      <c r="C514" t="s">
        <v>1141</v>
      </c>
      <c r="D514" t="str">
        <f ca="1">IFERROR(__xludf.DUMMYFUNCTION("GOOGLETRANSLATE(B514,""es"",""en"")"),"Meal")</f>
        <v>Meal</v>
      </c>
      <c r="E514" t="str">
        <f ca="1">IFERROR(__xludf.DUMMYFUNCTION("GOOGLETRANSLATE(C514,""es"",""en"")"),"Guineo, food ,,,")</f>
        <v>Guineo, food ,,,</v>
      </c>
    </row>
    <row r="515" spans="1:5" ht="13.2" x14ac:dyDescent="0.25">
      <c r="A515" t="s">
        <v>443</v>
      </c>
      <c r="B515" t="s">
        <v>441</v>
      </c>
      <c r="D515" t="str">
        <f ca="1">IFERROR(__xludf.DUMMYFUNCTION("GOOGLETRANSLATE(B515,""es"",""en"")"),"Slippery")</f>
        <v>Slippery</v>
      </c>
      <c r="E515" t="str">
        <f ca="1">IFERROR(__xludf.DUMMYFUNCTION("GOOGLETRANSLATE(C515,""es"",""en"")"),"#VALUE!")</f>
        <v>#VALUE!</v>
      </c>
    </row>
    <row r="516" spans="1:5" ht="13.2" x14ac:dyDescent="0.25">
      <c r="A516" t="s">
        <v>444</v>
      </c>
      <c r="B516" t="s">
        <v>441</v>
      </c>
      <c r="D516" t="str">
        <f ca="1">IFERROR(__xludf.DUMMYFUNCTION("GOOGLETRANSLATE(B516,""es"",""en"")"),"Slippery")</f>
        <v>Slippery</v>
      </c>
      <c r="E516" t="str">
        <f ca="1">IFERROR(__xludf.DUMMYFUNCTION("GOOGLETRANSLATE(C516,""es"",""en"")"),"#VALUE!")</f>
        <v>#VALUE!</v>
      </c>
    </row>
    <row r="517" spans="1:5" ht="13.2" x14ac:dyDescent="0.25">
      <c r="A517" t="s">
        <v>440</v>
      </c>
      <c r="B517" t="s">
        <v>441</v>
      </c>
      <c r="D517" t="str">
        <f ca="1">IFERROR(__xludf.DUMMYFUNCTION("GOOGLETRANSLATE(B517,""es"",""en"")"),"Slippery")</f>
        <v>Slippery</v>
      </c>
      <c r="E517" t="str">
        <f ca="1">IFERROR(__xludf.DUMMYFUNCTION("GOOGLETRANSLATE(C517,""es"",""en"")"),"#VALUE!")</f>
        <v>#VALUE!</v>
      </c>
    </row>
    <row r="518" spans="1:5" ht="13.2" x14ac:dyDescent="0.25">
      <c r="A518" t="s">
        <v>1142</v>
      </c>
      <c r="B518" t="s">
        <v>1143</v>
      </c>
      <c r="C518" t="s">
        <v>1144</v>
      </c>
      <c r="D518" t="str">
        <f ca="1">IFERROR(__xludf.DUMMYFUNCTION("GOOGLETRANSLATE(B518,""es"",""en"")"),"Itch")</f>
        <v>Itch</v>
      </c>
      <c r="E518" t="str">
        <f ca="1">IFERROR(__xludf.DUMMYFUNCTION("GOOGLETRANSLATE(C518,""es"",""en"")"),"Sarptull, itch ,,,,")</f>
        <v>Sarptull, itch ,,,,</v>
      </c>
    </row>
    <row r="519" spans="1:5" ht="13.2" x14ac:dyDescent="0.25">
      <c r="A519" t="s">
        <v>1145</v>
      </c>
      <c r="B519" t="s">
        <v>1146</v>
      </c>
      <c r="D519" t="str">
        <f ca="1">IFERROR(__xludf.DUMMYFUNCTION("GOOGLETRANSLATE(B519,""es"",""en"")"),"Deguineo strain or banana")</f>
        <v>Deguineo strain or banana</v>
      </c>
      <c r="E519" t="str">
        <f ca="1">IFERROR(__xludf.DUMMYFUNCTION("GOOGLETRANSLATE(C519,""es"",""en"")"),"#VALUE!")</f>
        <v>#VALUE!</v>
      </c>
    </row>
    <row r="520" spans="1:5" ht="13.2" x14ac:dyDescent="0.25">
      <c r="A520" t="s">
        <v>1147</v>
      </c>
      <c r="B520" t="s">
        <v>1148</v>
      </c>
      <c r="D520" t="str">
        <f ca="1">IFERROR(__xludf.DUMMYFUNCTION("GOOGLETRANSLATE(B520,""es"",""en"")"),"Thick soup")</f>
        <v>Thick soup</v>
      </c>
      <c r="E520" t="str">
        <f ca="1">IFERROR(__xludf.DUMMYFUNCTION("GOOGLETRANSLATE(C520,""es"",""en"")"),"#VALUE!")</f>
        <v>#VALUE!</v>
      </c>
    </row>
    <row r="521" spans="1:5" ht="13.2" x14ac:dyDescent="0.25">
      <c r="A521" t="s">
        <v>1149</v>
      </c>
      <c r="B521" t="s">
        <v>1150</v>
      </c>
      <c r="C521" t="s">
        <v>1151</v>
      </c>
      <c r="D521" t="str">
        <f ca="1">IFERROR(__xludf.DUMMYFUNCTION("GOOGLETRANSLATE(B521,""es"",""en"")"),"Young guy")</f>
        <v>Young guy</v>
      </c>
      <c r="E521" t="str">
        <f ca="1">IFERROR(__xludf.DUMMYFUNCTION("GOOGLETRANSLATE(C521,""es"",""en"")"),"Teen, , , ,")</f>
        <v>Teen, , , ,</v>
      </c>
    </row>
    <row r="522" spans="1:5" ht="13.2" x14ac:dyDescent="0.25">
      <c r="A522" t="s">
        <v>1152</v>
      </c>
      <c r="B522" t="s">
        <v>1153</v>
      </c>
      <c r="D522" t="str">
        <f ca="1">IFERROR(__xludf.DUMMYFUNCTION("GOOGLETRANSLATE(B522,""es"",""en"")"),"Banana or roasted guineo")</f>
        <v>Banana or roasted guineo</v>
      </c>
      <c r="E522" t="str">
        <f ca="1">IFERROR(__xludf.DUMMYFUNCTION("GOOGLETRANSLATE(C522,""es"",""en"")"),"#VALUE!")</f>
        <v>#VALUE!</v>
      </c>
    </row>
    <row r="523" spans="1:5" ht="13.2" x14ac:dyDescent="0.25">
      <c r="A523" t="s">
        <v>1154</v>
      </c>
      <c r="B523" t="s">
        <v>1155</v>
      </c>
      <c r="C523" t="s">
        <v>1156</v>
      </c>
      <c r="D523" t="str">
        <f ca="1">IFERROR(__xludf.DUMMYFUNCTION("GOOGLETRANSLATE(B523,""es"",""en"")"),"Male or old man")</f>
        <v>Male or old man</v>
      </c>
      <c r="E523" t="str">
        <f ca="1">IFERROR(__xludf.DUMMYFUNCTION("GOOGLETRANSLATE(C523,""es"",""en"")"),"old")</f>
        <v>old</v>
      </c>
    </row>
    <row r="524" spans="1:5" ht="13.2" x14ac:dyDescent="0.25">
      <c r="A524" t="s">
        <v>1157</v>
      </c>
      <c r="B524" t="s">
        <v>1158</v>
      </c>
      <c r="C524" t="s">
        <v>1159</v>
      </c>
      <c r="D524" t="str">
        <f ca="1">IFERROR(__xludf.DUMMYFUNCTION("GOOGLETRANSLATE(B524,""es"",""en"")"),"Son")</f>
        <v>Son</v>
      </c>
      <c r="E524" t="str">
        <f ca="1">IFERROR(__xludf.DUMMYFUNCTION("GOOGLETRANSLATE(C524,""es"",""en"")"),"Young, , , ,")</f>
        <v>Young, , , ,</v>
      </c>
    </row>
    <row r="525" spans="1:5" ht="13.2" x14ac:dyDescent="0.25">
      <c r="A525" t="s">
        <v>1160</v>
      </c>
      <c r="B525" t="s">
        <v>1161</v>
      </c>
      <c r="C525" t="s">
        <v>1162</v>
      </c>
      <c r="D525" t="str">
        <f ca="1">IFERROR(__xludf.DUMMYFUNCTION("GOOGLETRANSLATE(B525,""es"",""en"")"),"Kid")</f>
        <v>Kid</v>
      </c>
      <c r="E525" t="str">
        <f ca="1">IFERROR(__xludf.DUMMYFUNCTION("GOOGLETRANSLATE(C525,""es"",""en"")"),"young guy, , , ,")</f>
        <v>young guy, , , ,</v>
      </c>
    </row>
    <row r="526" spans="1:5" ht="13.2" x14ac:dyDescent="0.25">
      <c r="A526" t="s">
        <v>1163</v>
      </c>
      <c r="B526" t="s">
        <v>1164</v>
      </c>
      <c r="C526" t="s">
        <v>1159</v>
      </c>
      <c r="D526" t="str">
        <f ca="1">IFERROR(__xludf.DUMMYFUNCTION("GOOGLETRANSLATE(B526,""es"",""en"")"),"Teen")</f>
        <v>Teen</v>
      </c>
      <c r="E526" t="str">
        <f ca="1">IFERROR(__xludf.DUMMYFUNCTION("GOOGLETRANSLATE(C526,""es"",""en"")"),"Young, , , ,")</f>
        <v>Young, , , ,</v>
      </c>
    </row>
    <row r="527" spans="1:5" ht="13.2" x14ac:dyDescent="0.25">
      <c r="A527" t="s">
        <v>1165</v>
      </c>
      <c r="B527" t="s">
        <v>1166</v>
      </c>
      <c r="D527" t="str">
        <f ca="1">IFERROR(__xludf.DUMMYFUNCTION("GOOGLETRANSLATE(B527,""es"",""en"")"),"Banana")</f>
        <v>Banana</v>
      </c>
      <c r="E527" t="str">
        <f ca="1">IFERROR(__xludf.DUMMYFUNCTION("GOOGLETRANSLATE(C527,""es"",""en"")"),"#VALUE!")</f>
        <v>#VALUE!</v>
      </c>
    </row>
    <row r="528" spans="1:5" ht="13.2" x14ac:dyDescent="0.25">
      <c r="A528" t="s">
        <v>1167</v>
      </c>
      <c r="B528" t="s">
        <v>1168</v>
      </c>
      <c r="C528" t="s">
        <v>1169</v>
      </c>
      <c r="D528" t="str">
        <f ca="1">IFERROR(__xludf.DUMMYFUNCTION("GOOGLETRANSLATE(B528,""es"",""en"")"),"Jar")</f>
        <v>Jar</v>
      </c>
      <c r="E528" t="s">
        <v>1170</v>
      </c>
    </row>
    <row r="529" spans="1:5" ht="13.2" x14ac:dyDescent="0.25">
      <c r="A529" t="s">
        <v>1171</v>
      </c>
      <c r="B529" t="s">
        <v>1143</v>
      </c>
      <c r="C529" t="s">
        <v>1172</v>
      </c>
      <c r="D529" t="str">
        <f ca="1">IFERROR(__xludf.DUMMYFUNCTION("GOOGLETRANSLATE(B529,""es"",""en"")"),"Itch")</f>
        <v>Itch</v>
      </c>
      <c r="E529" t="str">
        <f ca="1">IFERROR(__xludf.DUMMYFUNCTION("GOOGLETRANSLATE(C529,""es"",""en"")"),"Itching, rash ,,,,")</f>
        <v>Itching, rash ,,,,</v>
      </c>
    </row>
    <row r="530" spans="1:5" ht="13.2" x14ac:dyDescent="0.25">
      <c r="A530" t="s">
        <v>1173</v>
      </c>
      <c r="B530" t="s">
        <v>1174</v>
      </c>
      <c r="D530" t="str">
        <f ca="1">IFERROR(__xludf.DUMMYFUNCTION("GOOGLETRANSLATE(B530,""es"",""en"")"),"Piece of jar")</f>
        <v>Piece of jar</v>
      </c>
      <c r="E530" t="str">
        <f ca="1">IFERROR(__xludf.DUMMYFUNCTION("GOOGLETRANSLATE(C530,""es"",""en"")"),"#VALUE!")</f>
        <v>#VALUE!</v>
      </c>
    </row>
    <row r="531" spans="1:5" ht="13.2" x14ac:dyDescent="0.25">
      <c r="A531" t="s">
        <v>1175</v>
      </c>
      <c r="B531" t="s">
        <v>1174</v>
      </c>
      <c r="D531" t="str">
        <f ca="1">IFERROR(__xludf.DUMMYFUNCTION("GOOGLETRANSLATE(B531,""es"",""en"")"),"Piece of jar")</f>
        <v>Piece of jar</v>
      </c>
      <c r="E531" t="str">
        <f ca="1">IFERROR(__xludf.DUMMYFUNCTION("GOOGLETRANSLATE(C531,""es"",""en"")"),"#VALUE!")</f>
        <v>#VALUE!</v>
      </c>
    </row>
    <row r="532" spans="1:5" ht="13.2" x14ac:dyDescent="0.25">
      <c r="A532" t="s">
        <v>1176</v>
      </c>
      <c r="B532" t="s">
        <v>1177</v>
      </c>
      <c r="C532" t="s">
        <v>1178</v>
      </c>
      <c r="D532" t="str">
        <f ca="1">IFERROR(__xludf.DUMMYFUNCTION("GOOGLETRANSLATE(B532,""es"",""en"")"),"Lie down")</f>
        <v>Lie down</v>
      </c>
      <c r="E532" t="str">
        <f ca="1">IFERROR(__xludf.DUMMYFUNCTION("GOOGLETRANSLATE(C532,""es"",""en"")"),"Extend, lay down ,,,,")</f>
        <v>Extend, lay down ,,,,</v>
      </c>
    </row>
    <row r="533" spans="1:5" ht="13.2" x14ac:dyDescent="0.25">
      <c r="A533" t="s">
        <v>1179</v>
      </c>
      <c r="B533" t="s">
        <v>1180</v>
      </c>
      <c r="D533" t="str">
        <f ca="1">IFERROR(__xludf.DUMMYFUNCTION("GOOGLETRANSLATE(B533,""es"",""en"")"),"How many")</f>
        <v>How many</v>
      </c>
      <c r="E533" t="str">
        <f ca="1">IFERROR(__xludf.DUMMYFUNCTION("GOOGLETRANSLATE(C533,""es"",""en"")"),"#VALUE!")</f>
        <v>#VALUE!</v>
      </c>
    </row>
    <row r="534" spans="1:5" ht="13.2" x14ac:dyDescent="0.25">
      <c r="A534" t="s">
        <v>1181</v>
      </c>
      <c r="B534" t="s">
        <v>1180</v>
      </c>
      <c r="D534" t="str">
        <f ca="1">IFERROR(__xludf.DUMMYFUNCTION("GOOGLETRANSLATE(B534,""es"",""en"")"),"How many")</f>
        <v>How many</v>
      </c>
      <c r="E534" t="str">
        <f ca="1">IFERROR(__xludf.DUMMYFUNCTION("GOOGLETRANSLATE(C534,""es"",""en"")"),"#VALUE!")</f>
        <v>#VALUE!</v>
      </c>
    </row>
    <row r="535" spans="1:5" ht="13.2" x14ac:dyDescent="0.25">
      <c r="A535" t="s">
        <v>1182</v>
      </c>
      <c r="B535" t="s">
        <v>1183</v>
      </c>
      <c r="D535" t="str">
        <f ca="1">IFERROR(__xludf.DUMMYFUNCTION("GOOGLETRANSLATE(B535,""es"",""en"")"),"How many?")</f>
        <v>How many?</v>
      </c>
      <c r="E535" t="str">
        <f ca="1">IFERROR(__xludf.DUMMYFUNCTION("GOOGLETRANSLATE(C535,""es"",""en"")"),"#VALUE!")</f>
        <v>#VALUE!</v>
      </c>
    </row>
    <row r="536" spans="1:5" ht="13.2" x14ac:dyDescent="0.25">
      <c r="A536" t="s">
        <v>1184</v>
      </c>
      <c r="B536" t="s">
        <v>1185</v>
      </c>
      <c r="C536" t="s">
        <v>1186</v>
      </c>
      <c r="D536" t="str">
        <f ca="1">IFERROR(__xludf.DUMMYFUNCTION("GOOGLETRANSLATE(B536,""es"",""en"")"),"Enough")</f>
        <v>Enough</v>
      </c>
      <c r="E536" t="str">
        <f ca="1">IFERROR(__xludf.DUMMYFUNCTION("GOOGLETRANSLATE(C536,""es"",""en"")"),"Quite, considerable ,,,")</f>
        <v>Quite, considerable ,,,</v>
      </c>
    </row>
    <row r="537" spans="1:5" ht="13.2" x14ac:dyDescent="0.25">
      <c r="A537" t="s">
        <v>1187</v>
      </c>
      <c r="B537" t="s">
        <v>1185</v>
      </c>
      <c r="D537" t="str">
        <f ca="1">IFERROR(__xludf.DUMMYFUNCTION("GOOGLETRANSLATE(B537,""es"",""en"")"),"Enough")</f>
        <v>Enough</v>
      </c>
      <c r="E537" t="str">
        <f ca="1">IFERROR(__xludf.DUMMYFUNCTION("GOOGLETRANSLATE(C537,""es"",""en"")"),"#VALUE!")</f>
        <v>#VALUE!</v>
      </c>
    </row>
    <row r="538" spans="1:5" ht="13.2" x14ac:dyDescent="0.25">
      <c r="A538" t="s">
        <v>1188</v>
      </c>
      <c r="B538" t="s">
        <v>1185</v>
      </c>
      <c r="D538" t="str">
        <f ca="1">IFERROR(__xludf.DUMMYFUNCTION("GOOGLETRANSLATE(B538,""es"",""en"")"),"Enough")</f>
        <v>Enough</v>
      </c>
      <c r="E538" t="str">
        <f ca="1">IFERROR(__xludf.DUMMYFUNCTION("GOOGLETRANSLATE(C538,""es"",""en"")"),"#VALUE!")</f>
        <v>#VALUE!</v>
      </c>
    </row>
    <row r="539" spans="1:5" ht="13.2" x14ac:dyDescent="0.25">
      <c r="A539" t="s">
        <v>1189</v>
      </c>
      <c r="B539" t="s">
        <v>1185</v>
      </c>
      <c r="D539" t="str">
        <f ca="1">IFERROR(__xludf.DUMMYFUNCTION("GOOGLETRANSLATE(B539,""es"",""en"")"),"Enough")</f>
        <v>Enough</v>
      </c>
      <c r="E539" t="str">
        <f ca="1">IFERROR(__xludf.DUMMYFUNCTION("GOOGLETRANSLATE(C539,""es"",""en"")"),"#VALUE!")</f>
        <v>#VALUE!</v>
      </c>
    </row>
    <row r="540" spans="1:5" ht="13.2" x14ac:dyDescent="0.25">
      <c r="A540" t="s">
        <v>1190</v>
      </c>
      <c r="B540" t="s">
        <v>1191</v>
      </c>
      <c r="C540" t="s">
        <v>1192</v>
      </c>
      <c r="D540" t="str">
        <f ca="1">IFERROR(__xludf.DUMMYFUNCTION("GOOGLETRANSLATE(B540,""es"",""en"")"),"Smallpox")</f>
        <v>Smallpox</v>
      </c>
      <c r="E540" t="str">
        <f ca="1">IFERROR(__xludf.DUMMYFUNCTION("GOOGLETRANSLATE(C540,""es"",""en"")"),"Very intimate or intimate friend ,,,,")</f>
        <v>Very intimate or intimate friend ,,,,</v>
      </c>
    </row>
    <row r="541" spans="1:5" ht="13.2" x14ac:dyDescent="0.25">
      <c r="A541" t="s">
        <v>1193</v>
      </c>
      <c r="B541" t="s">
        <v>1194</v>
      </c>
      <c r="D541" t="str">
        <f ca="1">IFERROR(__xludf.DUMMYFUNCTION("GOOGLETRANSLATE(B541,""es"",""en"")"),"COA")</f>
        <v>COA</v>
      </c>
      <c r="E541" t="str">
        <f ca="1">IFERROR(__xludf.DUMMYFUNCTION("GOOGLETRANSLATE(C541,""es"",""en"")"),"#VALUE!")</f>
        <v>#VALUE!</v>
      </c>
    </row>
    <row r="542" spans="1:5" ht="13.2" x14ac:dyDescent="0.25">
      <c r="A542" t="s">
        <v>1195</v>
      </c>
      <c r="B542" t="s">
        <v>1196</v>
      </c>
      <c r="D542" t="str">
        <f ca="1">IFERROR(__xludf.DUMMYFUNCTION("GOOGLETRANSLATE(B542,""es"",""en"")"),"Wave")</f>
        <v>Wave</v>
      </c>
      <c r="E542" t="str">
        <f ca="1">IFERROR(__xludf.DUMMYFUNCTION("GOOGLETRANSLATE(C542,""es"",""en"")"),"#VALUE!")</f>
        <v>#VALUE!</v>
      </c>
    </row>
    <row r="543" spans="1:5" ht="13.2" x14ac:dyDescent="0.25">
      <c r="A543" t="s">
        <v>1197</v>
      </c>
      <c r="B543" t="s">
        <v>1198</v>
      </c>
      <c r="C543" t="s">
        <v>1199</v>
      </c>
      <c r="D543" t="str">
        <f ca="1">IFERROR(__xludf.DUMMYFUNCTION("GOOGLETRANSLATE(B543,""es"",""en"")"),"No")</f>
        <v>No</v>
      </c>
      <c r="E543" t="str">
        <f ca="1">IFERROR(__xludf.DUMMYFUNCTION("GOOGLETRANSLATE(C543,""es"",""en"")"),"Denial ,,,,")</f>
        <v>Denial ,,,,</v>
      </c>
    </row>
    <row r="544" spans="1:5" ht="13.2" x14ac:dyDescent="0.25">
      <c r="A544" t="s">
        <v>1200</v>
      </c>
      <c r="B544" t="s">
        <v>1198</v>
      </c>
      <c r="D544" t="str">
        <f ca="1">IFERROR(__xludf.DUMMYFUNCTION("GOOGLETRANSLATE(B544,""es"",""en"")"),"No")</f>
        <v>No</v>
      </c>
      <c r="E544" t="str">
        <f ca="1">IFERROR(__xludf.DUMMYFUNCTION("GOOGLETRANSLATE(C544,""es"",""en"")"),"#VALUE!")</f>
        <v>#VALUE!</v>
      </c>
    </row>
    <row r="545" spans="1:5" ht="13.2" x14ac:dyDescent="0.25">
      <c r="A545" t="s">
        <v>1201</v>
      </c>
      <c r="B545" t="s">
        <v>1202</v>
      </c>
      <c r="C545" t="s">
        <v>1203</v>
      </c>
      <c r="D545" t="str">
        <f ca="1">IFERROR(__xludf.DUMMYFUNCTION("GOOGLETRANSLATE(B545,""es"",""en"")"),"US")</f>
        <v>US</v>
      </c>
      <c r="E545" t="str">
        <f ca="1">IFERROR(__xludf.DUMMYFUNCTION("GOOGLETRANSLATE(C545,""es"",""en"")"),"US, , , ,")</f>
        <v>US, , , ,</v>
      </c>
    </row>
    <row r="546" spans="1:5" ht="13.2" x14ac:dyDescent="0.25">
      <c r="A546" t="s">
        <v>1204</v>
      </c>
      <c r="B546" t="s">
        <v>1205</v>
      </c>
      <c r="C546" t="s">
        <v>1206</v>
      </c>
      <c r="D546" t="str">
        <f ca="1">IFERROR(__xludf.DUMMYFUNCTION("GOOGLETRANSLATE(B546,""es"",""en"")"),"USA")</f>
        <v>USA</v>
      </c>
      <c r="E546" t="str">
        <f ca="1">IFERROR(__xludf.DUMMYFUNCTION("GOOGLETRANSLATE(C546,""es"",""en"")"),"USA, , , ,")</f>
        <v>USA, , , ,</v>
      </c>
    </row>
    <row r="547" spans="1:5" ht="13.2" x14ac:dyDescent="0.25">
      <c r="A547" t="s">
        <v>1207</v>
      </c>
      <c r="B547" t="s">
        <v>1208</v>
      </c>
      <c r="C547" t="s">
        <v>1209</v>
      </c>
      <c r="D547" t="str">
        <f ca="1">IFERROR(__xludf.DUMMYFUNCTION("GOOGLETRANSLATE(B547,""es"",""en"")"),"Table")</f>
        <v>Table</v>
      </c>
      <c r="E547" t="str">
        <f ca="1">IFERROR(__xludf.DUMMYFUNCTION("GOOGLETRANSLATE(C547,""es"",""en"")"),"Desk")</f>
        <v>Desk</v>
      </c>
    </row>
    <row r="548" spans="1:5" ht="13.2" x14ac:dyDescent="0.25">
      <c r="A548" t="s">
        <v>1210</v>
      </c>
      <c r="B548" t="s">
        <v>1211</v>
      </c>
      <c r="C548" t="s">
        <v>1212</v>
      </c>
      <c r="D548" t="str">
        <f ca="1">IFERROR(__xludf.DUMMYFUNCTION("GOOGLETRANSLATE(B548,""es"",""en"")"),"Lay down")</f>
        <v>Lay down</v>
      </c>
      <c r="E548" t="str">
        <f ca="1">IFERROR(__xludf.DUMMYFUNCTION("GOOGLETRANSLATE(C548,""es"",""en"")"),"Lack, place ,,,,")</f>
        <v>Lack, place ,,,,</v>
      </c>
    </row>
    <row r="549" spans="1:5" ht="13.2" x14ac:dyDescent="0.25">
      <c r="A549" t="s">
        <v>1213</v>
      </c>
      <c r="B549" t="s">
        <v>1214</v>
      </c>
      <c r="C549" t="s">
        <v>1215</v>
      </c>
      <c r="D549" t="str">
        <f ca="1">IFERROR(__xludf.DUMMYFUNCTION("GOOGLETRANSLATE(B549,""es"",""en"")"),"Look for")</f>
        <v>Look for</v>
      </c>
      <c r="E549" t="str">
        <f ca="1">IFERROR(__xludf.DUMMYFUNCTION("GOOGLETRANSLATE(C549,""es"",""en"")"),"Rummage, investigate, scrutinize,")</f>
        <v>Rummage, investigate, scrutinize,</v>
      </c>
    </row>
    <row r="550" spans="1:5" ht="13.2" x14ac:dyDescent="0.25">
      <c r="A550" t="s">
        <v>1216</v>
      </c>
      <c r="B550" t="s">
        <v>1217</v>
      </c>
      <c r="C550" t="s">
        <v>1218</v>
      </c>
      <c r="D550" t="str">
        <f ca="1">IFERROR(__xludf.DUMMYFUNCTION("GOOGLETRANSLATE(B550,""es"",""en"")"),"Look")</f>
        <v>Look</v>
      </c>
      <c r="E550" t="s">
        <v>1219</v>
      </c>
    </row>
    <row r="551" spans="1:5" ht="13.2" x14ac:dyDescent="0.25">
      <c r="A551" t="s">
        <v>1220</v>
      </c>
      <c r="B551" t="s">
        <v>1221</v>
      </c>
      <c r="D551" t="str">
        <f ca="1">IFERROR(__xludf.DUMMYFUNCTION("GOOGLETRANSLATE(B551,""es"",""en"")"),"In the middle")</f>
        <v>In the middle</v>
      </c>
      <c r="E551" t="str">
        <f ca="1">IFERROR(__xludf.DUMMYFUNCTION("GOOGLETRANSLATE(C551,""es"",""en"")"),"#VALUE!")</f>
        <v>#VALUE!</v>
      </c>
    </row>
    <row r="552" spans="1:5" ht="13.2" x14ac:dyDescent="0.25">
      <c r="A552" t="s">
        <v>1222</v>
      </c>
      <c r="B552" t="s">
        <v>1223</v>
      </c>
      <c r="C552" t="s">
        <v>1224</v>
      </c>
      <c r="D552" t="str">
        <f ca="1">IFERROR(__xludf.DUMMYFUNCTION("GOOGLETRANSLATE(B552,""es"",""en"")"),"tight")</f>
        <v>tight</v>
      </c>
      <c r="E552" t="str">
        <f ca="1">IFERROR(__xludf.DUMMYFUNCTION("GOOGLETRANSLATE(C552,""es"",""en"")"),"Does not fit, , , ,")</f>
        <v>Does not fit, , , ,</v>
      </c>
    </row>
    <row r="553" spans="1:5" ht="13.2" x14ac:dyDescent="0.25">
      <c r="A553" t="s">
        <v>1225</v>
      </c>
      <c r="B553" t="s">
        <v>1226</v>
      </c>
      <c r="C553" t="s">
        <v>1227</v>
      </c>
      <c r="D553" t="str">
        <f ca="1">IFERROR(__xludf.DUMMYFUNCTION("GOOGLETRANSLATE(B553,""es"",""en"")"),"Throw")</f>
        <v>Throw</v>
      </c>
      <c r="E553" t="str">
        <f ca="1">IFERROR(__xludf.DUMMYFUNCTION("GOOGLETRANSLATE(C553,""es"",""en"")"),"Drop throw, , ,")</f>
        <v>Drop throw, , ,</v>
      </c>
    </row>
    <row r="554" spans="1:5" ht="13.2" x14ac:dyDescent="0.25">
      <c r="A554" t="s">
        <v>1228</v>
      </c>
      <c r="B554" t="s">
        <v>1229</v>
      </c>
      <c r="D554" t="str">
        <f ca="1">IFERROR(__xludf.DUMMYFUNCTION("GOOGLETRANSLATE(B554,""es"",""en"")"),"Nipple")</f>
        <v>Nipple</v>
      </c>
      <c r="E554" t="str">
        <f ca="1">IFERROR(__xludf.DUMMYFUNCTION("GOOGLETRANSLATE(C554,""es"",""en"")"),"#VALUE!")</f>
        <v>#VALUE!</v>
      </c>
    </row>
    <row r="555" spans="1:5" ht="13.2" x14ac:dyDescent="0.25">
      <c r="A555" t="s">
        <v>1230</v>
      </c>
      <c r="B555" t="s">
        <v>1231</v>
      </c>
      <c r="D555" t="str">
        <f ca="1">IFERROR(__xludf.DUMMYFUNCTION("GOOGLETRANSLATE(B555,""es"",""en"")"),"Lime")</f>
        <v>Lime</v>
      </c>
      <c r="E555" t="str">
        <f ca="1">IFERROR(__xludf.DUMMYFUNCTION("GOOGLETRANSLATE(C555,""es"",""en"")"),"#VALUE!")</f>
        <v>#VALUE!</v>
      </c>
    </row>
    <row r="556" spans="1:5" ht="13.2" x14ac:dyDescent="0.25">
      <c r="A556" t="s">
        <v>1232</v>
      </c>
      <c r="B556" t="s">
        <v>1233</v>
      </c>
      <c r="C556" t="s">
        <v>1234</v>
      </c>
      <c r="D556" t="str">
        <f ca="1">IFERROR(__xludf.DUMMYFUNCTION("GOOGLETRANSLATE(B556,""es"",""en"")"),"Sonny")</f>
        <v>Sonny</v>
      </c>
      <c r="E556" t="str">
        <f ca="1">IFERROR(__xludf.DUMMYFUNCTION("GOOGLETRANSLATE(C556,""es"",""en"")"),"Little daughter, baby ,,,,")</f>
        <v>Little daughter, baby ,,,,</v>
      </c>
    </row>
    <row r="557" spans="1:5" ht="13.2" x14ac:dyDescent="0.25">
      <c r="A557" t="s">
        <v>1235</v>
      </c>
      <c r="B557" t="s">
        <v>1236</v>
      </c>
      <c r="D557" t="str">
        <f ca="1">IFERROR(__xludf.DUMMYFUNCTION("GOOGLETRANSLATE(B557,""es"",""en"")"),"Shad")</f>
        <v>Shad</v>
      </c>
      <c r="E557" t="str">
        <f ca="1">IFERROR(__xludf.DUMMYFUNCTION("GOOGLETRANSLATE(C557,""es"",""en"")"),"#VALUE!")</f>
        <v>#VALUE!</v>
      </c>
    </row>
    <row r="558" spans="1:5" ht="13.2" x14ac:dyDescent="0.25">
      <c r="A558" t="s">
        <v>1237</v>
      </c>
      <c r="B558" t="s">
        <v>1236</v>
      </c>
      <c r="D558" t="str">
        <f ca="1">IFERROR(__xludf.DUMMYFUNCTION("GOOGLETRANSLATE(B558,""es"",""en"")"),"Shad")</f>
        <v>Shad</v>
      </c>
      <c r="E558" t="str">
        <f ca="1">IFERROR(__xludf.DUMMYFUNCTION("GOOGLETRANSLATE(C558,""es"",""en"")"),"#VALUE!")</f>
        <v>#VALUE!</v>
      </c>
    </row>
    <row r="559" spans="1:5" ht="13.2" x14ac:dyDescent="0.25">
      <c r="A559" t="s">
        <v>1238</v>
      </c>
      <c r="B559" t="s">
        <v>1239</v>
      </c>
      <c r="D559" t="str">
        <f ca="1">IFERROR(__xludf.DUMMYFUNCTION("GOOGLETRANSLATE(B559,""es"",""en"")"),"Bile")</f>
        <v>Bile</v>
      </c>
      <c r="E559" t="str">
        <f ca="1">IFERROR(__xludf.DUMMYFUNCTION("GOOGLETRANSLATE(C559,""es"",""en"")"),"#VALUE!")</f>
        <v>#VALUE!</v>
      </c>
    </row>
    <row r="560" spans="1:5" ht="13.2" x14ac:dyDescent="0.25">
      <c r="A560" t="s">
        <v>1240</v>
      </c>
      <c r="B560" t="s">
        <v>1241</v>
      </c>
      <c r="C560" t="s">
        <v>1242</v>
      </c>
      <c r="D560" t="str">
        <f ca="1">IFERROR(__xludf.DUMMYFUNCTION("GOOGLETRANSLATE(B560,""es"",""en"")"),"Cat")</f>
        <v>Cat</v>
      </c>
      <c r="E560" t="str">
        <f ca="1">IFERROR(__xludf.DUMMYFUNCTION("GOOGLETRANSLATE(C560,""es"",""en"")"),"Felino ,,,,")</f>
        <v>Felino ,,,,</v>
      </c>
    </row>
    <row r="561" spans="1:5" ht="13.2" x14ac:dyDescent="0.25">
      <c r="A561" t="s">
        <v>1243</v>
      </c>
      <c r="B561" t="s">
        <v>1244</v>
      </c>
      <c r="D561" t="str">
        <f ca="1">IFERROR(__xludf.DUMMYFUNCTION("GOOGLETRANSLATE(B561,""es"",""en"")"),"Also")</f>
        <v>Also</v>
      </c>
      <c r="E561" t="str">
        <f ca="1">IFERROR(__xludf.DUMMYFUNCTION("GOOGLETRANSLATE(C561,""es"",""en"")"),"#VALUE!")</f>
        <v>#VALUE!</v>
      </c>
    </row>
    <row r="562" spans="1:5" ht="13.2" x14ac:dyDescent="0.25">
      <c r="A562" t="s">
        <v>1245</v>
      </c>
      <c r="B562" t="s">
        <v>1246</v>
      </c>
      <c r="C562" t="s">
        <v>1247</v>
      </c>
      <c r="D562" t="str">
        <f ca="1">IFERROR(__xludf.DUMMYFUNCTION("GOOGLETRANSLATE(B562,""es"",""en"")"),"Tight")</f>
        <v>Tight</v>
      </c>
      <c r="E562" t="str">
        <f ca="1">IFERROR(__xludf.DUMMYFUNCTION("GOOGLETRANSLATE(C562,""es"",""en"")"),"Tight, , , ,")</f>
        <v>Tight, , , ,</v>
      </c>
    </row>
    <row r="563" spans="1:5" ht="13.2" x14ac:dyDescent="0.25">
      <c r="A563" t="s">
        <v>1248</v>
      </c>
      <c r="B563" t="s">
        <v>1244</v>
      </c>
      <c r="D563" t="str">
        <f ca="1">IFERROR(__xludf.DUMMYFUNCTION("GOOGLETRANSLATE(B563,""es"",""en"")"),"Also")</f>
        <v>Also</v>
      </c>
      <c r="E563" t="str">
        <f ca="1">IFERROR(__xludf.DUMMYFUNCTION("GOOGLETRANSLATE(C563,""es"",""en"")"),"#VALUE!")</f>
        <v>#VALUE!</v>
      </c>
    </row>
    <row r="564" spans="1:5" ht="13.2" x14ac:dyDescent="0.25">
      <c r="A564" t="s">
        <v>1249</v>
      </c>
      <c r="B564" t="s">
        <v>1250</v>
      </c>
      <c r="D564" t="str">
        <f ca="1">IFERROR(__xludf.DUMMYFUNCTION("GOOGLETRANSLATE(B564,""es"",""en"")"),"Pumpkin")</f>
        <v>Pumpkin</v>
      </c>
      <c r="E564" t="str">
        <f ca="1">IFERROR(__xludf.DUMMYFUNCTION("GOOGLETRANSLATE(C564,""es"",""en"")"),"#VALUE!")</f>
        <v>#VALUE!</v>
      </c>
    </row>
    <row r="565" spans="1:5" ht="13.2" x14ac:dyDescent="0.25">
      <c r="A565" t="s">
        <v>1251</v>
      </c>
      <c r="B565" t="s">
        <v>1252</v>
      </c>
      <c r="C565" t="s">
        <v>1253</v>
      </c>
      <c r="D565" t="str">
        <f ca="1">IFERROR(__xludf.DUMMYFUNCTION("GOOGLETRANSLATE(B565,""es"",""en"")"),"Arrive")</f>
        <v>Arrive</v>
      </c>
      <c r="E565" t="str">
        <f ca="1">IFERROR(__xludf.DUMMYFUNCTION("GOOGLETRANSLATE(C565,""es"",""en"")"),"Get close, achieve, vover to unite ,,")</f>
        <v>Get close, achieve, vover to unite ,,</v>
      </c>
    </row>
    <row r="566" spans="1:5" ht="13.2" x14ac:dyDescent="0.25">
      <c r="A566" t="s">
        <v>1254</v>
      </c>
      <c r="B566" t="s">
        <v>1252</v>
      </c>
      <c r="C566" t="s">
        <v>1255</v>
      </c>
      <c r="D566" t="str">
        <f ca="1">IFERROR(__xludf.DUMMYFUNCTION("GOOGLETRANSLATE(B566,""es"",""en"")"),"Arrive")</f>
        <v>Arrive</v>
      </c>
      <c r="E566" t="str">
        <f ca="1">IFERROR(__xludf.DUMMYFUNCTION("GOOGLETRANSLATE(C566,""es"",""en"")"),"Get close ,,,,")</f>
        <v>Get close ,,,,</v>
      </c>
    </row>
    <row r="567" spans="1:5" ht="13.2" x14ac:dyDescent="0.25">
      <c r="A567" t="s">
        <v>1256</v>
      </c>
      <c r="B567" t="s">
        <v>1257</v>
      </c>
      <c r="C567" t="s">
        <v>1258</v>
      </c>
      <c r="D567" t="str">
        <f ca="1">IFERROR(__xludf.DUMMYFUNCTION("GOOGLETRANSLATE(B567,""es"",""en"")"),"Cloud")</f>
        <v>Cloud</v>
      </c>
      <c r="E567" t="str">
        <f ca="1">IFERROR(__xludf.DUMMYFUNCTION("GOOGLETRANSLATE(C567,""es"",""en"")"),"Cloud ,,,,")</f>
        <v>Cloud ,,,,</v>
      </c>
    </row>
    <row r="568" spans="1:5" ht="13.2" x14ac:dyDescent="0.25">
      <c r="A568" t="s">
        <v>1259</v>
      </c>
      <c r="B568" t="s">
        <v>1260</v>
      </c>
      <c r="C568" t="s">
        <v>1261</v>
      </c>
      <c r="D568" t="str">
        <f ca="1">IFERROR(__xludf.DUMMYFUNCTION("GOOGLETRANSLATE(B568,""es"",""en"")"),"tapir")</f>
        <v>tapir</v>
      </c>
      <c r="E568" t="str">
        <f ca="1">IFERROR(__xludf.DUMMYFUNCTION("GOOGLETRANSLATE(C568,""es"",""en"")"),"Horse Cow, , ,")</f>
        <v>Horse Cow, , ,</v>
      </c>
    </row>
    <row r="569" spans="1:5" ht="13.2" x14ac:dyDescent="0.25">
      <c r="A569" t="s">
        <v>1262</v>
      </c>
      <c r="B569" t="s">
        <v>1263</v>
      </c>
      <c r="C569" t="s">
        <v>1264</v>
      </c>
      <c r="D569" t="str">
        <f ca="1">IFERROR(__xludf.DUMMYFUNCTION("GOOGLETRANSLATE(B569,""es"",""en"")"),"belt")</f>
        <v>belt</v>
      </c>
      <c r="E569" t="str">
        <f ca="1">IFERROR(__xludf.DUMMYFUNCTION("GOOGLETRANSLATE(C569,""es"",""en"")"),"Leather Correa")</f>
        <v>Leather Correa</v>
      </c>
    </row>
    <row r="570" spans="1:5" ht="13.2" x14ac:dyDescent="0.25">
      <c r="A570" t="s">
        <v>1265</v>
      </c>
      <c r="B570" t="s">
        <v>1266</v>
      </c>
      <c r="C570" t="s">
        <v>1267</v>
      </c>
      <c r="D570" t="str">
        <f ca="1">IFERROR(__xludf.DUMMYFUNCTION("GOOGLETRANSLATE(B570,""es"",""en"")"),"Belt")</f>
        <v>Belt</v>
      </c>
      <c r="E570" t="str">
        <f ca="1">IFERROR(__xludf.DUMMYFUNCTION("GOOGLETRANSLATE(C570,""es"",""en"")"),"Belt")</f>
        <v>Belt</v>
      </c>
    </row>
    <row r="571" spans="1:5" ht="13.2" x14ac:dyDescent="0.25">
      <c r="A571" t="s">
        <v>1268</v>
      </c>
      <c r="B571" t="s">
        <v>1269</v>
      </c>
      <c r="C571" t="s">
        <v>1270</v>
      </c>
      <c r="D571" t="str">
        <f ca="1">IFERROR(__xludf.DUMMYFUNCTION("GOOGLETRANSLATE(B571,""es"",""en"")"),"Chest fish")</f>
        <v>Chest fish</v>
      </c>
      <c r="E571" t="str">
        <f ca="1">IFERROR(__xludf.DUMMYFUNCTION("GOOGLETRANSLATE(C571,""es"",""en"")"),"chest fish")</f>
        <v>chest fish</v>
      </c>
    </row>
    <row r="572" spans="1:5" ht="13.2" x14ac:dyDescent="0.25">
      <c r="A572" t="s">
        <v>1271</v>
      </c>
      <c r="B572" t="s">
        <v>1272</v>
      </c>
      <c r="C572" t="s">
        <v>1273</v>
      </c>
      <c r="D572" t="str">
        <f ca="1">IFERROR(__xludf.DUMMYFUNCTION("GOOGLETRANSLATE(B572,""es"",""en"")"),"Weak")</f>
        <v>Weak</v>
      </c>
      <c r="E572" t="str">
        <f ca="1">IFERROR(__xludf.DUMMYFUNCTION("GOOGLETRANSLATE(C572,""es"",""en"")")," delicate")</f>
        <v xml:space="preserve"> delicate</v>
      </c>
    </row>
    <row r="573" spans="1:5" ht="13.2" x14ac:dyDescent="0.25">
      <c r="A573" t="s">
        <v>1274</v>
      </c>
      <c r="B573" t="s">
        <v>1246</v>
      </c>
      <c r="C573" t="s">
        <v>1247</v>
      </c>
      <c r="D573" t="str">
        <f ca="1">IFERROR(__xludf.DUMMYFUNCTION("GOOGLETRANSLATE(B573,""es"",""en"")"),"Tight")</f>
        <v>Tight</v>
      </c>
      <c r="E573" t="str">
        <f ca="1">IFERROR(__xludf.DUMMYFUNCTION("GOOGLETRANSLATE(C573,""es"",""en"")"),"Tight, , , ,")</f>
        <v>Tight, , , ,</v>
      </c>
    </row>
    <row r="574" spans="1:5" ht="13.2" x14ac:dyDescent="0.25">
      <c r="A574" t="s">
        <v>1275</v>
      </c>
      <c r="B574" t="s">
        <v>1272</v>
      </c>
      <c r="C574" t="s">
        <v>1276</v>
      </c>
      <c r="D574" t="str">
        <f ca="1">IFERROR(__xludf.DUMMYFUNCTION("GOOGLETRANSLATE(B574,""es"",""en"")"),"Weak")</f>
        <v>Weak</v>
      </c>
      <c r="E574" t="str">
        <f ca="1">IFERROR(__xludf.DUMMYFUNCTION("GOOGLETRANSLATE(C574,""es"",""en"")"),"Sleepy ,,,,")</f>
        <v>Sleepy ,,,,</v>
      </c>
    </row>
    <row r="575" spans="1:5" ht="13.2" x14ac:dyDescent="0.25">
      <c r="A575" t="s">
        <v>1277</v>
      </c>
      <c r="B575" t="s">
        <v>1278</v>
      </c>
      <c r="C575" t="s">
        <v>1279</v>
      </c>
      <c r="D575" t="str">
        <f ca="1">IFERROR(__xludf.DUMMYFUNCTION("GOOGLETRANSLATE(B575,""es"",""en"")"),"Butterfly")</f>
        <v>Butterfly</v>
      </c>
      <c r="E575" t="str">
        <f ca="1">IFERROR(__xludf.DUMMYFUNCTION("GOOGLETRANSLATE(C575,""es"",""en"")"),"Moth, palomilla ,,,")</f>
        <v>Moth, palomilla ,,,</v>
      </c>
    </row>
    <row r="576" spans="1:5" ht="13.2" x14ac:dyDescent="0.25">
      <c r="A576" t="s">
        <v>1280</v>
      </c>
      <c r="B576" t="s">
        <v>1278</v>
      </c>
      <c r="D576" t="str">
        <f ca="1">IFERROR(__xludf.DUMMYFUNCTION("GOOGLETRANSLATE(B576,""es"",""en"")"),"Butterfly")</f>
        <v>Butterfly</v>
      </c>
      <c r="E576" t="str">
        <f ca="1">IFERROR(__xludf.DUMMYFUNCTION("GOOGLETRANSLATE(C576,""es"",""en"")"),"#VALUE!")</f>
        <v>#VALUE!</v>
      </c>
    </row>
    <row r="577" spans="1:5" ht="13.2" x14ac:dyDescent="0.25">
      <c r="A577" t="s">
        <v>1281</v>
      </c>
      <c r="B577" t="s">
        <v>1282</v>
      </c>
      <c r="D577" t="str">
        <f ca="1">IFERROR(__xludf.DUMMYFUNCTION("GOOGLETRANSLATE(B577,""es"",""en"")"),"Shake the wings")</f>
        <v>Shake the wings</v>
      </c>
      <c r="E577" t="str">
        <f ca="1">IFERROR(__xludf.DUMMYFUNCTION("GOOGLETRANSLATE(C577,""es"",""en"")"),"#VALUE!")</f>
        <v>#VALUE!</v>
      </c>
    </row>
    <row r="578" spans="1:5" ht="13.2" x14ac:dyDescent="0.25">
      <c r="A578" t="s">
        <v>1283</v>
      </c>
      <c r="B578" t="s">
        <v>1284</v>
      </c>
      <c r="C578" t="s">
        <v>1285</v>
      </c>
      <c r="D578" t="str">
        <f ca="1">IFERROR(__xludf.DUMMYFUNCTION("GOOGLETRANSLATE(B578,""es"",""en"")"),"Attire")</f>
        <v>Attire</v>
      </c>
      <c r="E578" t="str">
        <f ca="1">IFERROR(__xludf.DUMMYFUNCTION("GOOGLETRANSLATE(C578,""es"",""en"")"),"Clothing, dress, woman blouse,")</f>
        <v>Clothing, dress, woman blouse,</v>
      </c>
    </row>
    <row r="579" spans="1:5" ht="13.2" x14ac:dyDescent="0.25">
      <c r="A579" t="s">
        <v>1286</v>
      </c>
      <c r="B579" t="s">
        <v>1284</v>
      </c>
      <c r="C579" t="s">
        <v>1285</v>
      </c>
      <c r="D579" t="str">
        <f ca="1">IFERROR(__xludf.DUMMYFUNCTION("GOOGLETRANSLATE(B579,""es"",""en"")"),"Attire")</f>
        <v>Attire</v>
      </c>
      <c r="E579" t="str">
        <f ca="1">IFERROR(__xludf.DUMMYFUNCTION("GOOGLETRANSLATE(C579,""es"",""en"")"),"Clothing, dress, woman blouse,")</f>
        <v>Clothing, dress, woman blouse,</v>
      </c>
    </row>
    <row r="580" spans="1:5" ht="13.2" x14ac:dyDescent="0.25">
      <c r="A580" t="s">
        <v>1287</v>
      </c>
      <c r="B580" t="s">
        <v>1288</v>
      </c>
      <c r="D580" t="str">
        <f ca="1">IFERROR(__xludf.DUMMYFUNCTION("GOOGLETRANSLATE(B580,""es"",""en"")"),"Button")</f>
        <v>Button</v>
      </c>
      <c r="E580" t="str">
        <f ca="1">IFERROR(__xludf.DUMMYFUNCTION("GOOGLETRANSLATE(C580,""es"",""en"")"),"#VALUE!")</f>
        <v>#VALUE!</v>
      </c>
    </row>
    <row r="581" spans="1:5" ht="13.2" x14ac:dyDescent="0.25">
      <c r="A581" t="s">
        <v>1289</v>
      </c>
      <c r="B581" t="s">
        <v>1290</v>
      </c>
      <c r="C581" t="s">
        <v>1291</v>
      </c>
      <c r="D581" t="str">
        <f ca="1">IFERROR(__xludf.DUMMYFUNCTION("GOOGLETRANSLATE(B581,""es"",""en"")"),"Change")</f>
        <v>Change</v>
      </c>
      <c r="E581" t="str">
        <f ca="1">IFERROR(__xludf.DUMMYFUNCTION("GOOGLETRANSLATE(C581,""es"",""en"")"),"Mollusk ,,,,")</f>
        <v>Mollusk ,,,,</v>
      </c>
    </row>
    <row r="582" spans="1:5" ht="13.2" x14ac:dyDescent="0.25">
      <c r="A582" t="s">
        <v>1292</v>
      </c>
      <c r="B582" t="s">
        <v>1290</v>
      </c>
      <c r="D582" t="str">
        <f ca="1">IFERROR(__xludf.DUMMYFUNCTION("GOOGLETRANSLATE(B582,""es"",""en"")"),"Change")</f>
        <v>Change</v>
      </c>
      <c r="E582" t="str">
        <f ca="1">IFERROR(__xludf.DUMMYFUNCTION("GOOGLETRANSLATE(C582,""es"",""en"")"),"#VALUE!")</f>
        <v>#VALUE!</v>
      </c>
    </row>
    <row r="583" spans="1:5" ht="13.2" x14ac:dyDescent="0.25">
      <c r="A583" t="s">
        <v>1293</v>
      </c>
      <c r="B583" t="s">
        <v>1294</v>
      </c>
      <c r="C583" t="s">
        <v>1295</v>
      </c>
      <c r="D583" t="str">
        <f ca="1">IFERROR(__xludf.DUMMYFUNCTION("GOOGLETRANSLATE(B583,""es"",""en"")"),"Unfold")</f>
        <v>Unfold</v>
      </c>
      <c r="E583" t="str">
        <f ca="1">IFERROR(__xludf.DUMMYFUNCTION("GOOGLETRANSLATE(C583,""es"",""en"")"),"Remove your clothes ,,,,")</f>
        <v>Remove your clothes ,,,,</v>
      </c>
    </row>
    <row r="584" spans="1:5" ht="13.2" x14ac:dyDescent="0.25">
      <c r="A584" t="s">
        <v>1296</v>
      </c>
      <c r="B584" t="s">
        <v>1297</v>
      </c>
      <c r="D584" t="str">
        <f ca="1">IFERROR(__xludf.DUMMYFUNCTION("GOOGLETRANSLATE(B584,""es"",""en"")"),"Expression of pain")</f>
        <v>Expression of pain</v>
      </c>
      <c r="E584" t="str">
        <f ca="1">IFERROR(__xludf.DUMMYFUNCTION("GOOGLETRANSLATE(C584,""es"",""en"")"),"#VALUE!")</f>
        <v>#VALUE!</v>
      </c>
    </row>
    <row r="585" spans="1:5" ht="13.2" x14ac:dyDescent="0.25">
      <c r="A585" t="s">
        <v>1298</v>
      </c>
      <c r="B585" t="s">
        <v>1299</v>
      </c>
      <c r="C585" t="s">
        <v>1295</v>
      </c>
      <c r="D585" t="str">
        <f ca="1">IFERROR(__xludf.DUMMYFUNCTION("GOOGLETRANSLATE(B585,""es"",""en"")"),"Undress")</f>
        <v>Undress</v>
      </c>
      <c r="E585" t="str">
        <f ca="1">IFERROR(__xludf.DUMMYFUNCTION("GOOGLETRANSLATE(C585,""es"",""en"")"),"Remove your clothes ,,,,")</f>
        <v>Remove your clothes ,,,,</v>
      </c>
    </row>
    <row r="586" spans="1:5" ht="13.2" x14ac:dyDescent="0.25">
      <c r="A586" t="s">
        <v>1300</v>
      </c>
      <c r="B586" t="s">
        <v>1301</v>
      </c>
      <c r="D586" t="str">
        <f ca="1">IFERROR(__xludf.DUMMYFUNCTION("GOOGLETRANSLATE(B586,""es"",""en"")"),"Fork")</f>
        <v>Fork</v>
      </c>
      <c r="E586" t="str">
        <f ca="1">IFERROR(__xludf.DUMMYFUNCTION("GOOGLETRANSLATE(C586,""es"",""en"")"),"#VALUE!")</f>
        <v>#VALUE!</v>
      </c>
    </row>
    <row r="587" spans="1:5" ht="13.2" x14ac:dyDescent="0.25">
      <c r="A587" t="s">
        <v>1302</v>
      </c>
      <c r="B587" t="s">
        <v>1303</v>
      </c>
      <c r="C587" t="s">
        <v>1304</v>
      </c>
      <c r="D587" t="str">
        <f ca="1">IFERROR(__xludf.DUMMYFUNCTION("GOOGLETRANSLATE(B587,""es"",""en"")"),"Soap")</f>
        <v>Soap</v>
      </c>
      <c r="E587" t="str">
        <f ca="1">IFERROR(__xludf.DUMMYFUNCTION("GOOGLETRANSLATE(C587,""es"",""en"")"),"Detergent, , , ,")</f>
        <v>Detergent, , , ,</v>
      </c>
    </row>
    <row r="588" spans="1:5" ht="13.2" x14ac:dyDescent="0.25">
      <c r="A588" t="s">
        <v>1305</v>
      </c>
      <c r="B588" t="s">
        <v>1306</v>
      </c>
      <c r="C588" t="s">
        <v>1307</v>
      </c>
      <c r="D588" t="str">
        <f ca="1">IFERROR(__xludf.DUMMYFUNCTION("GOOGLETRANSLATE(B588,""es"",""en"")"),"Remnant")</f>
        <v>Remnant</v>
      </c>
      <c r="E588" t="str">
        <f ca="1">IFERROR(__xludf.DUMMYFUNCTION("GOOGLETRANSLATE(C588,""es"",""en"")"),"SOBRARS OF fabric ,,,,,")</f>
        <v>SOBRARS OF fabric ,,,,,</v>
      </c>
    </row>
    <row r="589" spans="1:5" ht="13.2" x14ac:dyDescent="0.25">
      <c r="A589" t="s">
        <v>1308</v>
      </c>
      <c r="B589" t="s">
        <v>1306</v>
      </c>
      <c r="C589" t="s">
        <v>1307</v>
      </c>
      <c r="D589" t="str">
        <f ca="1">IFERROR(__xludf.DUMMYFUNCTION("GOOGLETRANSLATE(B589,""es"",""en"")"),"Remnant")</f>
        <v>Remnant</v>
      </c>
      <c r="E589" t="str">
        <f ca="1">IFERROR(__xludf.DUMMYFUNCTION("GOOGLETRANSLATE(C589,""es"",""en"")"),"SOBRARS OF fabric ,,,,,")</f>
        <v>SOBRARS OF fabric ,,,,,</v>
      </c>
    </row>
    <row r="590" spans="1:5" ht="13.2" x14ac:dyDescent="0.25">
      <c r="A590" t="s">
        <v>1309</v>
      </c>
      <c r="B590" t="s">
        <v>1310</v>
      </c>
      <c r="D590" t="str">
        <f ca="1">IFERROR(__xludf.DUMMYFUNCTION("GOOGLETRANSLATE(B590,""es"",""en"")"),"Tortuga egg")</f>
        <v>Tortuga egg</v>
      </c>
      <c r="E590" t="str">
        <f ca="1">IFERROR(__xludf.DUMMYFUNCTION("GOOGLETRANSLATE(C590,""es"",""en"")"),"#VALUE!")</f>
        <v>#VALUE!</v>
      </c>
    </row>
    <row r="591" spans="1:5" ht="13.2" x14ac:dyDescent="0.25">
      <c r="A591" t="s">
        <v>1311</v>
      </c>
      <c r="B591" t="s">
        <v>1310</v>
      </c>
      <c r="D591" t="str">
        <f ca="1">IFERROR(__xludf.DUMMYFUNCTION("GOOGLETRANSLATE(B591,""es"",""en"")"),"Tortuga egg")</f>
        <v>Tortuga egg</v>
      </c>
      <c r="E591" t="str">
        <f ca="1">IFERROR(__xludf.DUMMYFUNCTION("GOOGLETRANSLATE(C591,""es"",""en"")"),"#VALUE!")</f>
        <v>#VALUE!</v>
      </c>
    </row>
    <row r="592" spans="1:5" ht="13.2" x14ac:dyDescent="0.25">
      <c r="A592" t="s">
        <v>1312</v>
      </c>
      <c r="B592" t="s">
        <v>1313</v>
      </c>
      <c r="D592" t="str">
        <f ca="1">IFERROR(__xludf.DUMMYFUNCTION("GOOGLETRANSLATE(B592,""es"",""en"")"),"Turtle egg")</f>
        <v>Turtle egg</v>
      </c>
      <c r="E592" t="str">
        <f ca="1">IFERROR(__xludf.DUMMYFUNCTION("GOOGLETRANSLATE(C592,""es"",""en"")"),"#VALUE!")</f>
        <v>#VALUE!</v>
      </c>
    </row>
    <row r="593" spans="1:5" ht="13.2" x14ac:dyDescent="0.25">
      <c r="A593" t="s">
        <v>1314</v>
      </c>
      <c r="B593" t="s">
        <v>1315</v>
      </c>
      <c r="D593" t="str">
        <f ca="1">IFERROR(__xludf.DUMMYFUNCTION("GOOGLETRANSLATE(B593,""es"",""en"")"),"Sew")</f>
        <v>Sew</v>
      </c>
      <c r="E593" t="str">
        <f ca="1">IFERROR(__xludf.DUMMYFUNCTION("GOOGLETRANSLATE(C593,""es"",""en"")"),"#VALUE!")</f>
        <v>#VALUE!</v>
      </c>
    </row>
    <row r="594" spans="1:5" ht="13.2" x14ac:dyDescent="0.25">
      <c r="A594" t="s">
        <v>1316</v>
      </c>
      <c r="B594" t="s">
        <v>1317</v>
      </c>
      <c r="D594" t="str">
        <f ca="1">IFERROR(__xludf.DUMMYFUNCTION("GOOGLETRANSLATE(B594,""es"",""en"")"),"Sewing thread")</f>
        <v>Sewing thread</v>
      </c>
      <c r="E594" t="str">
        <f ca="1">IFERROR(__xludf.DUMMYFUNCTION("GOOGLETRANSLATE(C594,""es"",""en"")"),"#VALUE!")</f>
        <v>#VALUE!</v>
      </c>
    </row>
    <row r="595" spans="1:5" ht="13.2" x14ac:dyDescent="0.25">
      <c r="A595" t="s">
        <v>1318</v>
      </c>
      <c r="B595" t="s">
        <v>1319</v>
      </c>
      <c r="D595" t="str">
        <f ca="1">IFERROR(__xludf.DUMMYFUNCTION("GOOGLETRANSLATE(B595,""es"",""en"")"),"Son of sewing")</f>
        <v>Son of sewing</v>
      </c>
      <c r="E595" t="str">
        <f ca="1">IFERROR(__xludf.DUMMYFUNCTION("GOOGLETRANSLATE(C595,""es"",""en"")"),"#VALUE!")</f>
        <v>#VALUE!</v>
      </c>
    </row>
    <row r="596" spans="1:5" ht="13.2" x14ac:dyDescent="0.25">
      <c r="A596" t="s">
        <v>1320</v>
      </c>
      <c r="B596" t="s">
        <v>1297</v>
      </c>
      <c r="D596" t="str">
        <f ca="1">IFERROR(__xludf.DUMMYFUNCTION("GOOGLETRANSLATE(B596,""es"",""en"")"),"Expression of pain")</f>
        <v>Expression of pain</v>
      </c>
      <c r="E596" t="str">
        <f ca="1">IFERROR(__xludf.DUMMYFUNCTION("GOOGLETRANSLATE(C596,""es"",""en"")"),"#VALUE!")</f>
        <v>#VALUE!</v>
      </c>
    </row>
    <row r="597" spans="1:5" ht="13.2" x14ac:dyDescent="0.25">
      <c r="A597" t="s">
        <v>1321</v>
      </c>
      <c r="B597" t="s">
        <v>713</v>
      </c>
      <c r="D597" t="str">
        <f ca="1">IFERROR(__xludf.DUMMYFUNCTION("GOOGLETRANSLATE(B597,""es"",""en"")"),"Needle")</f>
        <v>Needle</v>
      </c>
      <c r="E597" t="str">
        <f ca="1">IFERROR(__xludf.DUMMYFUNCTION("GOOGLETRANSLATE(C597,""es"",""en"")"),"#VALUE!")</f>
        <v>#VALUE!</v>
      </c>
    </row>
    <row r="598" spans="1:5" ht="13.2" x14ac:dyDescent="0.25">
      <c r="A598" t="s">
        <v>1322</v>
      </c>
      <c r="B598" t="s">
        <v>1323</v>
      </c>
      <c r="C598" t="s">
        <v>1324</v>
      </c>
      <c r="D598" t="str">
        <f ca="1">IFERROR(__xludf.DUMMYFUNCTION("GOOGLETRANSLATE(B598,""es"",""en"")"),"Shake")</f>
        <v>Shake</v>
      </c>
      <c r="E598" t="str">
        <f ca="1">IFERROR(__xludf.DUMMYFUNCTION("GOOGLETRANSLATE(C598,""es"",""en"")"),"Remove dust, refers to fabrics ,,,,")</f>
        <v>Remove dust, refers to fabrics ,,,,</v>
      </c>
    </row>
    <row r="599" spans="1:5" ht="13.2" x14ac:dyDescent="0.25">
      <c r="A599" t="s">
        <v>1325</v>
      </c>
      <c r="B599" t="s">
        <v>1326</v>
      </c>
      <c r="C599" t="s">
        <v>1327</v>
      </c>
      <c r="D599" t="str">
        <f ca="1">IFERROR(__xludf.DUMMYFUNCTION("GOOGLETRANSLATE(B599,""es"",""en"")"),"Worn clothes")</f>
        <v>Worn clothes</v>
      </c>
      <c r="E599" t="str">
        <f ca="1">IFERROR(__xludf.DUMMYFUNCTION("GOOGLETRANSLATE(C599,""es"",""en"")"),"Used clothes, , , ,")</f>
        <v>Used clothes, , , ,</v>
      </c>
    </row>
    <row r="600" spans="1:5" ht="13.2" x14ac:dyDescent="0.25">
      <c r="A600" t="s">
        <v>1328</v>
      </c>
      <c r="B600" t="s">
        <v>1329</v>
      </c>
      <c r="D600" t="str">
        <f ca="1">IFERROR(__xludf.DUMMYFUNCTION("GOOGLETRANSLATE(B600,""es"",""en"")"),"Green turtle")</f>
        <v>Green turtle</v>
      </c>
      <c r="E600" t="str">
        <f ca="1">IFERROR(__xludf.DUMMYFUNCTION("GOOGLETRANSLATE(C600,""es"",""en"")"),"#VALUE!")</f>
        <v>#VALUE!</v>
      </c>
    </row>
    <row r="601" spans="1:5" ht="13.2" x14ac:dyDescent="0.25">
      <c r="A601" t="s">
        <v>1330</v>
      </c>
      <c r="B601" t="s">
        <v>1331</v>
      </c>
      <c r="C601" t="s">
        <v>1332</v>
      </c>
      <c r="D601" t="str">
        <f ca="1">IFERROR(__xludf.DUMMYFUNCTION("GOOGLETRANSLATE(B601,""es"",""en"")"),"Mount turtle")</f>
        <v>Mount turtle</v>
      </c>
      <c r="E601" t="str">
        <f ca="1">IFERROR(__xludf.DUMMYFUNCTION("GOOGLETRANSLATE(C601,""es"",""en"")"),"Morrocoyo ,,,,")</f>
        <v>Morrocoyo ,,,,</v>
      </c>
    </row>
    <row r="602" spans="1:5" ht="13.2" x14ac:dyDescent="0.25">
      <c r="A602" t="s">
        <v>1333</v>
      </c>
      <c r="B602" t="s">
        <v>1331</v>
      </c>
      <c r="D602" t="str">
        <f ca="1">IFERROR(__xludf.DUMMYFUNCTION("GOOGLETRANSLATE(B602,""es"",""en"")"),"Mount turtle")</f>
        <v>Mount turtle</v>
      </c>
      <c r="E602" t="str">
        <f ca="1">IFERROR(__xludf.DUMMYFUNCTION("GOOGLETRANSLATE(C602,""es"",""en"")"),"#VALUE!")</f>
        <v>#VALUE!</v>
      </c>
    </row>
    <row r="603" spans="1:5" ht="13.2" x14ac:dyDescent="0.25">
      <c r="A603" t="s">
        <v>1334</v>
      </c>
      <c r="B603" t="s">
        <v>1335</v>
      </c>
      <c r="D603" t="str">
        <f ca="1">IFERROR(__xludf.DUMMYFUNCTION("GOOGLETRANSLATE(B603,""es"",""en"")"),"Pocket")</f>
        <v>Pocket</v>
      </c>
      <c r="E603" t="str">
        <f ca="1">IFERROR(__xludf.DUMMYFUNCTION("GOOGLETRANSLATE(C603,""es"",""en"")"),"#VALUE!")</f>
        <v>#VALUE!</v>
      </c>
    </row>
    <row r="604" spans="1:5" ht="13.2" x14ac:dyDescent="0.25">
      <c r="A604" t="s">
        <v>1336</v>
      </c>
      <c r="B604" t="s">
        <v>1337</v>
      </c>
      <c r="D604" t="str">
        <f ca="1">IFERROR(__xludf.DUMMYFUNCTION("GOOGLETRANSLATE(B604,""es"",""en"")"),"Clothing Stick")</f>
        <v>Clothing Stick</v>
      </c>
      <c r="E604" t="str">
        <f ca="1">IFERROR(__xludf.DUMMYFUNCTION("GOOGLETRANSLATE(C604,""es"",""en"")"),"#VALUE!")</f>
        <v>#VALUE!</v>
      </c>
    </row>
    <row r="605" spans="1:5" ht="13.2" x14ac:dyDescent="0.25">
      <c r="A605" t="s">
        <v>1338</v>
      </c>
      <c r="B605" t="s">
        <v>1337</v>
      </c>
      <c r="D605" t="str">
        <f ca="1">IFERROR(__xludf.DUMMYFUNCTION("GOOGLETRANSLATE(B605,""es"",""en"")"),"Clothing Stick")</f>
        <v>Clothing Stick</v>
      </c>
      <c r="E605" t="str">
        <f ca="1">IFERROR(__xludf.DUMMYFUNCTION("GOOGLETRANSLATE(C605,""es"",""en"")"),"#VALUE!")</f>
        <v>#VALUE!</v>
      </c>
    </row>
    <row r="606" spans="1:5" ht="13.2" x14ac:dyDescent="0.25">
      <c r="A606" t="s">
        <v>1339</v>
      </c>
      <c r="B606" t="s">
        <v>1340</v>
      </c>
      <c r="D606" t="str">
        <f ca="1">IFERROR(__xludf.DUMMYFUNCTION("GOOGLETRANSLATE(B606,""es"",""en"")"),"Expression of pain")</f>
        <v>Expression of pain</v>
      </c>
      <c r="E606" t="str">
        <f ca="1">IFERROR(__xludf.DUMMYFUNCTION("GOOGLETRANSLATE(C606,""es"",""en"")"),"#VALUE!")</f>
        <v>#VALUE!</v>
      </c>
    </row>
    <row r="607" spans="1:5" ht="13.2" x14ac:dyDescent="0.25">
      <c r="A607" t="s">
        <v>1298</v>
      </c>
      <c r="B607" t="s">
        <v>1294</v>
      </c>
      <c r="C607" t="s">
        <v>1341</v>
      </c>
      <c r="D607" t="str">
        <f ca="1">IFERROR(__xludf.DUMMYFUNCTION("GOOGLETRANSLATE(B607,""es"",""en"")"),"Unfold")</f>
        <v>Unfold</v>
      </c>
      <c r="E607" t="str">
        <f ca="1">IFERROR(__xludf.DUMMYFUNCTION("GOOGLETRANSLATE(C607,""es"",""en"")"),"Remove the clothes, , , ,")</f>
        <v>Remove the clothes, , , ,</v>
      </c>
    </row>
    <row r="608" spans="1:5" ht="13.2" x14ac:dyDescent="0.25">
      <c r="A608" t="s">
        <v>1293</v>
      </c>
      <c r="B608" t="s">
        <v>1294</v>
      </c>
      <c r="D608" t="str">
        <f ca="1">IFERROR(__xludf.DUMMYFUNCTION("GOOGLETRANSLATE(B608,""es"",""en"")"),"Unfold")</f>
        <v>Unfold</v>
      </c>
      <c r="E608" t="str">
        <f ca="1">IFERROR(__xludf.DUMMYFUNCTION("GOOGLETRANSLATE(C608,""es"",""en"")"),"#VALUE!")</f>
        <v>#VALUE!</v>
      </c>
    </row>
    <row r="609" spans="1:5" ht="13.2" x14ac:dyDescent="0.25">
      <c r="A609" t="s">
        <v>1342</v>
      </c>
      <c r="B609" t="s">
        <v>1343</v>
      </c>
      <c r="D609" t="str">
        <f ca="1">IFERROR(__xludf.DUMMYFUNCTION("GOOGLETRANSLATE(B609,""es"",""en"")"),"Get dressed")</f>
        <v>Get dressed</v>
      </c>
      <c r="E609" t="str">
        <f ca="1">IFERROR(__xludf.DUMMYFUNCTION("GOOGLETRANSLATE(C609,""es"",""en"")"),"#VALUE!")</f>
        <v>#VALUE!</v>
      </c>
    </row>
    <row r="610" spans="1:5" ht="13.2" x14ac:dyDescent="0.25">
      <c r="A610" t="s">
        <v>1344</v>
      </c>
      <c r="B610" t="s">
        <v>1345</v>
      </c>
      <c r="D610" t="str">
        <f ca="1">IFERROR(__xludf.DUMMYFUNCTION("GOOGLETRANSLATE(B610,""es"",""en"")"),"Evening")</f>
        <v>Evening</v>
      </c>
      <c r="E610" t="str">
        <f ca="1">IFERROR(__xludf.DUMMYFUNCTION("GOOGLETRANSLATE(C610,""es"",""en"")"),"#VALUE!")</f>
        <v>#VALUE!</v>
      </c>
    </row>
    <row r="611" spans="1:5" ht="13.2" x14ac:dyDescent="0.25">
      <c r="A611" t="s">
        <v>1346</v>
      </c>
      <c r="B611" t="s">
        <v>1347</v>
      </c>
      <c r="D611" t="str">
        <f ca="1">IFERROR(__xludf.DUMMYFUNCTION("GOOGLETRANSLATE(B611,""es"",""en"")"),"Anochese")</f>
        <v>Anochese</v>
      </c>
      <c r="E611" t="str">
        <f ca="1">IFERROR(__xludf.DUMMYFUNCTION("GOOGLETRANSLATE(C611,""es"",""en"")"),"#VALUE!")</f>
        <v>#VALUE!</v>
      </c>
    </row>
    <row r="612" spans="1:5" ht="13.2" x14ac:dyDescent="0.25">
      <c r="A612" t="s">
        <v>1348</v>
      </c>
      <c r="B612" t="s">
        <v>1349</v>
      </c>
      <c r="D612" t="str">
        <f ca="1">IFERROR(__xludf.DUMMYFUNCTION("GOOGLETRANSLATE(B612,""es"",""en"")"),"Black Wax")</f>
        <v>Black Wax</v>
      </c>
      <c r="E612" t="str">
        <f ca="1">IFERROR(__xludf.DUMMYFUNCTION("GOOGLETRANSLATE(C612,""es"",""en"")"),"#VALUE!")</f>
        <v>#VALUE!</v>
      </c>
    </row>
    <row r="613" spans="1:5" ht="13.2" x14ac:dyDescent="0.25">
      <c r="A613" t="s">
        <v>1350</v>
      </c>
      <c r="B613" t="s">
        <v>1351</v>
      </c>
      <c r="C613" t="s">
        <v>1352</v>
      </c>
      <c r="D613" t="str">
        <f ca="1">IFERROR(__xludf.DUMMYFUNCTION("GOOGLETRANSLATE(B613,""es"",""en"")"),"Mutually")</f>
        <v>Mutually</v>
      </c>
      <c r="E613" t="str">
        <f ca="1">IFERROR(__xludf.DUMMYFUNCTION("GOOGLETRANSLATE(C613,""es"",""en"")"),"Reciprocally ,,,,")</f>
        <v>Reciprocally ,,,,</v>
      </c>
    </row>
    <row r="614" spans="1:5" ht="13.2" x14ac:dyDescent="0.25">
      <c r="A614" t="s">
        <v>1353</v>
      </c>
      <c r="B614" t="s">
        <v>1354</v>
      </c>
      <c r="C614" t="s">
        <v>1355</v>
      </c>
      <c r="D614" t="str">
        <f ca="1">IFERROR(__xludf.DUMMYFUNCTION("GOOGLETRANSLATE(B614,""es"",""en"")"),"Swell")</f>
        <v>Swell</v>
      </c>
      <c r="E614" t="str">
        <f ca="1">IFERROR(__xludf.DUMMYFUNCTION("GOOGLETRANSLATE(C614,""es"",""en"")"),"Inflow, fill ,,,,")</f>
        <v>Inflow, fill ,,,,</v>
      </c>
    </row>
    <row r="615" spans="1:5" ht="13.2" x14ac:dyDescent="0.25">
      <c r="A615" t="s">
        <v>1356</v>
      </c>
      <c r="B615" t="s">
        <v>1357</v>
      </c>
      <c r="C615" t="s">
        <v>1358</v>
      </c>
      <c r="D615" t="str">
        <f ca="1">IFERROR(__xludf.DUMMYFUNCTION("GOOGLETRANSLATE(B615,""es"",""en"")"),"Fill")</f>
        <v>Fill</v>
      </c>
      <c r="E615" t="str">
        <f ca="1">IFERROR(__xludf.DUMMYFUNCTION("GOOGLETRANSLATE(C615,""es"",""en"")"),"Incade ,,,,")</f>
        <v>Incade ,,,,</v>
      </c>
    </row>
    <row r="616" spans="1:5" ht="13.2" x14ac:dyDescent="0.25">
      <c r="A616" t="s">
        <v>1359</v>
      </c>
      <c r="B616" t="s">
        <v>1360</v>
      </c>
      <c r="C616" t="s">
        <v>1361</v>
      </c>
      <c r="D616" t="str">
        <f ca="1">IFERROR(__xludf.DUMMYFUNCTION("GOOGLETRANSLATE(B616,""es"",""en"")"),"Corpse")</f>
        <v>Corpse</v>
      </c>
      <c r="E616" t="str">
        <f ca="1">IFERROR(__xludf.DUMMYFUNCTION("GOOGLETRANSLATE(C616,""es"",""en"")"),"Dead, , , ,")</f>
        <v>Dead, , , ,</v>
      </c>
    </row>
    <row r="617" spans="1:5" ht="13.2" x14ac:dyDescent="0.25">
      <c r="A617" t="s">
        <v>1362</v>
      </c>
      <c r="B617" t="s">
        <v>1363</v>
      </c>
      <c r="C617" t="s">
        <v>1364</v>
      </c>
      <c r="D617" t="str">
        <f ca="1">IFERROR(__xludf.DUMMYFUNCTION("GOOGLETRANSLATE(B617,""es"",""en"")"),"Laugh")</f>
        <v>Laugh</v>
      </c>
      <c r="E617" t="str">
        <f ca="1">IFERROR(__xludf.DUMMYFUNCTION("GOOGLETRANSLATE(C617,""es"",""en"")"),"Laugh ,,,,,")</f>
        <v>Laugh ,,,,,</v>
      </c>
    </row>
    <row r="618" spans="1:5" ht="13.2" x14ac:dyDescent="0.25">
      <c r="A618" t="s">
        <v>1365</v>
      </c>
      <c r="B618" t="s">
        <v>1366</v>
      </c>
      <c r="D618" t="str">
        <f ca="1">IFERROR(__xludf.DUMMYFUNCTION("GOOGLETRANSLATE(B618,""es"",""en"")"),"Slut")</f>
        <v>Slut</v>
      </c>
      <c r="E618" t="str">
        <f ca="1">IFERROR(__xludf.DUMMYFUNCTION("GOOGLETRANSLATE(C618,""es"",""en"")"),"#VALUE!")</f>
        <v>#VALUE!</v>
      </c>
    </row>
    <row r="619" spans="1:5" ht="13.2" x14ac:dyDescent="0.25">
      <c r="A619" t="s">
        <v>1367</v>
      </c>
      <c r="B619" t="s">
        <v>1368</v>
      </c>
      <c r="C619" t="s">
        <v>1369</v>
      </c>
      <c r="D619" t="str">
        <f ca="1">IFERROR(__xludf.DUMMYFUNCTION("GOOGLETRANSLATE(B619,""es"",""en"")"),"Dejection")</f>
        <v>Dejection</v>
      </c>
      <c r="E619" t="str">
        <f ca="1">IFERROR(__xludf.DUMMYFUNCTION("GOOGLETRANSLATE(C619,""es"",""en"")"),"Depression, , , ,")</f>
        <v>Depression, , , ,</v>
      </c>
    </row>
    <row r="620" spans="1:5" ht="13.2" x14ac:dyDescent="0.25">
      <c r="A620" t="s">
        <v>658</v>
      </c>
      <c r="B620" t="s">
        <v>656</v>
      </c>
      <c r="C620" t="s">
        <v>657</v>
      </c>
      <c r="D620" t="str">
        <f ca="1">IFERROR(__xludf.DUMMYFUNCTION("GOOGLETRANSLATE(B620,""es"",""en"")"),"Next")</f>
        <v>Next</v>
      </c>
      <c r="E620" t="str">
        <f ca="1">IFERROR(__xludf.DUMMYFUNCTION("GOOGLETRANSLATE(C620,""es"",""en"")"),"Near, , , ,")</f>
        <v>Near, , , ,</v>
      </c>
    </row>
    <row r="621" spans="1:5" ht="13.2" x14ac:dyDescent="0.25">
      <c r="A621" t="s">
        <v>653</v>
      </c>
      <c r="B621" t="s">
        <v>656</v>
      </c>
      <c r="C621" t="s">
        <v>657</v>
      </c>
      <c r="D621" t="str">
        <f ca="1">IFERROR(__xludf.DUMMYFUNCTION("GOOGLETRANSLATE(B621,""es"",""en"")"),"Next")</f>
        <v>Next</v>
      </c>
      <c r="E621" t="str">
        <f ca="1">IFERROR(__xludf.DUMMYFUNCTION("GOOGLETRANSLATE(C621,""es"",""en"")"),"Near, , , ,")</f>
        <v>Near, , , ,</v>
      </c>
    </row>
    <row r="622" spans="1:5" ht="13.2" x14ac:dyDescent="0.25">
      <c r="A622" t="s">
        <v>655</v>
      </c>
      <c r="B622" t="s">
        <v>656</v>
      </c>
      <c r="C622" t="s">
        <v>657</v>
      </c>
      <c r="D622" t="str">
        <f ca="1">IFERROR(__xludf.DUMMYFUNCTION("GOOGLETRANSLATE(B622,""es"",""en"")"),"Next")</f>
        <v>Next</v>
      </c>
      <c r="E622" t="str">
        <f ca="1">IFERROR(__xludf.DUMMYFUNCTION("GOOGLETRANSLATE(C622,""es"",""en"")"),"Near, , , ,")</f>
        <v>Near, , , ,</v>
      </c>
    </row>
    <row r="623" spans="1:5" ht="13.2" x14ac:dyDescent="0.25">
      <c r="A623" t="s">
        <v>1370</v>
      </c>
      <c r="B623" t="s">
        <v>1371</v>
      </c>
      <c r="C623" t="s">
        <v>1372</v>
      </c>
      <c r="D623" t="str">
        <f ca="1">IFERROR(__xludf.DUMMYFUNCTION("GOOGLETRANSLATE(B623,""es"",""en"")"),"Gallinazo")</f>
        <v>Gallinazo</v>
      </c>
      <c r="E623" t="str">
        <f ca="1">IFERROR(__xludf.DUMMYFUNCTION("GOOGLETRANSLATE(C623,""es"",""en"")"),"Vulture ,,,,")</f>
        <v>Vulture ,,,,</v>
      </c>
    </row>
    <row r="624" spans="1:5" ht="13.2" x14ac:dyDescent="0.25">
      <c r="A624" t="s">
        <v>1373</v>
      </c>
      <c r="B624" t="s">
        <v>1374</v>
      </c>
      <c r="C624" t="s">
        <v>1375</v>
      </c>
      <c r="D624" t="str">
        <f ca="1">IFERROR(__xludf.DUMMYFUNCTION("GOOGLETRANSLATE(B624,""es"",""en"")"),"Extensive")</f>
        <v>Extensive</v>
      </c>
      <c r="E624" t="str">
        <f ca="1">IFERROR(__xludf.DUMMYFUNCTION("GOOGLETRANSLATE(C624,""es"",""en"")"),"Stretched, very long, not short,")</f>
        <v>Stretched, very long, not short,</v>
      </c>
    </row>
    <row r="625" spans="1:5" ht="13.2" x14ac:dyDescent="0.25">
      <c r="A625" t="s">
        <v>1376</v>
      </c>
      <c r="B625" t="s">
        <v>1374</v>
      </c>
      <c r="D625" t="str">
        <f ca="1">IFERROR(__xludf.DUMMYFUNCTION("GOOGLETRANSLATE(B625,""es"",""en"")"),"Extensive")</f>
        <v>Extensive</v>
      </c>
      <c r="E625" t="str">
        <f ca="1">IFERROR(__xludf.DUMMYFUNCTION("GOOGLETRANSLATE(C625,""es"",""en"")"),"#VALUE!")</f>
        <v>#VALUE!</v>
      </c>
    </row>
    <row r="626" spans="1:5" ht="13.2" x14ac:dyDescent="0.25">
      <c r="A626" t="s">
        <v>1377</v>
      </c>
      <c r="B626" t="s">
        <v>1378</v>
      </c>
      <c r="C626" t="s">
        <v>1379</v>
      </c>
      <c r="D626" t="str">
        <f ca="1">IFERROR(__xludf.DUMMYFUNCTION("GOOGLETRANSLATE(B626,""es"",""en"")"),"Drunk")</f>
        <v>Drunk</v>
      </c>
      <c r="E626" t="str">
        <f ca="1">IFERROR(__xludf.DUMMYFUNCTION("GOOGLETRANSLATE(C626,""es"",""en"")"),"Ebrio, Alfinogena Plant ,,,,")</f>
        <v>Ebrio, Alfinogena Plant ,,,,</v>
      </c>
    </row>
    <row r="627" spans="1:5" ht="13.2" x14ac:dyDescent="0.25">
      <c r="A627" t="s">
        <v>1380</v>
      </c>
      <c r="B627" t="s">
        <v>1381</v>
      </c>
      <c r="C627" t="s">
        <v>1382</v>
      </c>
      <c r="D627" t="str">
        <f ca="1">IFERROR(__xludf.DUMMYFUNCTION("GOOGLETRANSLATE(B627,""es"",""en"")"),"Rough")</f>
        <v>Rough</v>
      </c>
      <c r="E627" t="str">
        <f ca="1">IFERROR(__xludf.DUMMYFUNCTION("GOOGLETRANSLATE(C627,""es"",""en"")"),"TOSCO ,,,,")</f>
        <v>TOSCO ,,,,</v>
      </c>
    </row>
    <row r="628" spans="1:5" ht="13.2" x14ac:dyDescent="0.25">
      <c r="A628" t="s">
        <v>1383</v>
      </c>
      <c r="B628" t="s">
        <v>1384</v>
      </c>
      <c r="C628" t="s">
        <v>1385</v>
      </c>
      <c r="D628" t="str">
        <f ca="1">IFERROR(__xludf.DUMMYFUNCTION("GOOGLETRANSLATE(B628,""es"",""en"")"),"Penis")</f>
        <v>Penis</v>
      </c>
      <c r="E628" t="str">
        <f ca="1">IFERROR(__xludf.DUMMYFUNCTION("GOOGLETRANSLATE(C628,""es"",""en"")"),"Virile member ,,,,")</f>
        <v>Virile member ,,,,</v>
      </c>
    </row>
    <row r="629" spans="1:5" ht="13.2" x14ac:dyDescent="0.25">
      <c r="A629" t="s">
        <v>1386</v>
      </c>
      <c r="B629" t="s">
        <v>1387</v>
      </c>
      <c r="C629" t="s">
        <v>1388</v>
      </c>
      <c r="D629" t="str">
        <f ca="1">IFERROR(__xludf.DUMMYFUNCTION("GOOGLETRANSLATE(B629,""es"",""en"")"),"Cochino fish")</f>
        <v>Cochino fish</v>
      </c>
      <c r="E629" t="str">
        <f ca="1">IFERROR(__xludf.DUMMYFUNCTION("GOOGLETRANSLATE(C629,""es"",""en"")"),"Pejepuerco ,,,,")</f>
        <v>Pejepuerco ,,,,</v>
      </c>
    </row>
    <row r="630" spans="1:5" ht="13.2" x14ac:dyDescent="0.25">
      <c r="A630" t="s">
        <v>1389</v>
      </c>
      <c r="B630" t="s">
        <v>1387</v>
      </c>
      <c r="C630" t="s">
        <v>1388</v>
      </c>
      <c r="D630" t="str">
        <f ca="1">IFERROR(__xludf.DUMMYFUNCTION("GOOGLETRANSLATE(B630,""es"",""en"")"),"Cochino fish")</f>
        <v>Cochino fish</v>
      </c>
      <c r="E630" t="str">
        <f ca="1">IFERROR(__xludf.DUMMYFUNCTION("GOOGLETRANSLATE(C630,""es"",""en"")"),"Pejepuerco ,,,,")</f>
        <v>Pejepuerco ,,,,</v>
      </c>
    </row>
    <row r="631" spans="1:5" ht="13.2" x14ac:dyDescent="0.25">
      <c r="A631" t="s">
        <v>1390</v>
      </c>
      <c r="B631" t="s">
        <v>1391</v>
      </c>
      <c r="C631" t="s">
        <v>1392</v>
      </c>
      <c r="D631" t="str">
        <f ca="1">IFERROR(__xludf.DUMMYFUNCTION("GOOGLETRANSLATE(B631,""es"",""en"")"),"Brief")</f>
        <v>Brief</v>
      </c>
      <c r="E631" t="str">
        <f ca="1">IFERROR(__xludf.DUMMYFUNCTION("GOOGLETRANSLATE(C631,""es"",""en"")"),"Short, , , ,")</f>
        <v>Short, , , ,</v>
      </c>
    </row>
    <row r="632" spans="1:5" ht="13.2" x14ac:dyDescent="0.25">
      <c r="A632" t="s">
        <v>90</v>
      </c>
      <c r="B632" t="s">
        <v>1391</v>
      </c>
      <c r="C632" t="s">
        <v>1392</v>
      </c>
      <c r="D632" t="str">
        <f ca="1">IFERROR(__xludf.DUMMYFUNCTION("GOOGLETRANSLATE(B632,""es"",""en"")"),"Brief")</f>
        <v>Brief</v>
      </c>
      <c r="E632" t="str">
        <f ca="1">IFERROR(__xludf.DUMMYFUNCTION("GOOGLETRANSLATE(C632,""es"",""en"")"),"Short, , , ,")</f>
        <v>Short, , , ,</v>
      </c>
    </row>
    <row r="633" spans="1:5" ht="13.2" x14ac:dyDescent="0.25">
      <c r="A633" t="s">
        <v>1393</v>
      </c>
      <c r="B633" t="s">
        <v>1391</v>
      </c>
      <c r="C633" t="s">
        <v>1392</v>
      </c>
      <c r="D633" t="str">
        <f ca="1">IFERROR(__xludf.DUMMYFUNCTION("GOOGLETRANSLATE(B633,""es"",""en"")"),"Brief")</f>
        <v>Brief</v>
      </c>
      <c r="E633" t="str">
        <f ca="1">IFERROR(__xludf.DUMMYFUNCTION("GOOGLETRANSLATE(C633,""es"",""en"")"),"Short, , , ,")</f>
        <v>Short, , , ,</v>
      </c>
    </row>
    <row r="634" spans="1:5" ht="13.2" x14ac:dyDescent="0.25">
      <c r="A634" t="s">
        <v>92</v>
      </c>
      <c r="B634" t="s">
        <v>1391</v>
      </c>
      <c r="C634" t="s">
        <v>1392</v>
      </c>
      <c r="D634" t="str">
        <f ca="1">IFERROR(__xludf.DUMMYFUNCTION("GOOGLETRANSLATE(B634,""es"",""en"")"),"Brief")</f>
        <v>Brief</v>
      </c>
      <c r="E634" t="str">
        <f ca="1">IFERROR(__xludf.DUMMYFUNCTION("GOOGLETRANSLATE(C634,""es"",""en"")"),"Short, , , ,")</f>
        <v>Short, , , ,</v>
      </c>
    </row>
    <row r="635" spans="1:5" ht="13.2" x14ac:dyDescent="0.25">
      <c r="A635" t="s">
        <v>1394</v>
      </c>
      <c r="B635" t="s">
        <v>1395</v>
      </c>
      <c r="C635" t="s">
        <v>1392</v>
      </c>
      <c r="D635" t="str">
        <f ca="1">IFERROR(__xludf.DUMMYFUNCTION("GOOGLETRANSLATE(B635,""es"",""en"")"),"BFEVE")</f>
        <v>BFEVE</v>
      </c>
      <c r="E635" t="str">
        <f ca="1">IFERROR(__xludf.DUMMYFUNCTION("GOOGLETRANSLATE(C635,""es"",""en"")"),"Short, , , ,")</f>
        <v>Short, , , ,</v>
      </c>
    </row>
    <row r="636" spans="1:5" ht="13.2" x14ac:dyDescent="0.25">
      <c r="A636" t="s">
        <v>1396</v>
      </c>
      <c r="B636" t="s">
        <v>1397</v>
      </c>
      <c r="D636" t="str">
        <f ca="1">IFERROR(__xludf.DUMMYFUNCTION("GOOGLETRANSLATE(B636,""es"",""en"")"),"Head scarf")</f>
        <v>Head scarf</v>
      </c>
      <c r="E636" t="str">
        <f ca="1">IFERROR(__xludf.DUMMYFUNCTION("GOOGLETRANSLATE(C636,""es"",""en"")"),"#VALUE!")</f>
        <v>#VALUE!</v>
      </c>
    </row>
    <row r="637" spans="1:5" ht="13.2" x14ac:dyDescent="0.25">
      <c r="A637" t="s">
        <v>1398</v>
      </c>
      <c r="B637" t="s">
        <v>1397</v>
      </c>
      <c r="D637" t="str">
        <f ca="1">IFERROR(__xludf.DUMMYFUNCTION("GOOGLETRANSLATE(B637,""es"",""en"")"),"Head scarf")</f>
        <v>Head scarf</v>
      </c>
      <c r="E637" t="str">
        <f ca="1">IFERROR(__xludf.DUMMYFUNCTION("GOOGLETRANSLATE(C637,""es"",""en"")"),"#VALUE!")</f>
        <v>#VALUE!</v>
      </c>
    </row>
    <row r="638" spans="1:5" ht="13.2" x14ac:dyDescent="0.25">
      <c r="A638" t="s">
        <v>1399</v>
      </c>
      <c r="B638" t="s">
        <v>1400</v>
      </c>
      <c r="D638" t="str">
        <f ca="1">IFERROR(__xludf.DUMMYFUNCTION("GOOGLETRANSLATE(B638,""es"",""en"")"),"Grandmother")</f>
        <v>Grandmother</v>
      </c>
      <c r="E638" t="str">
        <f ca="1">IFERROR(__xludf.DUMMYFUNCTION("GOOGLETRANSLATE(C638,""es"",""en"")"),"#VALUE!")</f>
        <v>#VALUE!</v>
      </c>
    </row>
    <row r="639" spans="1:5" ht="13.2" x14ac:dyDescent="0.25">
      <c r="A639" t="s">
        <v>1401</v>
      </c>
      <c r="B639" t="s">
        <v>1384</v>
      </c>
      <c r="D639" t="str">
        <f ca="1">IFERROR(__xludf.DUMMYFUNCTION("GOOGLETRANSLATE(B639,""es"",""en"")"),"Penis")</f>
        <v>Penis</v>
      </c>
      <c r="E639" t="str">
        <f ca="1">IFERROR(__xludf.DUMMYFUNCTION("GOOGLETRANSLATE(C639,""es"",""en"")"),"#VALUE!")</f>
        <v>#VALUE!</v>
      </c>
    </row>
    <row r="640" spans="1:5" ht="13.2" x14ac:dyDescent="0.25">
      <c r="A640" t="s">
        <v>1402</v>
      </c>
      <c r="B640" t="s">
        <v>1403</v>
      </c>
      <c r="D640" t="str">
        <f ca="1">IFERROR(__xludf.DUMMYFUNCTION("GOOGLETRANSLATE(B640,""es"",""en"")"),"Moldy")</f>
        <v>Moldy</v>
      </c>
      <c r="E640" t="str">
        <f ca="1">IFERROR(__xludf.DUMMYFUNCTION("GOOGLETRANSLATE(C640,""es"",""en"")"),"#VALUE!")</f>
        <v>#VALUE!</v>
      </c>
    </row>
    <row r="641" spans="1:5" ht="13.2" x14ac:dyDescent="0.25">
      <c r="A641" t="s">
        <v>1399</v>
      </c>
      <c r="B641" t="s">
        <v>1400</v>
      </c>
      <c r="D641" t="str">
        <f ca="1">IFERROR(__xludf.DUMMYFUNCTION("GOOGLETRANSLATE(B641,""es"",""en"")"),"Grandmother")</f>
        <v>Grandmother</v>
      </c>
      <c r="E641" t="str">
        <f ca="1">IFERROR(__xludf.DUMMYFUNCTION("GOOGLETRANSLATE(C641,""es"",""en"")"),"#VALUE!")</f>
        <v>#VALUE!</v>
      </c>
    </row>
    <row r="642" spans="1:5" ht="13.2" x14ac:dyDescent="0.25">
      <c r="A642" t="s">
        <v>1404</v>
      </c>
      <c r="B642" t="s">
        <v>1400</v>
      </c>
      <c r="C642" t="s">
        <v>1405</v>
      </c>
      <c r="D642" t="str">
        <f ca="1">IFERROR(__xludf.DUMMYFUNCTION("GOOGLETRANSLATE(B642,""es"",""en"")"),"Grandmother")</f>
        <v>Grandmother</v>
      </c>
      <c r="E642" t="str">
        <f ca="1">IFERROR(__xludf.DUMMYFUNCTION("GOOGLETRANSLATE(C642,""es"",""en"")"),"old woman")</f>
        <v>old woman</v>
      </c>
    </row>
    <row r="643" spans="1:5" ht="13.2" x14ac:dyDescent="0.25">
      <c r="A643" t="s">
        <v>1406</v>
      </c>
      <c r="B643" t="s">
        <v>1093</v>
      </c>
      <c r="C643" t="s">
        <v>1407</v>
      </c>
      <c r="D643" t="str">
        <f ca="1">IFERROR(__xludf.DUMMYFUNCTION("GOOGLETRANSLATE(B643,""es"",""en"")"),"Sea")</f>
        <v>Sea</v>
      </c>
      <c r="E643" t="str">
        <f ca="1">IFERROR(__xludf.DUMMYFUNCTION("GOOGLETRANSLATE(C643,""es"",""en"")"),"Ocean, , , ,")</f>
        <v>Ocean, , , ,</v>
      </c>
    </row>
    <row r="644" spans="1:5" ht="13.2" x14ac:dyDescent="0.25">
      <c r="A644" t="s">
        <v>1408</v>
      </c>
      <c r="B644" t="s">
        <v>1093</v>
      </c>
      <c r="C644" t="s">
        <v>1407</v>
      </c>
      <c r="D644" t="str">
        <f ca="1">IFERROR(__xludf.DUMMYFUNCTION("GOOGLETRANSLATE(B644,""es"",""en"")"),"Sea")</f>
        <v>Sea</v>
      </c>
      <c r="E644" t="str">
        <f ca="1">IFERROR(__xludf.DUMMYFUNCTION("GOOGLETRANSLATE(C644,""es"",""en"")"),"Ocean, , , ,")</f>
        <v>Ocean, , , ,</v>
      </c>
    </row>
    <row r="645" spans="1:5" ht="13.2" x14ac:dyDescent="0.25">
      <c r="A645" t="s">
        <v>1409</v>
      </c>
      <c r="B645" t="s">
        <v>1410</v>
      </c>
      <c r="D645" t="str">
        <f ca="1">IFERROR(__xludf.DUMMYFUNCTION("GOOGLETRANSLATE(B645,""es"",""en"")"),"Great-grandmother")</f>
        <v>Great-grandmother</v>
      </c>
      <c r="E645" t="str">
        <f ca="1">IFERROR(__xludf.DUMMYFUNCTION("GOOGLETRANSLATE(C645,""es"",""en"")"),"#VALUE!")</f>
        <v>#VALUE!</v>
      </c>
    </row>
    <row r="646" spans="1:5" ht="13.2" x14ac:dyDescent="0.25">
      <c r="A646" t="s">
        <v>1402</v>
      </c>
      <c r="B646" t="s">
        <v>1411</v>
      </c>
      <c r="C646" t="s">
        <v>1412</v>
      </c>
      <c r="D646" t="str">
        <f ca="1">IFERROR(__xludf.DUMMYFUNCTION("GOOGLETRANSLATE(B646,""es"",""en"")"),"Old woman")</f>
        <v>Old woman</v>
      </c>
      <c r="E646" t="str">
        <f ca="1">IFERROR(__xludf.DUMMYFUNCTION("GOOGLETRANSLATE(C646,""es"",""en"")"),"Old, veteran ,,,,")</f>
        <v>Old, veteran ,,,,</v>
      </c>
    </row>
    <row r="647" spans="1:5" ht="13.2" x14ac:dyDescent="0.25">
      <c r="A647" t="s">
        <v>1413</v>
      </c>
      <c r="B647" t="s">
        <v>1414</v>
      </c>
      <c r="D647" t="str">
        <f ca="1">IFERROR(__xludf.DUMMYFUNCTION("GOOGLETRANSLATE(B647,""es"",""en"")"),"Limp")</f>
        <v>Limp</v>
      </c>
      <c r="E647" t="str">
        <f ca="1">IFERROR(__xludf.DUMMYFUNCTION("GOOGLETRANSLATE(C647,""es"",""en"")"),"#VALUE!")</f>
        <v>#VALUE!</v>
      </c>
    </row>
    <row r="648" spans="1:5" ht="13.2" x14ac:dyDescent="0.25">
      <c r="A648" t="s">
        <v>1415</v>
      </c>
      <c r="B648" t="s">
        <v>1416</v>
      </c>
      <c r="D648" t="str">
        <f ca="1">IFERROR(__xludf.DUMMYFUNCTION("GOOGLETRANSLATE(B648,""es"",""en"")"),"Lame")</f>
        <v>Lame</v>
      </c>
      <c r="E648" t="str">
        <f ca="1">IFERROR(__xludf.DUMMYFUNCTION("GOOGLETRANSLATE(C648,""es"",""en"")"),"#VALUE!")</f>
        <v>#VALUE!</v>
      </c>
    </row>
    <row r="649" spans="1:5" ht="13.2" x14ac:dyDescent="0.25">
      <c r="A649" t="s">
        <v>1417</v>
      </c>
      <c r="B649" t="s">
        <v>1418</v>
      </c>
      <c r="D649" t="str">
        <f ca="1">IFERROR(__xludf.DUMMYFUNCTION("GOOGLETRANSLATE(B649,""es"",""en"")"),"Testicle")</f>
        <v>Testicle</v>
      </c>
      <c r="E649" t="str">
        <f ca="1">IFERROR(__xludf.DUMMYFUNCTION("GOOGLETRANSLATE(C649,""es"",""en"")"),"#VALUE!")</f>
        <v>#VALUE!</v>
      </c>
    </row>
    <row r="650" spans="1:5" ht="13.2" x14ac:dyDescent="0.25">
      <c r="A650" t="s">
        <v>1419</v>
      </c>
      <c r="B650" t="s">
        <v>1416</v>
      </c>
      <c r="D650" t="str">
        <f ca="1">IFERROR(__xludf.DUMMYFUNCTION("GOOGLETRANSLATE(B650,""es"",""en"")"),"Lame")</f>
        <v>Lame</v>
      </c>
      <c r="E650" t="str">
        <f ca="1">IFERROR(__xludf.DUMMYFUNCTION("GOOGLETRANSLATE(C650,""es"",""en"")"),"#VALUE!")</f>
        <v>#VALUE!</v>
      </c>
    </row>
    <row r="651" spans="1:5" ht="13.2" x14ac:dyDescent="0.25">
      <c r="A651" t="s">
        <v>1420</v>
      </c>
      <c r="B651" t="s">
        <v>1421</v>
      </c>
      <c r="C651" t="s">
        <v>1422</v>
      </c>
      <c r="D651" t="str">
        <f ca="1">IFERROR(__xludf.DUMMYFUNCTION("GOOGLETRANSLATE(B651,""es"",""en"")"),"Maraca")</f>
        <v>Maraca</v>
      </c>
      <c r="E651" t="str">
        <f ca="1">IFERROR(__xludf.DUMMYFUNCTION("GOOGLETRANSLATE(C651,""es"",""en"")"),"Rattle ,,,,,")</f>
        <v>Rattle ,,,,,</v>
      </c>
    </row>
    <row r="652" spans="1:5" ht="13.2" x14ac:dyDescent="0.25">
      <c r="A652" t="s">
        <v>1423</v>
      </c>
      <c r="B652" t="s">
        <v>1421</v>
      </c>
      <c r="C652" t="s">
        <v>1422</v>
      </c>
      <c r="D652" t="str">
        <f ca="1">IFERROR(__xludf.DUMMYFUNCTION("GOOGLETRANSLATE(B652,""es"",""en"")"),"Maraca")</f>
        <v>Maraca</v>
      </c>
      <c r="E652" t="str">
        <f ca="1">IFERROR(__xludf.DUMMYFUNCTION("GOOGLETRANSLATE(C652,""es"",""en"")"),"Rattle ,,,,,")</f>
        <v>Rattle ,,,,,</v>
      </c>
    </row>
    <row r="653" spans="1:5" ht="13.2" x14ac:dyDescent="0.25">
      <c r="A653" t="s">
        <v>1424</v>
      </c>
      <c r="B653" t="s">
        <v>1425</v>
      </c>
      <c r="C653" t="s">
        <v>1426</v>
      </c>
      <c r="D653" t="str">
        <f ca="1">IFERROR(__xludf.DUMMYFUNCTION("GOOGLETRANSLATE(B653,""es"",""en"")"),"Equal")</f>
        <v>Equal</v>
      </c>
      <c r="E653" t="str">
        <f ca="1">IFERROR(__xludf.DUMMYFUNCTION("GOOGLETRANSLATE(C653,""es"",""en"")"),"As, , , ,")</f>
        <v>As, , , ,</v>
      </c>
    </row>
    <row r="654" spans="1:5" ht="13.2" x14ac:dyDescent="0.25">
      <c r="A654" t="s">
        <v>1427</v>
      </c>
      <c r="B654" t="s">
        <v>1425</v>
      </c>
      <c r="C654" t="s">
        <v>1426</v>
      </c>
      <c r="D654" t="str">
        <f ca="1">IFERROR(__xludf.DUMMYFUNCTION("GOOGLETRANSLATE(B654,""es"",""en"")"),"Equal")</f>
        <v>Equal</v>
      </c>
      <c r="E654" t="str">
        <f ca="1">IFERROR(__xludf.DUMMYFUNCTION("GOOGLETRANSLATE(C654,""es"",""en"")"),"As, , , ,")</f>
        <v>As, , , ,</v>
      </c>
    </row>
    <row r="655" spans="1:5" ht="13.2" x14ac:dyDescent="0.25">
      <c r="A655" t="s">
        <v>1428</v>
      </c>
      <c r="B655" t="s">
        <v>1425</v>
      </c>
      <c r="C655" t="s">
        <v>1426</v>
      </c>
      <c r="D655" t="str">
        <f ca="1">IFERROR(__xludf.DUMMYFUNCTION("GOOGLETRANSLATE(B655,""es"",""en"")"),"Equal")</f>
        <v>Equal</v>
      </c>
      <c r="E655" t="str">
        <f ca="1">IFERROR(__xludf.DUMMYFUNCTION("GOOGLETRANSLATE(C655,""es"",""en"")"),"As, , , ,")</f>
        <v>As, , , ,</v>
      </c>
    </row>
    <row r="656" spans="1:5" ht="13.2" x14ac:dyDescent="0.25">
      <c r="A656" t="s">
        <v>1420</v>
      </c>
      <c r="B656" t="s">
        <v>1429</v>
      </c>
      <c r="C656" t="s">
        <v>1430</v>
      </c>
      <c r="D656" t="str">
        <f ca="1">IFERROR(__xludf.DUMMYFUNCTION("GOOGLETRANSLATE(B656,""es"",""en"")"),"Hello")</f>
        <v>Hello</v>
      </c>
      <c r="E656" t="str">
        <f ca="1">IFERROR(__xludf.DUMMYFUNCTION("GOOGLETRANSLATE(C656,""es"",""en"")"),"How are you, , , ,")</f>
        <v>How are you, , , ,</v>
      </c>
    </row>
    <row r="657" spans="1:5" ht="13.2" x14ac:dyDescent="0.25">
      <c r="A657" t="s">
        <v>1431</v>
      </c>
      <c r="B657" t="s">
        <v>1429</v>
      </c>
      <c r="C657" t="s">
        <v>1430</v>
      </c>
      <c r="D657" t="str">
        <f ca="1">IFERROR(__xludf.DUMMYFUNCTION("GOOGLETRANSLATE(B657,""es"",""en"")"),"Hello")</f>
        <v>Hello</v>
      </c>
      <c r="E657" t="str">
        <f ca="1">IFERROR(__xludf.DUMMYFUNCTION("GOOGLETRANSLATE(C657,""es"",""en"")"),"How are you, , , ,")</f>
        <v>How are you, , , ,</v>
      </c>
    </row>
    <row r="658" spans="1:5" ht="13.2" x14ac:dyDescent="0.25">
      <c r="A658" t="s">
        <v>1432</v>
      </c>
      <c r="B658" t="s">
        <v>1429</v>
      </c>
      <c r="C658" t="s">
        <v>1430</v>
      </c>
      <c r="D658" t="str">
        <f ca="1">IFERROR(__xludf.DUMMYFUNCTION("GOOGLETRANSLATE(B658,""es"",""en"")"),"Hello")</f>
        <v>Hello</v>
      </c>
      <c r="E658" t="str">
        <f ca="1">IFERROR(__xludf.DUMMYFUNCTION("GOOGLETRANSLATE(C658,""es"",""en"")"),"How are you, , , ,")</f>
        <v>How are you, , , ,</v>
      </c>
    </row>
    <row r="659" spans="1:5" ht="13.2" x14ac:dyDescent="0.25">
      <c r="A659" t="s">
        <v>1433</v>
      </c>
      <c r="B659" t="s">
        <v>1434</v>
      </c>
      <c r="C659" t="s">
        <v>1435</v>
      </c>
      <c r="D659" t="s">
        <v>1436</v>
      </c>
      <c r="E659" t="str">
        <f ca="1">IFERROR(__xludf.DUMMYFUNCTION("GOOGLETRANSLATE(C659,""es"",""en"")"),"Palma de Jira, near, next ,,")</f>
        <v>Palma de Jira, near, next ,,</v>
      </c>
    </row>
    <row r="660" spans="1:5" ht="13.2" x14ac:dyDescent="0.25">
      <c r="A660" t="s">
        <v>1437</v>
      </c>
      <c r="B660" t="s">
        <v>1438</v>
      </c>
      <c r="D660" t="str">
        <f ca="1">IFERROR(__xludf.DUMMYFUNCTION("GOOGLETRANSLATE(B660,""es"",""en"")"),"In the middle")</f>
        <v>In the middle</v>
      </c>
      <c r="E660" t="str">
        <f ca="1">IFERROR(__xludf.DUMMYFUNCTION("GOOGLETRANSLATE(C660,""es"",""en"")"),"#VALUE!")</f>
        <v>#VALUE!</v>
      </c>
    </row>
    <row r="661" spans="1:5" ht="13.2" x14ac:dyDescent="0.25">
      <c r="A661" t="s">
        <v>1439</v>
      </c>
      <c r="B661" t="s">
        <v>1418</v>
      </c>
      <c r="D661" t="str">
        <f ca="1">IFERROR(__xludf.DUMMYFUNCTION("GOOGLETRANSLATE(B661,""es"",""en"")"),"Testicle")</f>
        <v>Testicle</v>
      </c>
      <c r="E661" t="str">
        <f ca="1">IFERROR(__xludf.DUMMYFUNCTION("GOOGLETRANSLATE(C661,""es"",""en"")"),"#VALUE!")</f>
        <v>#VALUE!</v>
      </c>
    </row>
    <row r="662" spans="1:5" ht="13.2" x14ac:dyDescent="0.25">
      <c r="A662" t="s">
        <v>1440</v>
      </c>
      <c r="B662" t="s">
        <v>1441</v>
      </c>
      <c r="D662" t="str">
        <f ca="1">IFERROR(__xludf.DUMMYFUNCTION("GOOGLETRANSLATE(B662,""es"",""en"")"),"Ronco fish")</f>
        <v>Ronco fish</v>
      </c>
      <c r="E662" t="str">
        <f ca="1">IFERROR(__xludf.DUMMYFUNCTION("GOOGLETRANSLATE(C662,""es"",""en"")"),"#VALUE!")</f>
        <v>#VALUE!</v>
      </c>
    </row>
    <row r="663" spans="1:5" ht="13.2" x14ac:dyDescent="0.25">
      <c r="A663" t="s">
        <v>1442</v>
      </c>
      <c r="B663" t="s">
        <v>1443</v>
      </c>
      <c r="C663" t="s">
        <v>1444</v>
      </c>
      <c r="D663" t="str">
        <f ca="1">IFERROR(__xludf.DUMMYFUNCTION("GOOGLETRANSLATE(B663,""es"",""en"")"),"Land")</f>
        <v>Land</v>
      </c>
      <c r="E663" t="str">
        <f ca="1">IFERROR(__xludf.DUMMYFUNCTION("GOOGLETRANSLATE(C663,""es"",""en"")"),"Soil, place where you live ,,,,")</f>
        <v>Soil, place where you live ,,,,</v>
      </c>
    </row>
    <row r="664" spans="1:5" ht="13.2" x14ac:dyDescent="0.25">
      <c r="A664" t="s">
        <v>1445</v>
      </c>
      <c r="B664" t="s">
        <v>1443</v>
      </c>
      <c r="C664" t="s">
        <v>1444</v>
      </c>
      <c r="D664" t="str">
        <f ca="1">IFERROR(__xludf.DUMMYFUNCTION("GOOGLETRANSLATE(B664,""es"",""en"")"),"Land")</f>
        <v>Land</v>
      </c>
      <c r="E664" t="str">
        <f ca="1">IFERROR(__xludf.DUMMYFUNCTION("GOOGLETRANSLATE(C664,""es"",""en"")"),"Soil, place where you live ,,,,")</f>
        <v>Soil, place where you live ,,,,</v>
      </c>
    </row>
    <row r="665" spans="1:5" ht="13.2" x14ac:dyDescent="0.25">
      <c r="A665" t="s">
        <v>1446</v>
      </c>
      <c r="B665" t="s">
        <v>1447</v>
      </c>
      <c r="C665" t="s">
        <v>1448</v>
      </c>
      <c r="D665" t="str">
        <f ca="1">IFERROR(__xludf.DUMMYFUNCTION("GOOGLETRANSLATE(B665,""es"",""en"")"),"Chocolate color")</f>
        <v>Chocolate color</v>
      </c>
      <c r="E665" t="str">
        <f ca="1">IFERROR(__xludf.DUMMYFUNCTION("GOOGLETRANSLATE(C665,""es"",""en"")"),"Brown, , , ,")</f>
        <v>Brown, , , ,</v>
      </c>
    </row>
    <row r="666" spans="1:5" ht="13.2" x14ac:dyDescent="0.25">
      <c r="A666" t="s">
        <v>1449</v>
      </c>
      <c r="B666" t="s">
        <v>1447</v>
      </c>
      <c r="C666" t="s">
        <v>1450</v>
      </c>
      <c r="D666" t="str">
        <f ca="1">IFERROR(__xludf.DUMMYFUNCTION("GOOGLETRANSLATE(B666,""es"",""en"")"),"Chocolate color")</f>
        <v>Chocolate color</v>
      </c>
      <c r="E666" t="str">
        <f ca="1">IFERROR(__xludf.DUMMYFUNCTION("GOOGLETRANSLATE(C666,""es"",""en"")"),"brown, , , ,")</f>
        <v>brown, , , ,</v>
      </c>
    </row>
    <row r="667" spans="1:5" ht="13.2" x14ac:dyDescent="0.25">
      <c r="A667" t="s">
        <v>1451</v>
      </c>
      <c r="B667" t="s">
        <v>1452</v>
      </c>
      <c r="D667" t="str">
        <f ca="1">IFERROR(__xludf.DUMMYFUNCTION("GOOGLETRANSLATE(B667,""es"",""en"")"),"Painted rabbit")</f>
        <v>Painted rabbit</v>
      </c>
      <c r="E667" t="str">
        <f ca="1">IFERROR(__xludf.DUMMYFUNCTION("GOOGLETRANSLATE(C667,""es"",""en"")"),"#VALUE!")</f>
        <v>#VALUE!</v>
      </c>
    </row>
    <row r="668" spans="1:5" ht="13.2" x14ac:dyDescent="0.25">
      <c r="A668" t="s">
        <v>1453</v>
      </c>
      <c r="B668" t="s">
        <v>1454</v>
      </c>
      <c r="D668" t="str">
        <f ca="1">IFERROR(__xludf.DUMMYFUNCTION("GOOGLETRANSLATE(B668,""es"",""en"")"),"Painted rabbit")</f>
        <v>Painted rabbit</v>
      </c>
      <c r="E668" t="str">
        <f ca="1">IFERROR(__xludf.DUMMYFUNCTION("GOOGLETRANSLATE(C668,""es"",""en"")"),"#VALUE!")</f>
        <v>#VALUE!</v>
      </c>
    </row>
    <row r="669" spans="1:5" ht="13.2" x14ac:dyDescent="0.25">
      <c r="A669" t="s">
        <v>1455</v>
      </c>
      <c r="B669" t="s">
        <v>1456</v>
      </c>
      <c r="D669" t="str">
        <f ca="1">IFERROR(__xludf.DUMMYFUNCTION("GOOGLETRANSLATE(B669,""es"",""en"")"),"Further")</f>
        <v>Further</v>
      </c>
      <c r="E669" t="str">
        <f ca="1">IFERROR(__xludf.DUMMYFUNCTION("GOOGLETRANSLATE(C669,""es"",""en"")"),"#VALUE!")</f>
        <v>#VALUE!</v>
      </c>
    </row>
    <row r="670" spans="1:5" ht="13.2" x14ac:dyDescent="0.25">
      <c r="A670" t="s">
        <v>1458</v>
      </c>
      <c r="B670" t="s">
        <v>1459</v>
      </c>
      <c r="D670" t="str">
        <f ca="1">IFERROR(__xludf.DUMMYFUNCTION("GOOGLETRANSLATE(B670,""es"",""en"")"),"A lot")</f>
        <v>A lot</v>
      </c>
      <c r="E670" t="str">
        <f ca="1">IFERROR(__xludf.DUMMYFUNCTION("GOOGLETRANSLATE(C670,""es"",""en"")"),"#VALUE!")</f>
        <v>#VALUE!</v>
      </c>
    </row>
    <row r="671" spans="1:5" ht="13.2" x14ac:dyDescent="0.25">
      <c r="A671" t="s">
        <v>1460</v>
      </c>
      <c r="B671" t="s">
        <v>1461</v>
      </c>
      <c r="D671" t="str">
        <f ca="1">IFERROR(__xludf.DUMMYFUNCTION("GOOGLETRANSLATE(B671,""es"",""en"")"),"Much more")</f>
        <v>Much more</v>
      </c>
      <c r="E671" t="str">
        <f ca="1">IFERROR(__xludf.DUMMYFUNCTION("GOOGLETRANSLATE(C671,""es"",""en"")"),"#VALUE!")</f>
        <v>#VALUE!</v>
      </c>
    </row>
    <row r="672" spans="1:5" ht="13.2" x14ac:dyDescent="0.25">
      <c r="A672" t="s">
        <v>1462</v>
      </c>
      <c r="B672" t="s">
        <v>1463</v>
      </c>
      <c r="C672" t="s">
        <v>1464</v>
      </c>
      <c r="D672" t="str">
        <f ca="1">IFERROR(__xludf.DUMMYFUNCTION("GOOGLETRANSLATE(B672,""es"",""en"")"),"It has not changed")</f>
        <v>It has not changed</v>
      </c>
      <c r="E672" t="str">
        <f ca="1">IFERROR(__xludf.DUMMYFUNCTION("GOOGLETRANSLATE(C672,""es"",""en"")"),"The same, , , ,")</f>
        <v>The same, , , ,</v>
      </c>
    </row>
    <row r="673" spans="1:5" ht="13.2" x14ac:dyDescent="0.25">
      <c r="A673" t="s">
        <v>1465</v>
      </c>
      <c r="B673" t="s">
        <v>1466</v>
      </c>
      <c r="C673" t="s">
        <v>1467</v>
      </c>
      <c r="D673" t="str">
        <f ca="1">IFERROR(__xludf.DUMMYFUNCTION("GOOGLETRANSLATE(B673,""es"",""en"")"),"the last word")</f>
        <v>the last word</v>
      </c>
      <c r="E673" t="str">
        <f ca="1">IFERROR(__xludf.DUMMYFUNCTION("GOOGLETRANSLATE(C673,""es"",""en"")"),"Letter, , , ,")</f>
        <v>Letter, , , ,</v>
      </c>
    </row>
    <row r="674" spans="1:5" ht="13.2" x14ac:dyDescent="0.25">
      <c r="A674" t="s">
        <v>1468</v>
      </c>
      <c r="B674" t="s">
        <v>1469</v>
      </c>
      <c r="D674" t="str">
        <f ca="1">IFERROR(__xludf.DUMMYFUNCTION("GOOGLETRANSLATE(B674,""es"",""en"")"),"Capital letter")</f>
        <v>Capital letter</v>
      </c>
      <c r="E674" t="str">
        <f ca="1">IFERROR(__xludf.DUMMYFUNCTION("GOOGLETRANSLATE(C674,""es"",""en"")"),"#VALUE!")</f>
        <v>#VALUE!</v>
      </c>
    </row>
    <row r="675" spans="1:5" ht="13.2" x14ac:dyDescent="0.25">
      <c r="A675" t="s">
        <v>1470</v>
      </c>
      <c r="B675" t="s">
        <v>1471</v>
      </c>
      <c r="C675" t="s">
        <v>1472</v>
      </c>
      <c r="D675" t="str">
        <f ca="1">IFERROR(__xludf.DUMMYFUNCTION("GOOGLETRANSLATE(B675,""es"",""en"")"),"Last of the children")</f>
        <v>Last of the children</v>
      </c>
      <c r="E675" t="str">
        <f ca="1">IFERROR(__xludf.DUMMYFUNCTION("GOOGLETRANSLATE(C675,""es"",""en"")"),"Last breastfeeding ,,,,")</f>
        <v>Last breastfeeding ,,,,</v>
      </c>
    </row>
    <row r="676" spans="1:5" ht="13.2" x14ac:dyDescent="0.25">
      <c r="A676" t="s">
        <v>1473</v>
      </c>
      <c r="B676" t="s">
        <v>1474</v>
      </c>
      <c r="C676" t="s">
        <v>1475</v>
      </c>
      <c r="D676" t="str">
        <f ca="1">IFERROR(__xludf.DUMMYFUNCTION("GOOGLETRANSLATE(B676,""es"",""en"")"),"True")</f>
        <v>True</v>
      </c>
      <c r="E676" t="str">
        <f ca="1">IFERROR(__xludf.DUMMYFUNCTION("GOOGLETRANSLATE(C676,""es"",""en"")"),"True, obvious, reliable,")</f>
        <v>True, obvious, reliable,</v>
      </c>
    </row>
    <row r="677" spans="1:5" ht="13.2" x14ac:dyDescent="0.25">
      <c r="A677" t="s">
        <v>869</v>
      </c>
      <c r="B677" t="s">
        <v>862</v>
      </c>
      <c r="C677" t="s">
        <v>868</v>
      </c>
      <c r="D677" t="str">
        <f ca="1">IFERROR(__xludf.DUMMYFUNCTION("GOOGLETRANSLATE(B677,""es"",""en"")"),"TRUE")</f>
        <v>TRUE</v>
      </c>
      <c r="E677" t="str">
        <f ca="1">IFERROR(__xludf.DUMMYFUNCTION("GOOGLETRANSLATE(C677,""es"",""en"")"),"It's true, it's true ,,,,")</f>
        <v>It's true, it's true ,,,,</v>
      </c>
    </row>
    <row r="678" spans="1:5" ht="13.2" x14ac:dyDescent="0.25">
      <c r="A678" t="s">
        <v>861</v>
      </c>
      <c r="B678" t="s">
        <v>1476</v>
      </c>
      <c r="C678" t="s">
        <v>868</v>
      </c>
      <c r="D678" t="str">
        <f ca="1">IFERROR(__xludf.DUMMYFUNCTION("GOOGLETRANSLATE(B678,""es"",""en"")"),"TRUE")</f>
        <v>TRUE</v>
      </c>
      <c r="E678" t="str">
        <f ca="1">IFERROR(__xludf.DUMMYFUNCTION("GOOGLETRANSLATE(C678,""es"",""en"")"),"It's true, it's true ,,,,")</f>
        <v>It's true, it's true ,,,,</v>
      </c>
    </row>
    <row r="679" spans="1:5" ht="13.2" x14ac:dyDescent="0.25">
      <c r="A679" t="s">
        <v>867</v>
      </c>
      <c r="B679" t="s">
        <v>862</v>
      </c>
      <c r="C679" t="s">
        <v>868</v>
      </c>
      <c r="D679" t="str">
        <f ca="1">IFERROR(__xludf.DUMMYFUNCTION("GOOGLETRANSLATE(B679,""es"",""en"")"),"TRUE")</f>
        <v>TRUE</v>
      </c>
      <c r="E679" t="str">
        <f ca="1">IFERROR(__xludf.DUMMYFUNCTION("GOOGLETRANSLATE(C679,""es"",""en"")"),"It's true, it's true ,,,,")</f>
        <v>It's true, it's true ,,,,</v>
      </c>
    </row>
    <row r="680" spans="1:5" ht="13.2" x14ac:dyDescent="0.25">
      <c r="A680" t="s">
        <v>1477</v>
      </c>
      <c r="B680" t="s">
        <v>1478</v>
      </c>
      <c r="D680" t="str">
        <f ca="1">IFERROR(__xludf.DUMMYFUNCTION("GOOGLETRANSLATE(B680,""es"",""en"")"),"Banana or fruit about to ripe")</f>
        <v>Banana or fruit about to ripe</v>
      </c>
      <c r="E680" t="str">
        <f ca="1">IFERROR(__xludf.DUMMYFUNCTION("GOOGLETRANSLATE(C680,""es"",""en"")"),"#VALUE!")</f>
        <v>#VALUE!</v>
      </c>
    </row>
    <row r="681" spans="1:5" ht="13.2" x14ac:dyDescent="0.25">
      <c r="A681" t="s">
        <v>1479</v>
      </c>
      <c r="B681" t="s">
        <v>1480</v>
      </c>
      <c r="D681" t="str">
        <f ca="1">IFERROR(__xludf.DUMMYFUNCTION("GOOGLETRANSLATE(B681,""es"",""en"")"),"Mother Earth")</f>
        <v>Mother Earth</v>
      </c>
      <c r="E681" t="str">
        <f ca="1">IFERROR(__xludf.DUMMYFUNCTION("GOOGLETRANSLATE(C681,""es"",""en"")"),"#VALUE!")</f>
        <v>#VALUE!</v>
      </c>
    </row>
    <row r="682" spans="1:5" ht="13.2" x14ac:dyDescent="0.25">
      <c r="A682" t="s">
        <v>1481</v>
      </c>
      <c r="B682" t="s">
        <v>1463</v>
      </c>
      <c r="C682" t="s">
        <v>1464</v>
      </c>
      <c r="D682" t="str">
        <f ca="1">IFERROR(__xludf.DUMMYFUNCTION("GOOGLETRANSLATE(B682,""es"",""en"")"),"It has not changed")</f>
        <v>It has not changed</v>
      </c>
      <c r="E682" t="str">
        <f ca="1">IFERROR(__xludf.DUMMYFUNCTION("GOOGLETRANSLATE(C682,""es"",""en"")"),"The same, , , ,")</f>
        <v>The same, , , ,</v>
      </c>
    </row>
    <row r="683" spans="1:5" ht="13.2" x14ac:dyDescent="0.25">
      <c r="A683" t="s">
        <v>1482</v>
      </c>
      <c r="B683" t="s">
        <v>1483</v>
      </c>
      <c r="C683" t="s">
        <v>1484</v>
      </c>
      <c r="D683" t="str">
        <f ca="1">IFERROR(__xludf.DUMMYFUNCTION("GOOGLETRANSLATE(B683,""es"",""en"")"),"Pay")</f>
        <v>Pay</v>
      </c>
      <c r="E683" t="str">
        <f ca="1">IFERROR(__xludf.DUMMYFUNCTION("GOOGLETRANSLATE(C683,""es"",""en"")"),"Agree, agree ,,,,")</f>
        <v>Agree, agree ,,,,</v>
      </c>
    </row>
    <row r="684" spans="1:5" ht="13.2" x14ac:dyDescent="0.25">
      <c r="A684" t="s">
        <v>1485</v>
      </c>
      <c r="B684" t="s">
        <v>1483</v>
      </c>
      <c r="C684" t="s">
        <v>1486</v>
      </c>
      <c r="D684" t="str">
        <f ca="1">IFERROR(__xludf.DUMMYFUNCTION("GOOGLETRANSLATE(B684,""es"",""en"")"),"Pay")</f>
        <v>Pay</v>
      </c>
      <c r="E684" t="str">
        <f ca="1">IFERROR(__xludf.DUMMYFUNCTION("GOOGLETRANSLATE(C684,""es"",""en"")"),"Agree, agree ,,,,")</f>
        <v>Agree, agree ,,,,</v>
      </c>
    </row>
    <row r="685" spans="1:5" ht="13.2" x14ac:dyDescent="0.25">
      <c r="A685" t="s">
        <v>1487</v>
      </c>
      <c r="B685" t="s">
        <v>1488</v>
      </c>
      <c r="D685" t="str">
        <f ca="1">IFERROR(__xludf.DUMMYFUNCTION("GOOGLETRANSLATE(B685,""es"",""en"")"),"Hurt again")</f>
        <v>Hurt again</v>
      </c>
      <c r="E685" t="str">
        <f ca="1">IFERROR(__xludf.DUMMYFUNCTION("GOOGLETRANSLATE(C685,""es"",""en"")"),"#VALUE!")</f>
        <v>#VALUE!</v>
      </c>
    </row>
    <row r="686" spans="1:5" ht="13.2" x14ac:dyDescent="0.25">
      <c r="A686" t="s">
        <v>1489</v>
      </c>
      <c r="B686" t="s">
        <v>1488</v>
      </c>
      <c r="D686" t="str">
        <f ca="1">IFERROR(__xludf.DUMMYFUNCTION("GOOGLETRANSLATE(B686,""es"",""en"")"),"Hurt again")</f>
        <v>Hurt again</v>
      </c>
      <c r="E686" t="str">
        <f ca="1">IFERROR(__xludf.DUMMYFUNCTION("GOOGLETRANSLATE(C686,""es"",""en"")"),"#VALUE!")</f>
        <v>#VALUE!</v>
      </c>
    </row>
    <row r="687" spans="1:5" ht="13.2" x14ac:dyDescent="0.25">
      <c r="A687" t="s">
        <v>1490</v>
      </c>
      <c r="B687" t="s">
        <v>1491</v>
      </c>
      <c r="D687" t="str">
        <f ca="1">IFERROR(__xludf.DUMMYFUNCTION("GOOGLETRANSLATE(B687,""es"",""en"")"),"Clay")</f>
        <v>Clay</v>
      </c>
      <c r="E687" t="str">
        <f ca="1">IFERROR(__xludf.DUMMYFUNCTION("GOOGLETRANSLATE(C687,""es"",""en"")"),"#VALUE!")</f>
        <v>#VALUE!</v>
      </c>
    </row>
    <row r="688" spans="1:5" ht="13.2" x14ac:dyDescent="0.25">
      <c r="A688" t="s">
        <v>1492</v>
      </c>
      <c r="B688" t="s">
        <v>1493</v>
      </c>
      <c r="D688" t="str">
        <f ca="1">IFERROR(__xludf.DUMMYFUNCTION("GOOGLETRANSLATE(B688,""es"",""en"")"),"Wart")</f>
        <v>Wart</v>
      </c>
      <c r="E688" t="str">
        <f ca="1">IFERROR(__xludf.DUMMYFUNCTION("GOOGLETRANSLATE(C688,""es"",""en"")"),"#VALUE!")</f>
        <v>#VALUE!</v>
      </c>
    </row>
    <row r="689" spans="1:5" ht="13.2" x14ac:dyDescent="0.25">
      <c r="A689" t="s">
        <v>1494</v>
      </c>
      <c r="B689" t="s">
        <v>1495</v>
      </c>
      <c r="C689" t="s">
        <v>1496</v>
      </c>
      <c r="D689" t="str">
        <f ca="1">IFERROR(__xludf.DUMMYFUNCTION("GOOGLETRANSLATE(B689,""es"",""en"")"),"Leave")</f>
        <v>Leave</v>
      </c>
      <c r="E689" t="str">
        <f ca="1">IFERROR(__xludf.DUMMYFUNCTION("GOOGLETRANSLATE(C689,""es"",""en"")"),"March, route, walk,")</f>
        <v>March, route, walk,</v>
      </c>
    </row>
    <row r="690" spans="1:5" ht="13.2" x14ac:dyDescent="0.25">
      <c r="A690" t="s">
        <v>1065</v>
      </c>
      <c r="B690" t="s">
        <v>1063</v>
      </c>
      <c r="C690" t="s">
        <v>1064</v>
      </c>
      <c r="D690" t="str">
        <f ca="1">IFERROR(__xludf.DUMMYFUNCTION("GOOGLETRANSLATE(B690,""es"",""en"")"),"Foot")</f>
        <v>Foot</v>
      </c>
      <c r="E690" t="str">
        <f ca="1">IFERROR(__xludf.DUMMYFUNCTION("GOOGLETRANSLATE(C690,""es"",""en"")"),"Pata, support, root ,,")</f>
        <v>Pata, support, root ,,</v>
      </c>
    </row>
    <row r="691" spans="1:5" ht="13.2" x14ac:dyDescent="0.25">
      <c r="A691" t="s">
        <v>1067</v>
      </c>
      <c r="B691" t="s">
        <v>1063</v>
      </c>
      <c r="C691" t="s">
        <v>1064</v>
      </c>
      <c r="D691" t="str">
        <f ca="1">IFERROR(__xludf.DUMMYFUNCTION("GOOGLETRANSLATE(B691,""es"",""en"")"),"Foot")</f>
        <v>Foot</v>
      </c>
      <c r="E691" t="str">
        <f ca="1">IFERROR(__xludf.DUMMYFUNCTION("GOOGLETRANSLATE(C691,""es"",""en"")"),"Pata, support, root ,,")</f>
        <v>Pata, support, root ,,</v>
      </c>
    </row>
    <row r="692" spans="1:5" ht="13.2" x14ac:dyDescent="0.25">
      <c r="A692" t="s">
        <v>1062</v>
      </c>
      <c r="B692" t="s">
        <v>1497</v>
      </c>
      <c r="C692" t="s">
        <v>1064</v>
      </c>
      <c r="D692" t="str">
        <f ca="1">IFERROR(__xludf.DUMMYFUNCTION("GOOGLETRANSLATE(B692,""es"",""en"")"),"Leg")</f>
        <v>Leg</v>
      </c>
      <c r="E692" t="str">
        <f ca="1">IFERROR(__xludf.DUMMYFUNCTION("GOOGLETRANSLATE(C692,""es"",""en"")"),"Pata, support, root ,,")</f>
        <v>Pata, support, root ,,</v>
      </c>
    </row>
    <row r="693" spans="1:5" ht="13.2" x14ac:dyDescent="0.25">
      <c r="A693" t="s">
        <v>1498</v>
      </c>
      <c r="B693" t="s">
        <v>1214</v>
      </c>
      <c r="C693" t="s">
        <v>1499</v>
      </c>
      <c r="D693" t="str">
        <f ca="1">IFERROR(__xludf.DUMMYFUNCTION("GOOGLETRANSLATE(B693,""es"",""en"")"),"Look for")</f>
        <v>Look for</v>
      </c>
      <c r="E693" t="str">
        <f ca="1">IFERROR(__xludf.DUMMYFUNCTION("GOOGLETRANSLATE(C693,""es"",""en"")"),"Find out, scrutinize ,,,,")</f>
        <v>Find out, scrutinize ,,,,</v>
      </c>
    </row>
    <row r="694" spans="1:5" ht="13.2" x14ac:dyDescent="0.25">
      <c r="A694" t="s">
        <v>1500</v>
      </c>
      <c r="B694" t="s">
        <v>1501</v>
      </c>
      <c r="C694" t="s">
        <v>1502</v>
      </c>
      <c r="D694" t="str">
        <f ca="1">IFERROR(__xludf.DUMMYFUNCTION("GOOGLETRANSLATE(B694,""es"",""en"")"),"Walking")</f>
        <v>Walking</v>
      </c>
      <c r="E694" t="str">
        <f ca="1">IFERROR(__xludf.DUMMYFUNCTION("GOOGLETRANSLATE(C694,""es"",""en"")"),"Walking, , , ,")</f>
        <v>Walking, , , ,</v>
      </c>
    </row>
    <row r="695" spans="1:5" ht="13.2" x14ac:dyDescent="0.25">
      <c r="A695" t="s">
        <v>1503</v>
      </c>
      <c r="B695" t="s">
        <v>1504</v>
      </c>
      <c r="C695" t="s">
        <v>1505</v>
      </c>
      <c r="D695" t="str">
        <f ca="1">IFERROR(__xludf.DUMMYFUNCTION("GOOGLETRANSLATE(B695,""es"",""en"")"),"Near")</f>
        <v>Near</v>
      </c>
      <c r="E695" t="str">
        <f ca="1">IFERROR(__xludf.DUMMYFUNCTION("GOOGLETRANSLATE(C695,""es"",""en"")"),"Next to, close, stuck ,,")</f>
        <v>Next to, close, stuck ,,</v>
      </c>
    </row>
    <row r="696" spans="1:5" ht="13.2" x14ac:dyDescent="0.25">
      <c r="A696" t="s">
        <v>1506</v>
      </c>
      <c r="B696" t="s">
        <v>1504</v>
      </c>
      <c r="C696" t="s">
        <v>1507</v>
      </c>
      <c r="D696" t="str">
        <f ca="1">IFERROR(__xludf.DUMMYFUNCTION("GOOGLETRANSLATE(B696,""es"",""en"")"),"Near")</f>
        <v>Near</v>
      </c>
      <c r="E696" t="str">
        <f ca="1">IFERROR(__xludf.DUMMYFUNCTION("GOOGLETRANSLATE(C696,""es"",""en"")"),"Together, Cerquita ,,,")</f>
        <v>Together, Cerquita ,,,</v>
      </c>
    </row>
    <row r="697" spans="1:5" ht="13.2" x14ac:dyDescent="0.25">
      <c r="A697" t="s">
        <v>654</v>
      </c>
      <c r="B697" t="s">
        <v>1504</v>
      </c>
      <c r="C697" t="s">
        <v>1508</v>
      </c>
      <c r="D697" t="str">
        <f ca="1">IFERROR(__xludf.DUMMYFUNCTION("GOOGLETRANSLATE(B697,""es"",""en"")"),"Near")</f>
        <v>Near</v>
      </c>
      <c r="E697" t="str">
        <f ca="1">IFERROR(__xludf.DUMMYFUNCTION("GOOGLETRANSLATE(C697,""es"",""en"")"),"Next to, close ,,,")</f>
        <v>Next to, close ,,,</v>
      </c>
    </row>
    <row r="698" spans="1:5" ht="13.2" x14ac:dyDescent="0.25">
      <c r="A698" t="s">
        <v>1509</v>
      </c>
      <c r="B698" t="s">
        <v>1504</v>
      </c>
      <c r="D698" t="str">
        <f ca="1">IFERROR(__xludf.DUMMYFUNCTION("GOOGLETRANSLATE(B698,""es"",""en"")"),"Near")</f>
        <v>Near</v>
      </c>
      <c r="E698" t="str">
        <f ca="1">IFERROR(__xludf.DUMMYFUNCTION("GOOGLETRANSLATE(C698,""es"",""en"")"),"#VALUE!")</f>
        <v>#VALUE!</v>
      </c>
    </row>
    <row r="699" spans="1:5" ht="13.2" x14ac:dyDescent="0.25">
      <c r="A699" t="s">
        <v>655</v>
      </c>
      <c r="B699" t="s">
        <v>1510</v>
      </c>
      <c r="C699" t="s">
        <v>1511</v>
      </c>
      <c r="D699" t="str">
        <f ca="1">IFERROR(__xludf.DUMMYFUNCTION("GOOGLETRANSLATE(B699,""es"",""en"")"),"Near")</f>
        <v>Near</v>
      </c>
      <c r="E699" t="str">
        <f ca="1">IFERROR(__xludf.DUMMYFUNCTION("GOOGLETRANSLATE(C699,""es"",""en"")"),"Cerquita ,,,,")</f>
        <v>Cerquita ,,,,</v>
      </c>
    </row>
    <row r="700" spans="1:5" ht="13.2" x14ac:dyDescent="0.25">
      <c r="A700" t="s">
        <v>1503</v>
      </c>
      <c r="B700" t="s">
        <v>1512</v>
      </c>
      <c r="C700" t="s">
        <v>1513</v>
      </c>
      <c r="D700" t="str">
        <f ca="1">IFERROR(__xludf.DUMMYFUNCTION("GOOGLETRANSLATE(B700,""es"",""en"")"),"Next to")</f>
        <v>Next to</v>
      </c>
      <c r="E700" t="str">
        <f ca="1">IFERROR(__xludf.DUMMYFUNCTION("GOOGLETRANSLATE(C700,""es"",""en"")"),"Glued to, , , ,")</f>
        <v>Glued to, , , ,</v>
      </c>
    </row>
    <row r="701" spans="1:5" ht="13.2" x14ac:dyDescent="0.25">
      <c r="A701" t="s">
        <v>1514</v>
      </c>
      <c r="B701" t="s">
        <v>1515</v>
      </c>
      <c r="D701" t="str">
        <f ca="1">IFERROR(__xludf.DUMMYFUNCTION("GOOGLETRANSLATE(B701,""es"",""en"")"),"Centipede")</f>
        <v>Centipede</v>
      </c>
      <c r="E701" t="str">
        <f ca="1">IFERROR(__xludf.DUMMYFUNCTION("GOOGLETRANSLATE(C701,""es"",""en"")"),"#VALUE!")</f>
        <v>#VALUE!</v>
      </c>
    </row>
    <row r="702" spans="1:5" ht="13.2" x14ac:dyDescent="0.25">
      <c r="A702" t="s">
        <v>1516</v>
      </c>
      <c r="B702" t="s">
        <v>1517</v>
      </c>
      <c r="C702" t="s">
        <v>1518</v>
      </c>
      <c r="D702" t="str">
        <f ca="1">IFERROR(__xludf.DUMMYFUNCTION("GOOGLETRANSLATE(B702,""es"",""en"")"),"Pain")</f>
        <v>Pain</v>
      </c>
      <c r="E702" t="str">
        <f ca="1">IFERROR(__xludf.DUMMYFUNCTION("GOOGLETRANSLATE(C702,""es"",""en"")"),"Weigh, suffering, ailment,")</f>
        <v>Weigh, suffering, ailment,</v>
      </c>
    </row>
    <row r="703" spans="1:5" ht="13.2" x14ac:dyDescent="0.25">
      <c r="A703" t="s">
        <v>1519</v>
      </c>
      <c r="B703" t="s">
        <v>1517</v>
      </c>
      <c r="C703" t="s">
        <v>1518</v>
      </c>
      <c r="D703" t="str">
        <f ca="1">IFERROR(__xludf.DUMMYFUNCTION("GOOGLETRANSLATE(B703,""es"",""en"")"),"Pain")</f>
        <v>Pain</v>
      </c>
      <c r="E703" t="str">
        <f ca="1">IFERROR(__xludf.DUMMYFUNCTION("GOOGLETRANSLATE(C703,""es"",""en"")"),"Weigh, suffering, ailment,")</f>
        <v>Weigh, suffering, ailment,</v>
      </c>
    </row>
    <row r="704" spans="1:5" ht="13.2" x14ac:dyDescent="0.25">
      <c r="A704" t="s">
        <v>1520</v>
      </c>
      <c r="B704" t="s">
        <v>1521</v>
      </c>
      <c r="C704" t="s">
        <v>1522</v>
      </c>
      <c r="D704" t="str">
        <f ca="1">IFERROR(__xludf.DUMMYFUNCTION("GOOGLETRANSLATE(B704,""es"",""en"")"),"Aim")</f>
        <v>Aim</v>
      </c>
      <c r="E704" t="str">
        <f ca="1">IFERROR(__xludf.DUMMYFUNCTION("GOOGLETRANSLATE(C704,""es"",""en"")"),"what is going to find")</f>
        <v>what is going to find</v>
      </c>
    </row>
    <row r="705" spans="1:5" ht="13.2" x14ac:dyDescent="0.25">
      <c r="A705" t="s">
        <v>1523</v>
      </c>
      <c r="B705" t="s">
        <v>1524</v>
      </c>
      <c r="C705" t="s">
        <v>1525</v>
      </c>
      <c r="D705" t="str">
        <f ca="1">IFERROR(__xludf.DUMMYFUNCTION("GOOGLETRANSLATE(B705,""es"",""en"")"),"Grind")</f>
        <v>Grind</v>
      </c>
      <c r="E705" t="str">
        <f ca="1">IFERROR(__xludf.DUMMYFUNCTION("GOOGLETRANSLATE(C705,""es"",""en"")"),"Crush, spray ,,,,")</f>
        <v>Crush, spray ,,,,</v>
      </c>
    </row>
    <row r="706" spans="1:5" ht="13.2" x14ac:dyDescent="0.25">
      <c r="A706" t="s">
        <v>1526</v>
      </c>
      <c r="B706" t="s">
        <v>1524</v>
      </c>
      <c r="C706" t="s">
        <v>1525</v>
      </c>
      <c r="D706" t="str">
        <f ca="1">IFERROR(__xludf.DUMMYFUNCTION("GOOGLETRANSLATE(B706,""es"",""en"")"),"Grind")</f>
        <v>Grind</v>
      </c>
      <c r="E706" t="str">
        <f ca="1">IFERROR(__xludf.DUMMYFUNCTION("GOOGLETRANSLATE(C706,""es"",""en"")"),"Crush, spray ,,,,")</f>
        <v>Crush, spray ,,,,</v>
      </c>
    </row>
    <row r="707" spans="1:5" ht="13.2" x14ac:dyDescent="0.25">
      <c r="A707" t="s">
        <v>1527</v>
      </c>
      <c r="B707" t="s">
        <v>1528</v>
      </c>
      <c r="C707" t="s">
        <v>1529</v>
      </c>
      <c r="D707" t="str">
        <f ca="1">IFERROR(__xludf.DUMMYFUNCTION("GOOGLETRANSLATE(B707,""es"",""en"")"),"Abundant")</f>
        <v>Abundant</v>
      </c>
      <c r="E707" t="str">
        <f ca="1">IFERROR(__xludf.DUMMYFUNCTION("GOOGLETRANSLATE(C707,""es"",""en"")"),"A lot, enough ,,,")</f>
        <v>A lot, enough ,,,</v>
      </c>
    </row>
    <row r="708" spans="1:5" ht="13.2" x14ac:dyDescent="0.25">
      <c r="A708" t="s">
        <v>1530</v>
      </c>
      <c r="B708" t="s">
        <v>1531</v>
      </c>
      <c r="C708" t="s">
        <v>1532</v>
      </c>
      <c r="D708" t="str">
        <f ca="1">IFERROR(__xludf.DUMMYFUNCTION("GOOGLETRANSLATE(B708,""es"",""en"")"),"Quite")</f>
        <v>Quite</v>
      </c>
      <c r="E708" t="str">
        <f ca="1">IFERROR(__xludf.DUMMYFUNCTION("GOOGLETRANSLATE(C708,""es"",""en"")"),"A lot, , , ,")</f>
        <v>A lot, , , ,</v>
      </c>
    </row>
    <row r="709" spans="1:5" ht="13.2" x14ac:dyDescent="0.25">
      <c r="A709" t="s">
        <v>1533</v>
      </c>
      <c r="B709" t="s">
        <v>1534</v>
      </c>
      <c r="D709" t="str">
        <f ca="1">IFERROR(__xludf.DUMMYFUNCTION("GOOGLETRANSLATE(B709,""es"",""en"")"),"River mouth")</f>
        <v>River mouth</v>
      </c>
      <c r="E709" t="str">
        <f ca="1">IFERROR(__xludf.DUMMYFUNCTION("GOOGLETRANSLATE(C709,""es"",""en"")"),"#VALUE!")</f>
        <v>#VALUE!</v>
      </c>
    </row>
    <row r="710" spans="1:5" ht="13.2" x14ac:dyDescent="0.25">
      <c r="A710" t="s">
        <v>1535</v>
      </c>
      <c r="B710" t="s">
        <v>1536</v>
      </c>
      <c r="D710" t="str">
        <f ca="1">IFERROR(__xludf.DUMMYFUNCTION("GOOGLETRANSLATE(B710,""es"",""en"")"),"Ankle")</f>
        <v>Ankle</v>
      </c>
      <c r="E710" t="str">
        <f ca="1">IFERROR(__xludf.DUMMYFUNCTION("GOOGLETRANSLATE(C710,""es"",""en"")"),"#VALUE!")</f>
        <v>#VALUE!</v>
      </c>
    </row>
    <row r="711" spans="1:5" ht="13.2" x14ac:dyDescent="0.25">
      <c r="A711" t="s">
        <v>1537</v>
      </c>
      <c r="B711" t="s">
        <v>1538</v>
      </c>
      <c r="C711" t="s">
        <v>1539</v>
      </c>
      <c r="D711" t="str">
        <f ca="1">IFERROR(__xludf.DUMMYFUNCTION("GOOGLETRANSLATE(B711,""es"",""en"")"),"Achilles tendon")</f>
        <v>Achilles tendon</v>
      </c>
      <c r="E711" t="str">
        <f ca="1">IFERROR(__xludf.DUMMYFUNCTION("GOOGLETRANSLATE(C711,""es"",""en"")"),"Calcaneus tendon ,,,,")</f>
        <v>Calcaneus tendon ,,,,</v>
      </c>
    </row>
    <row r="712" spans="1:5" ht="13.2" x14ac:dyDescent="0.25">
      <c r="A712" t="s">
        <v>1540</v>
      </c>
      <c r="B712" t="s">
        <v>1541</v>
      </c>
      <c r="D712" t="str">
        <f ca="1">IFERROR(__xludf.DUMMYFUNCTION("GOOGLETRANSLATE(B712,""es"",""en"")"),"With the foot")</f>
        <v>With the foot</v>
      </c>
      <c r="E712" t="str">
        <f ca="1">IFERROR(__xludf.DUMMYFUNCTION("GOOGLETRANSLATE(C712,""es"",""en"")"),"#VALUE!")</f>
        <v>#VALUE!</v>
      </c>
    </row>
    <row r="713" spans="1:5" ht="13.2" x14ac:dyDescent="0.25">
      <c r="A713" t="s">
        <v>1542</v>
      </c>
      <c r="B713" t="s">
        <v>1543</v>
      </c>
      <c r="D713" t="str">
        <f ca="1">IFERROR(__xludf.DUMMYFUNCTION("GOOGLETRANSLATE(B713,""es"",""en"")"),"Foot finger")</f>
        <v>Foot finger</v>
      </c>
      <c r="E713" t="str">
        <f ca="1">IFERROR(__xludf.DUMMYFUNCTION("GOOGLETRANSLATE(C713,""es"",""en"")"),"#VALUE!")</f>
        <v>#VALUE!</v>
      </c>
    </row>
    <row r="714" spans="1:5" ht="13.2" x14ac:dyDescent="0.25">
      <c r="A714" t="s">
        <v>1544</v>
      </c>
      <c r="B714" t="s">
        <v>1545</v>
      </c>
      <c r="D714" t="str">
        <f ca="1">IFERROR(__xludf.DUMMYFUNCTION("GOOGLETRANSLATE(B714,""es"",""en"")"),"Tymaca knitting palette")</f>
        <v>Tymaca knitting palette</v>
      </c>
      <c r="E714" t="str">
        <f ca="1">IFERROR(__xludf.DUMMYFUNCTION("GOOGLETRANSLATE(C714,""es"",""en"")"),"#VALUE!")</f>
        <v>#VALUE!</v>
      </c>
    </row>
    <row r="715" spans="1:5" ht="13.2" x14ac:dyDescent="0.25">
      <c r="A715" t="s">
        <v>1546</v>
      </c>
      <c r="B715" t="s">
        <v>1547</v>
      </c>
      <c r="D715" t="str">
        <f ca="1">IFERROR(__xludf.DUMMYFUNCTION("GOOGLETRANSLATE(B715,""es"",""en"")")," teaching")</f>
        <v xml:space="preserve"> teaching</v>
      </c>
      <c r="E715" t="str">
        <f ca="1">IFERROR(__xludf.DUMMYFUNCTION("GOOGLETRANSLATE(C715,""es"",""en"")"),"#VALUE!")</f>
        <v>#VALUE!</v>
      </c>
    </row>
    <row r="716" spans="1:5" ht="13.2" x14ac:dyDescent="0.25">
      <c r="A716" t="s">
        <v>1548</v>
      </c>
      <c r="B716" t="s">
        <v>1549</v>
      </c>
      <c r="C716" t="s">
        <v>1550</v>
      </c>
      <c r="D716" t="str">
        <f ca="1">IFERROR(__xludf.DUMMYFUNCTION("GOOGLETRANSLATE(B716,""es"",""en"")"),"Look after")</f>
        <v>Look after</v>
      </c>
      <c r="E716" t="str">
        <f ca="1">IFERROR(__xludf.DUMMYFUNCTION("GOOGLETRANSLATE(C716,""es"",""en"")"),"Celar, guard ,,,,")</f>
        <v>Celar, guard ,,,,</v>
      </c>
    </row>
    <row r="717" spans="1:5" ht="13.2" x14ac:dyDescent="0.25">
      <c r="A717" t="s">
        <v>1551</v>
      </c>
      <c r="B717" t="s">
        <v>1552</v>
      </c>
      <c r="D717" t="str">
        <f ca="1">IFERROR(__xludf.DUMMYFUNCTION("GOOGLETRANSLATE(B717,""es"",""en"")"),"Upstream")</f>
        <v>Upstream</v>
      </c>
      <c r="E717" t="str">
        <f ca="1">IFERROR(__xludf.DUMMYFUNCTION("GOOGLETRANSLATE(C717,""es"",""en"")"),"#VALUE!")</f>
        <v>#VALUE!</v>
      </c>
    </row>
    <row r="718" spans="1:5" ht="13.2" x14ac:dyDescent="0.25">
      <c r="A718" t="s">
        <v>1553</v>
      </c>
      <c r="B718" t="s">
        <v>1554</v>
      </c>
      <c r="D718" t="str">
        <f ca="1">IFERROR(__xludf.DUMMYFUNCTION("GOOGLETRANSLATE(B718,""es"",""en"")"),"Upstream")</f>
        <v>Upstream</v>
      </c>
      <c r="E718" t="str">
        <f ca="1">IFERROR(__xludf.DUMMYFUNCTION("GOOGLETRANSLATE(C718,""es"",""en"")"),"#VALUE!")</f>
        <v>#VALUE!</v>
      </c>
    </row>
    <row r="719" spans="1:5" ht="13.2" x14ac:dyDescent="0.25">
      <c r="A719" t="s">
        <v>1555</v>
      </c>
      <c r="B719" t="s">
        <v>1556</v>
      </c>
      <c r="C719" t="s">
        <v>1557</v>
      </c>
      <c r="D719" t="str">
        <f ca="1">IFERROR(__xludf.DUMMYFUNCTION("GOOGLETRANSLATE(B719,""es"",""en"")"),"Increase")</f>
        <v>Increase</v>
      </c>
      <c r="E719" t="str">
        <f ca="1">IFERROR(__xludf.DUMMYFUNCTION("GOOGLETRANSLATE(C719,""es"",""en"")"),"Climb, climb ,,,,")</f>
        <v>Climb, climb ,,,,</v>
      </c>
    </row>
    <row r="720" spans="1:5" ht="13.2" x14ac:dyDescent="0.25">
      <c r="A720" t="s">
        <v>1558</v>
      </c>
      <c r="B720" t="s">
        <v>1559</v>
      </c>
      <c r="D720" t="str">
        <f ca="1">IFERROR(__xludf.DUMMYFUNCTION("GOOGLETRANSLATE(B720,""es"",""en"")"),"Heel")</f>
        <v>Heel</v>
      </c>
      <c r="E720" t="str">
        <f ca="1">IFERROR(__xludf.DUMMYFUNCTION("GOOGLETRANSLATE(C720,""es"",""en"")"),"#VALUE!")</f>
        <v>#VALUE!</v>
      </c>
    </row>
    <row r="721" spans="1:5" ht="13.2" x14ac:dyDescent="0.25">
      <c r="A721" t="s">
        <v>1560</v>
      </c>
      <c r="B721" t="s">
        <v>1559</v>
      </c>
      <c r="D721" t="str">
        <f ca="1">IFERROR(__xludf.DUMMYFUNCTION("GOOGLETRANSLATE(B721,""es"",""en"")"),"Heel")</f>
        <v>Heel</v>
      </c>
      <c r="E721" t="str">
        <f ca="1">IFERROR(__xludf.DUMMYFUNCTION("GOOGLETRANSLATE(C721,""es"",""en"")"),"#VALUE!")</f>
        <v>#VALUE!</v>
      </c>
    </row>
    <row r="722" spans="1:5" ht="13.2" x14ac:dyDescent="0.25">
      <c r="A722" t="s">
        <v>1561</v>
      </c>
      <c r="B722" t="s">
        <v>1562</v>
      </c>
      <c r="D722" t="s">
        <v>1563</v>
      </c>
      <c r="E722" t="str">
        <f ca="1">IFERROR(__xludf.DUMMYFUNCTION("GOOGLETRANSLATE(C722,""es"",""en"")"),"#VALUE!")</f>
        <v>#VALUE!</v>
      </c>
    </row>
    <row r="723" spans="1:5" ht="13.2" x14ac:dyDescent="0.25">
      <c r="A723" t="s">
        <v>1564</v>
      </c>
      <c r="B723" t="s">
        <v>1565</v>
      </c>
      <c r="D723" t="str">
        <f ca="1">IFERROR(__xludf.DUMMYFUNCTION("GOOGLETRANSLATE(B723,""es"",""en"")"),"Icaca")</f>
        <v>Icaca</v>
      </c>
      <c r="E723" t="str">
        <f ca="1">IFERROR(__xludf.DUMMYFUNCTION("GOOGLETRANSLATE(C723,""es"",""en"")"),"#VALUE!")</f>
        <v>#VALUE!</v>
      </c>
    </row>
    <row r="724" spans="1:5" ht="13.2" x14ac:dyDescent="0.25">
      <c r="A724" t="s">
        <v>1566</v>
      </c>
      <c r="B724" t="s">
        <v>1567</v>
      </c>
      <c r="C724" t="s">
        <v>1568</v>
      </c>
      <c r="D724" t="s">
        <v>1569</v>
      </c>
      <c r="E724" t="str">
        <f ca="1">IFERROR(__xludf.DUMMYFUNCTION("GOOGLETRANSLATE(C724,""es"",""en"")"),"What is written, hung")</f>
        <v>What is written, hung</v>
      </c>
    </row>
    <row r="725" spans="1:5" ht="13.2" x14ac:dyDescent="0.25">
      <c r="A725" t="s">
        <v>184</v>
      </c>
      <c r="B725" t="s">
        <v>1570</v>
      </c>
      <c r="C725" t="s">
        <v>1571</v>
      </c>
      <c r="D725" t="str">
        <f ca="1">IFERROR(__xludf.DUMMYFUNCTION("GOOGLETRANSLATE(B725,""es"",""en"")"),"Aunt")</f>
        <v>Aunt</v>
      </c>
      <c r="E725" t="str">
        <f ca="1">IFERROR(__xludf.DUMMYFUNCTION("GOOGLETRANSLATE(C725,""es"",""en"")"),"Relative, family ,,,")</f>
        <v>Relative, family ,,,</v>
      </c>
    </row>
    <row r="726" spans="1:5" ht="13.2" x14ac:dyDescent="0.25">
      <c r="A726" t="s">
        <v>1572</v>
      </c>
      <c r="B726" t="s">
        <v>1573</v>
      </c>
      <c r="C726" t="s">
        <v>1574</v>
      </c>
      <c r="D726" t="str">
        <f ca="1">IFERROR(__xludf.DUMMYFUNCTION("GOOGLETRANSLATE(B726,""es"",""en"")"),"Deep stillness")</f>
        <v>Deep stillness</v>
      </c>
      <c r="E726" t="str">
        <f ca="1">IFERROR(__xludf.DUMMYFUNCTION("GOOGLETRANSLATE(C726,""es"",""en"")"),"Calm, , , ,")</f>
        <v>Calm, , , ,</v>
      </c>
    </row>
    <row r="727" spans="1:5" ht="13.2" x14ac:dyDescent="0.25">
      <c r="A727" t="s">
        <v>1575</v>
      </c>
      <c r="B727" t="s">
        <v>1573</v>
      </c>
      <c r="C727" t="s">
        <v>1574</v>
      </c>
      <c r="D727" t="str">
        <f ca="1">IFERROR(__xludf.DUMMYFUNCTION("GOOGLETRANSLATE(B727,""es"",""en"")"),"Deep stillness")</f>
        <v>Deep stillness</v>
      </c>
      <c r="E727" t="str">
        <f ca="1">IFERROR(__xludf.DUMMYFUNCTION("GOOGLETRANSLATE(C727,""es"",""en"")"),"Calm, , , ,")</f>
        <v>Calm, , , ,</v>
      </c>
    </row>
    <row r="728" spans="1:5" ht="13.2" x14ac:dyDescent="0.25">
      <c r="A728" t="s">
        <v>1576</v>
      </c>
      <c r="B728" t="s">
        <v>1577</v>
      </c>
      <c r="C728" t="s">
        <v>1578</v>
      </c>
      <c r="D728" t="str">
        <f ca="1">IFERROR(__xludf.DUMMYFUNCTION("GOOGLETRANSLATE(B728,""es"",""en"")"),"Estate")</f>
        <v>Estate</v>
      </c>
      <c r="E728" t="str">
        <f ca="1">IFERROR(__xludf.DUMMYFUNCTION("GOOGLETRANSLATE(C728,""es"",""en"")"),"Land worked, plot ,,,,")</f>
        <v>Land worked, plot ,,,,</v>
      </c>
    </row>
    <row r="729" spans="1:5" ht="13.2" x14ac:dyDescent="0.25">
      <c r="A729" t="s">
        <v>1579</v>
      </c>
      <c r="B729" t="s">
        <v>1580</v>
      </c>
      <c r="C729" t="s">
        <v>1581</v>
      </c>
      <c r="D729" t="str">
        <f ca="1">IFERROR(__xludf.DUMMYFUNCTION("GOOGLETRANSLATE(B729,""es"",""en"")"),"Dish")</f>
        <v>Dish</v>
      </c>
      <c r="E729" t="str">
        <f ca="1">IFERROR(__xludf.DUMMYFUNCTION("GOOGLETRANSLATE(C729,""es"",""en"")"),"Tray, saucer, variety of bamboo ,,")</f>
        <v>Tray, saucer, variety of bamboo ,,</v>
      </c>
    </row>
    <row r="730" spans="1:5" ht="13.2" x14ac:dyDescent="0.25">
      <c r="A730" t="s">
        <v>1582</v>
      </c>
      <c r="B730" t="s">
        <v>1583</v>
      </c>
      <c r="C730" t="s">
        <v>1584</v>
      </c>
      <c r="D730" t="str">
        <f ca="1">IFERROR(__xludf.DUMMYFUNCTION("GOOGLETRANSLATE(B730,""es"",""en"")"),"Shark")</f>
        <v>Shark</v>
      </c>
      <c r="E730" t="str">
        <f ca="1">IFERROR(__xludf.DUMMYFUNCTION("GOOGLETRANSLATE(C730,""es"",""en"")"),"Tintorera ,,,,")</f>
        <v>Tintorera ,,,,</v>
      </c>
    </row>
    <row r="731" spans="1:5" ht="13.2" x14ac:dyDescent="0.25">
      <c r="A731" t="s">
        <v>1585</v>
      </c>
      <c r="B731" t="s">
        <v>1586</v>
      </c>
      <c r="D731" t="str">
        <f ca="1">IFERROR(__xludf.DUMMYFUNCTION("GOOGLETRANSLATE(B731,""es"",""en"")"),"Rémora fish")</f>
        <v>Rémora fish</v>
      </c>
      <c r="E731" t="str">
        <f ca="1">IFERROR(__xludf.DUMMYFUNCTION("GOOGLETRANSLATE(C731,""es"",""en"")"),"#VALUE!")</f>
        <v>#VALUE!</v>
      </c>
    </row>
    <row r="732" spans="1:5" ht="13.2" x14ac:dyDescent="0.25">
      <c r="A732" t="s">
        <v>1587</v>
      </c>
      <c r="B732" t="s">
        <v>1588</v>
      </c>
      <c r="C732" t="s">
        <v>1589</v>
      </c>
      <c r="D732" t="str">
        <f ca="1">IFERROR(__xludf.DUMMYFUNCTION("GOOGLETRANSLATE(B732,""es"",""en"")"),"Guacamaya")</f>
        <v>Guacamaya</v>
      </c>
      <c r="E732" t="str">
        <f ca="1">IFERROR(__xludf.DUMMYFUNCTION("GOOGLETRANSLATE(C732,""es"",""en"")")," Snapper fish, , , ,")</f>
        <v xml:space="preserve"> Snapper fish, , , ,</v>
      </c>
    </row>
    <row r="733" spans="1:5" ht="13.2" x14ac:dyDescent="0.25">
      <c r="A733" t="s">
        <v>721</v>
      </c>
      <c r="B733" t="s">
        <v>719</v>
      </c>
      <c r="D733" t="str">
        <f ca="1">IFERROR(__xludf.DUMMYFUNCTION("GOOGLETRANSLATE(B733,""es"",""en"")"),"Pixbae")</f>
        <v>Pixbae</v>
      </c>
      <c r="E733" t="str">
        <f ca="1">IFERROR(__xludf.DUMMYFUNCTION("GOOGLETRANSLATE(C733,""es"",""en"")"),"#VALUE!")</f>
        <v>#VALUE!</v>
      </c>
    </row>
    <row r="734" spans="1:5" ht="13.2" x14ac:dyDescent="0.25">
      <c r="A734" t="s">
        <v>718</v>
      </c>
      <c r="B734" t="s">
        <v>719</v>
      </c>
      <c r="D734" t="str">
        <f ca="1">IFERROR(__xludf.DUMMYFUNCTION("GOOGLETRANSLATE(B734,""es"",""en"")"),"Pixbae")</f>
        <v>Pixbae</v>
      </c>
      <c r="E734" t="str">
        <f ca="1">IFERROR(__xludf.DUMMYFUNCTION("GOOGLETRANSLATE(C734,""es"",""en"")"),"#VALUE!")</f>
        <v>#VALUE!</v>
      </c>
    </row>
    <row r="735" spans="1:5" ht="13.2" x14ac:dyDescent="0.25">
      <c r="A735" t="s">
        <v>720</v>
      </c>
      <c r="B735" t="s">
        <v>719</v>
      </c>
      <c r="D735" t="str">
        <f ca="1">IFERROR(__xludf.DUMMYFUNCTION("GOOGLETRANSLATE(B735,""es"",""en"")"),"Pixbae")</f>
        <v>Pixbae</v>
      </c>
      <c r="E735" t="str">
        <f ca="1">IFERROR(__xludf.DUMMYFUNCTION("GOOGLETRANSLATE(C735,""es"",""en"")"),"#VALUE!")</f>
        <v>#VALUE!</v>
      </c>
    </row>
    <row r="736" spans="1:5" ht="13.2" x14ac:dyDescent="0.25">
      <c r="A736" t="s">
        <v>1590</v>
      </c>
      <c r="B736" t="s">
        <v>1570</v>
      </c>
      <c r="C736" t="s">
        <v>126</v>
      </c>
      <c r="D736" t="str">
        <f ca="1">IFERROR(__xludf.DUMMYFUNCTION("GOOGLETRANSLATE(B736,""es"",""en"")"),"Aunt")</f>
        <v>Aunt</v>
      </c>
      <c r="E736" t="str">
        <f ca="1">IFERROR(__xludf.DUMMYFUNCTION("GOOGLETRANSLATE(C736,""es"",""en"")"),"Relative ,,,,")</f>
        <v>Relative ,,,,</v>
      </c>
    </row>
    <row r="737" spans="1:5" ht="13.2" x14ac:dyDescent="0.25">
      <c r="A737" t="s">
        <v>1591</v>
      </c>
      <c r="B737" t="s">
        <v>1592</v>
      </c>
      <c r="D737" t="str">
        <f ca="1">IFERROR(__xludf.DUMMYFUNCTION("GOOGLETRANSLATE(B737,""es"",""en"")"),"Red Pargo")</f>
        <v>Red Pargo</v>
      </c>
      <c r="E737" t="str">
        <f ca="1">IFERROR(__xludf.DUMMYFUNCTION("GOOGLETRANSLATE(C737,""es"",""en"")"),"#VALUE!")</f>
        <v>#VALUE!</v>
      </c>
    </row>
    <row r="738" spans="1:5" ht="13.2" x14ac:dyDescent="0.25">
      <c r="A738" t="s">
        <v>1593</v>
      </c>
      <c r="B738" t="s">
        <v>1594</v>
      </c>
      <c r="C738" t="s">
        <v>1595</v>
      </c>
      <c r="D738" t="str">
        <f ca="1">IFERROR(__xludf.DUMMYFUNCTION("GOOGLETRANSLATE(B738,""es"",""en"")"),"Pinch")</f>
        <v>Pinch</v>
      </c>
      <c r="E738" t="str">
        <f ca="1">IFERROR(__xludf.DUMMYFUNCTION("GOOGLETRANSLATE(C738,""es"",""en"")"),"Being petty, not generous ,,,,")</f>
        <v>Being petty, not generous ,,,,</v>
      </c>
    </row>
    <row r="739" spans="1:5" ht="13.2" x14ac:dyDescent="0.25">
      <c r="A739" t="s">
        <v>1596</v>
      </c>
      <c r="B739" t="s">
        <v>1597</v>
      </c>
      <c r="C739" t="s">
        <v>1598</v>
      </c>
      <c r="D739" t="str">
        <f ca="1">IFERROR(__xludf.DUMMYFUNCTION("GOOGLETRANSLATE(B739,""es"",""en"")"),"Mean")</f>
        <v>Mean</v>
      </c>
      <c r="E739" t="str">
        <f ca="1">IFERROR(__xludf.DUMMYFUNCTION("GOOGLETRANSLATE(C739,""es"",""en"")"),"Petty ,,,,")</f>
        <v>Petty ,,,,</v>
      </c>
    </row>
    <row r="740" spans="1:5" ht="13.2" x14ac:dyDescent="0.25">
      <c r="A740" t="s">
        <v>1599</v>
      </c>
      <c r="B740" t="s">
        <v>1597</v>
      </c>
      <c r="D740" t="str">
        <f ca="1">IFERROR(__xludf.DUMMYFUNCTION("GOOGLETRANSLATE(B740,""es"",""en"")"),"Mean")</f>
        <v>Mean</v>
      </c>
      <c r="E740" t="str">
        <f ca="1">IFERROR(__xludf.DUMMYFUNCTION("GOOGLETRANSLATE(C740,""es"",""en"")"),"#VALUE!")</f>
        <v>#VALUE!</v>
      </c>
    </row>
    <row r="741" spans="1:5" ht="13.2" x14ac:dyDescent="0.25">
      <c r="A741" t="s">
        <v>1600</v>
      </c>
      <c r="B741" t="s">
        <v>1597</v>
      </c>
      <c r="C741" t="s">
        <v>1601</v>
      </c>
      <c r="D741" t="str">
        <f ca="1">IFERROR(__xludf.DUMMYFUNCTION("GOOGLETRANSLATE(B741,""es"",""en"")"),"Mean")</f>
        <v>Mean</v>
      </c>
      <c r="E741" t="str">
        <f ca="1">IFERROR(__xludf.DUMMYFUNCTION("GOOGLETRANSLATE(C741,""es"",""en"")"),"Petty, greed ,,,,")</f>
        <v>Petty, greed ,,,,</v>
      </c>
    </row>
    <row r="742" spans="1:5" ht="13.2" x14ac:dyDescent="0.25">
      <c r="A742" t="s">
        <v>1602</v>
      </c>
      <c r="B742" t="s">
        <v>1603</v>
      </c>
      <c r="C742" t="s">
        <v>1604</v>
      </c>
      <c r="D742" t="str">
        <f ca="1">IFERROR(__xludf.DUMMYFUNCTION("GOOGLETRANSLATE(B742,""es"",""en"")"),"Sing")</f>
        <v>Sing</v>
      </c>
      <c r="E742" t="str">
        <f ca="1">IFERROR(__xludf.DUMMYFUNCTION("GOOGLETRANSLATE(C742,""es"",""en"")"),"Hum, , , ,")</f>
        <v>Hum, , , ,</v>
      </c>
    </row>
    <row r="743" spans="1:5" ht="13.2" x14ac:dyDescent="0.25">
      <c r="A743" t="s">
        <v>1605</v>
      </c>
      <c r="B743" t="s">
        <v>1606</v>
      </c>
      <c r="C743" t="s">
        <v>1607</v>
      </c>
      <c r="D743" t="str">
        <f ca="1">IFERROR(__xludf.DUMMYFUNCTION("GOOGLETRANSLATE(B743,""es"",""en"")"),"Mother")</f>
        <v>Mother</v>
      </c>
      <c r="E743" t="str">
        <f ca="1">IFERROR(__xludf.DUMMYFUNCTION("GOOGLETRANSLATE(C743,""es"",""en"")"),"Mother, , , ,")</f>
        <v>Mother, , , ,</v>
      </c>
    </row>
    <row r="744" spans="1:5" ht="13.2" x14ac:dyDescent="0.25">
      <c r="A744" t="s">
        <v>1608</v>
      </c>
      <c r="B744" t="s">
        <v>1609</v>
      </c>
      <c r="C744" t="s">
        <v>1610</v>
      </c>
      <c r="D744" t="str">
        <f ca="1">IFERROR(__xludf.DUMMYFUNCTION("GOOGLETRANSLATE(B744,""es"",""en"")"),"Walk")</f>
        <v>Walk</v>
      </c>
      <c r="E744" t="str">
        <f ca="1">IFERROR(__xludf.DUMMYFUNCTION("GOOGLETRANSLATE(C744,""es"",""en"")"),"Walk, , , ,")</f>
        <v>Walk, , , ,</v>
      </c>
    </row>
    <row r="745" spans="1:5" ht="13.2" x14ac:dyDescent="0.25">
      <c r="A745" t="s">
        <v>1611</v>
      </c>
      <c r="B745" t="s">
        <v>1612</v>
      </c>
      <c r="C745" t="s">
        <v>1613</v>
      </c>
      <c r="D745" t="str">
        <f ca="1">IFERROR(__xludf.DUMMYFUNCTION("GOOGLETRANSLATE(B745,""es"",""en"")"),"Great mother")</f>
        <v>Great mother</v>
      </c>
      <c r="E745" t="str">
        <f ca="1">IFERROR(__xludf.DUMMYFUNCTION("GOOGLETRANSLATE(C745,""es"",""en"")"),"Be supreme ,,,,")</f>
        <v>Be supreme ,,,,</v>
      </c>
    </row>
    <row r="746" spans="1:5" ht="13.2" x14ac:dyDescent="0.25">
      <c r="A746" t="s">
        <v>1614</v>
      </c>
      <c r="B746" t="s">
        <v>1570</v>
      </c>
      <c r="C746" t="s">
        <v>126</v>
      </c>
      <c r="D746" t="str">
        <f ca="1">IFERROR(__xludf.DUMMYFUNCTION("GOOGLETRANSLATE(B746,""es"",""en"")"),"Aunt")</f>
        <v>Aunt</v>
      </c>
      <c r="E746" t="str">
        <f ca="1">IFERROR(__xludf.DUMMYFUNCTION("GOOGLETRANSLATE(C746,""es"",""en"")"),"Relative ,,,,")</f>
        <v>Relative ,,,,</v>
      </c>
    </row>
    <row r="747" spans="1:5" ht="13.2" x14ac:dyDescent="0.25">
      <c r="A747" t="s">
        <v>1615</v>
      </c>
      <c r="B747" t="s">
        <v>1400</v>
      </c>
      <c r="D747" t="str">
        <f ca="1">IFERROR(__xludf.DUMMYFUNCTION("GOOGLETRANSLATE(B747,""es"",""en"")"),"Grandmother")</f>
        <v>Grandmother</v>
      </c>
      <c r="E747" t="str">
        <f ca="1">IFERROR(__xludf.DUMMYFUNCTION("GOOGLETRANSLATE(C747,""es"",""en"")"),"#VALUE!")</f>
        <v>#VALUE!</v>
      </c>
    </row>
    <row r="748" spans="1:5" ht="13.2" x14ac:dyDescent="0.25">
      <c r="A748" t="s">
        <v>1399</v>
      </c>
      <c r="B748" t="s">
        <v>1400</v>
      </c>
      <c r="D748" t="str">
        <f ca="1">IFERROR(__xludf.DUMMYFUNCTION("GOOGLETRANSLATE(B748,""es"",""en"")"),"Grandmother")</f>
        <v>Grandmother</v>
      </c>
      <c r="E748" t="str">
        <f ca="1">IFERROR(__xludf.DUMMYFUNCTION("GOOGLETRANSLATE(C748,""es"",""en"")"),"#VALUE!")</f>
        <v>#VALUE!</v>
      </c>
    </row>
    <row r="749" spans="1:5" ht="13.2" x14ac:dyDescent="0.25">
      <c r="A749" t="s">
        <v>1616</v>
      </c>
      <c r="B749" t="s">
        <v>1617</v>
      </c>
      <c r="D749" t="str">
        <f ca="1">IFERROR(__xludf.DUMMYFUNCTION("GOOGLETRANSLATE(B749,""es"",""en"")"),"Stepfather")</f>
        <v>Stepfather</v>
      </c>
      <c r="E749" t="str">
        <f ca="1">IFERROR(__xludf.DUMMYFUNCTION("GOOGLETRANSLATE(C749,""es"",""en"")"),"#VALUE!")</f>
        <v>#VALUE!</v>
      </c>
    </row>
    <row r="750" spans="1:5" ht="13.2" x14ac:dyDescent="0.25">
      <c r="A750" t="s">
        <v>1618</v>
      </c>
      <c r="B750" t="s">
        <v>1619</v>
      </c>
      <c r="D750" t="str">
        <f ca="1">IFERROR(__xludf.DUMMYFUNCTION("GOOGLETRANSLATE(B750,""es"",""en"")"),"Orange")</f>
        <v>Orange</v>
      </c>
      <c r="E750" t="str">
        <f ca="1">IFERROR(__xludf.DUMMYFUNCTION("GOOGLETRANSLATE(C750,""es"",""en"")"),"#VALUE!")</f>
        <v>#VALUE!</v>
      </c>
    </row>
    <row r="751" spans="1:5" ht="13.2" x14ac:dyDescent="0.25">
      <c r="A751" t="s">
        <v>1620</v>
      </c>
      <c r="B751" t="s">
        <v>1621</v>
      </c>
      <c r="C751" t="s">
        <v>1622</v>
      </c>
      <c r="D751" t="str">
        <f ca="1">IFERROR(__xludf.DUMMYFUNCTION("GOOGLETRANSLATE(B751,""es"",""en"")"),"Limonar")</f>
        <v>Limonar</v>
      </c>
      <c r="E751" t="str">
        <f ca="1">IFERROR(__xludf.DUMMYFUNCTION("GOOGLETRANSLATE(C751,""es"",""en"")"),"Orange ,,,,")</f>
        <v>Orange ,,,,</v>
      </c>
    </row>
    <row r="752" spans="1:5" ht="13.2" x14ac:dyDescent="0.25">
      <c r="A752" t="s">
        <v>1623</v>
      </c>
      <c r="B752" t="s">
        <v>1624</v>
      </c>
      <c r="D752" t="str">
        <f ca="1">IFERROR(__xludf.DUMMYFUNCTION("GOOGLETRANSLATE(B752,""es"",""en"")"),"Lemon")</f>
        <v>Lemon</v>
      </c>
      <c r="E752" t="str">
        <f ca="1">IFERROR(__xludf.DUMMYFUNCTION("GOOGLETRANSLATE(C752,""es"",""en"")"),"#VALUE!")</f>
        <v>#VALUE!</v>
      </c>
    </row>
    <row r="753" spans="1:5" ht="13.2" x14ac:dyDescent="0.25">
      <c r="A753" t="s">
        <v>1625</v>
      </c>
      <c r="B753" t="s">
        <v>1626</v>
      </c>
      <c r="C753" t="s">
        <v>1627</v>
      </c>
      <c r="D753" t="str">
        <f ca="1">IFERROR(__xludf.DUMMYFUNCTION("GOOGLETRANSLATE(B753,""es"",""en"")"),"Roast")</f>
        <v>Roast</v>
      </c>
      <c r="E753" t="str">
        <f ca="1">IFERROR(__xludf.DUMMYFUNCTION("GOOGLETRANSLATE(C753,""es"",""en"")"),"Smoking ,,,,")</f>
        <v>Smoking ,,,,</v>
      </c>
    </row>
    <row r="754" spans="1:5" ht="13.2" x14ac:dyDescent="0.25">
      <c r="A754" t="s">
        <v>1628</v>
      </c>
      <c r="B754" t="s">
        <v>1629</v>
      </c>
      <c r="C754" t="s">
        <v>1630</v>
      </c>
      <c r="D754" t="str">
        <f ca="1">IFERROR(__xludf.DUMMYFUNCTION("GOOGLETRANSLATE(B754,""es"",""en"")"),"Claw")</f>
        <v>Claw</v>
      </c>
      <c r="E754" t="str">
        <f ca="1">IFERROR(__xludf.DUMMYFUNCTION("GOOGLETRANSLATE(C754,""es"",""en"")"),"Suca ,,,,")</f>
        <v>Suca ,,,,</v>
      </c>
    </row>
    <row r="755" spans="1:5" ht="13.2" x14ac:dyDescent="0.25">
      <c r="A755" t="s">
        <v>1631</v>
      </c>
      <c r="B755" t="s">
        <v>1632</v>
      </c>
      <c r="C755" t="s">
        <v>1633</v>
      </c>
      <c r="D755" t="str">
        <f ca="1">IFERROR(__xludf.DUMMYFUNCTION("GOOGLETRANSLATE(B755,""es"",""en"")"),"Hang")</f>
        <v>Hang</v>
      </c>
      <c r="E755" t="str">
        <f ca="1">IFERROR(__xludf.DUMMYFUNCTION("GOOGLETRANSLATE(C755,""es"",""en"")"),"Place, put, suspend,")</f>
        <v>Place, put, suspend,</v>
      </c>
    </row>
    <row r="756" spans="1:5" ht="13.2" x14ac:dyDescent="0.25">
      <c r="A756" t="s">
        <v>1634</v>
      </c>
      <c r="B756" t="s">
        <v>1635</v>
      </c>
      <c r="C756" t="s">
        <v>1636</v>
      </c>
      <c r="D756" t="str">
        <f ca="1">IFERROR(__xludf.DUMMYFUNCTION("GOOGLETRANSLATE(B756,""es"",""en"")"),"Plain")</f>
        <v>Plain</v>
      </c>
      <c r="E756" t="str">
        <f ca="1">IFERROR(__xludf.DUMMYFUNCTION("GOOGLETRANSLATE(C756,""es"",""en"")"),"Planicie, Llano ,,,,")</f>
        <v>Planicie, Llano ,,,,</v>
      </c>
    </row>
    <row r="757" spans="1:5" ht="13.2" x14ac:dyDescent="0.25">
      <c r="A757" t="s">
        <v>184</v>
      </c>
      <c r="B757" t="s">
        <v>1637</v>
      </c>
      <c r="D757" t="str">
        <f ca="1">IFERROR(__xludf.DUMMYFUNCTION("GOOGLETRANSLATE(B757,""es"",""en"")"),"Female sexual organ")</f>
        <v>Female sexual organ</v>
      </c>
      <c r="E757" t="str">
        <f ca="1">IFERROR(__xludf.DUMMYFUNCTION("GOOGLETRANSLATE(C757,""es"",""en"")"),"#VALUE!")</f>
        <v>#VALUE!</v>
      </c>
    </row>
    <row r="758" spans="1:5" ht="13.2" x14ac:dyDescent="0.25">
      <c r="A758" t="s">
        <v>724</v>
      </c>
      <c r="B758" t="s">
        <v>252</v>
      </c>
      <c r="C758" t="s">
        <v>1638</v>
      </c>
      <c r="D758" t="str">
        <f ca="1">IFERROR(__xludf.DUMMYFUNCTION("GOOGLETRANSLATE(B758,""es"",""en"")"),"Half")</f>
        <v>Half</v>
      </c>
      <c r="E758" t="str">
        <f ca="1">IFERROR(__xludf.DUMMYFUNCTION("GOOGLETRANSLATE(C758,""es"",""en"")"),"Center, in the middle, in half,")</f>
        <v>Center, in the middle, in half,</v>
      </c>
    </row>
    <row r="759" spans="1:5" ht="13.2" x14ac:dyDescent="0.25">
      <c r="A759" t="s">
        <v>968</v>
      </c>
      <c r="B759" t="s">
        <v>252</v>
      </c>
      <c r="C759" t="s">
        <v>1638</v>
      </c>
      <c r="D759" t="str">
        <f ca="1">IFERROR(__xludf.DUMMYFUNCTION("GOOGLETRANSLATE(B759,""es"",""en"")"),"Half")</f>
        <v>Half</v>
      </c>
      <c r="E759" t="str">
        <f ca="1">IFERROR(__xludf.DUMMYFUNCTION("GOOGLETRANSLATE(C759,""es"",""en"")"),"Center, in the middle, in half,")</f>
        <v>Center, in the middle, in half,</v>
      </c>
    </row>
    <row r="760" spans="1:5" ht="13.2" x14ac:dyDescent="0.25">
      <c r="A760" t="s">
        <v>1639</v>
      </c>
      <c r="B760" t="s">
        <v>969</v>
      </c>
      <c r="C760" t="s">
        <v>1640</v>
      </c>
      <c r="D760" t="str">
        <f ca="1">IFERROR(__xludf.DUMMYFUNCTION("GOOGLETRANSLATE(B760,""es"",""en"")"),"In half")</f>
        <v>In half</v>
      </c>
      <c r="E760" t="str">
        <f ca="1">IFERROR(__xludf.DUMMYFUNCTION("GOOGLETRANSLATE(C760,""es"",""en"")"),"In the middle, in half ,,,,")</f>
        <v>In the middle, in half ,,,,</v>
      </c>
    </row>
    <row r="761" spans="1:5" ht="13.2" x14ac:dyDescent="0.25">
      <c r="A761" t="s">
        <v>490</v>
      </c>
      <c r="B761" t="s">
        <v>969</v>
      </c>
      <c r="C761" t="s">
        <v>1641</v>
      </c>
      <c r="D761" t="str">
        <f ca="1">IFERROR(__xludf.DUMMYFUNCTION("GOOGLETRANSLATE(B761,""es"",""en"")"),"In half")</f>
        <v>In half</v>
      </c>
      <c r="E761" t="str">
        <f ca="1">IFERROR(__xludf.DUMMYFUNCTION("GOOGLETRANSLATE(C761,""es"",""en"")"),"Half, , , ,")</f>
        <v>Half, , , ,</v>
      </c>
    </row>
    <row r="762" spans="1:5" ht="13.2" x14ac:dyDescent="0.25">
      <c r="A762" t="s">
        <v>1642</v>
      </c>
      <c r="B762" t="s">
        <v>1643</v>
      </c>
      <c r="C762" t="s">
        <v>1644</v>
      </c>
      <c r="D762" t="str">
        <f ca="1">IFERROR(__xludf.DUMMYFUNCTION("GOOGLETRANSLATE(B762,""es"",""en"")"),"Rain")</f>
        <v>Rain</v>
      </c>
      <c r="E762" t="str">
        <f ca="1">IFERROR(__xludf.DUMMYFUNCTION("GOOGLETRANSLATE(C762,""es"",""en"")"),"Aguacero, Phaprón, Llover ,,,")</f>
        <v>Aguacero, Phaprón, Llover ,,,</v>
      </c>
    </row>
    <row r="763" spans="1:5" ht="13.2" x14ac:dyDescent="0.25">
      <c r="A763" t="s">
        <v>1645</v>
      </c>
      <c r="B763" t="s">
        <v>1646</v>
      </c>
      <c r="C763" t="s">
        <v>1647</v>
      </c>
      <c r="D763" t="str">
        <f ca="1">IFERROR(__xludf.DUMMYFUNCTION("GOOGLETRANSLATE(B763,""es"",""en"")"),"Rain")</f>
        <v>Rain</v>
      </c>
      <c r="E763" t="str">
        <f ca="1">IFERROR(__xludf.DUMMYFUNCTION("GOOGLETRANSLATE(C763,""es"",""en"")"),"AGUACERO, CHAPARRÓN ,,,,")</f>
        <v>AGUACERO, CHAPARRÓN ,,,,</v>
      </c>
    </row>
    <row r="764" spans="1:5" ht="13.2" x14ac:dyDescent="0.25">
      <c r="A764" t="s">
        <v>1648</v>
      </c>
      <c r="B764" t="s">
        <v>1649</v>
      </c>
      <c r="D764" t="str">
        <f ca="1">IFERROR(__xludf.DUMMYFUNCTION("GOOGLETRANSLATE(B764,""es"",""en"")"),"Symbol of reality")</f>
        <v>Symbol of reality</v>
      </c>
      <c r="E764" t="str">
        <f ca="1">IFERROR(__xludf.DUMMYFUNCTION("GOOGLETRANSLATE(C764,""es"",""en"")"),"#VALUE!")</f>
        <v>#VALUE!</v>
      </c>
    </row>
    <row r="765" spans="1:5" ht="13.2" x14ac:dyDescent="0.25">
      <c r="A765" t="s">
        <v>1650</v>
      </c>
      <c r="B765" t="s">
        <v>1649</v>
      </c>
      <c r="D765" t="str">
        <f ca="1">IFERROR(__xludf.DUMMYFUNCTION("GOOGLETRANSLATE(B765,""es"",""en"")"),"Symbol of reality")</f>
        <v>Symbol of reality</v>
      </c>
      <c r="E765" t="str">
        <f ca="1">IFERROR(__xludf.DUMMYFUNCTION("GOOGLETRANSLATE(C765,""es"",""en"")"),"#VALUE!")</f>
        <v>#VALUE!</v>
      </c>
    </row>
    <row r="766" spans="1:5" ht="13.2" x14ac:dyDescent="0.25">
      <c r="A766" t="s">
        <v>1651</v>
      </c>
      <c r="B766" t="s">
        <v>1652</v>
      </c>
      <c r="D766" t="str">
        <f ca="1">IFERROR(__xludf.DUMMYFUNCTION("GOOGLETRANSLATE(B766,""es"",""en"")"),"Dream")</f>
        <v>Dream</v>
      </c>
      <c r="E766" t="str">
        <f ca="1">IFERROR(__xludf.DUMMYFUNCTION("GOOGLETRANSLATE(C766,""es"",""en"")"),"#VALUE!")</f>
        <v>#VALUE!</v>
      </c>
    </row>
    <row r="767" spans="1:5" ht="13.2" x14ac:dyDescent="0.25">
      <c r="A767" t="s">
        <v>1653</v>
      </c>
      <c r="B767" t="s">
        <v>1652</v>
      </c>
      <c r="D767" t="str">
        <f ca="1">IFERROR(__xludf.DUMMYFUNCTION("GOOGLETRANSLATE(B767,""es"",""en"")"),"Dream")</f>
        <v>Dream</v>
      </c>
      <c r="E767" t="str">
        <f ca="1">IFERROR(__xludf.DUMMYFUNCTION("GOOGLETRANSLATE(C767,""es"",""en"")"),"#VALUE!")</f>
        <v>#VALUE!</v>
      </c>
    </row>
    <row r="768" spans="1:5" ht="13.2" x14ac:dyDescent="0.25">
      <c r="A768" t="s">
        <v>1654</v>
      </c>
      <c r="B768" t="s">
        <v>1655</v>
      </c>
      <c r="D768" t="str">
        <f ca="1">IFERROR(__xludf.DUMMYFUNCTION("GOOGLETRANSLATE(B768,""es"",""en"")"),"that of the middle")</f>
        <v>that of the middle</v>
      </c>
      <c r="E768" t="str">
        <f ca="1">IFERROR(__xludf.DUMMYFUNCTION("GOOGLETRANSLATE(C768,""es"",""en"")"),"#VALUE!")</f>
        <v>#VALUE!</v>
      </c>
    </row>
    <row r="769" spans="1:5" ht="13.2" x14ac:dyDescent="0.25">
      <c r="A769" t="s">
        <v>185</v>
      </c>
      <c r="B769" t="s">
        <v>1656</v>
      </c>
      <c r="D769" t="str">
        <f ca="1">IFERROR(__xludf.DUMMYFUNCTION("GOOGLETRANSLATE(B769,""es"",""en"")"),"female sexual organ")</f>
        <v>female sexual organ</v>
      </c>
      <c r="E769" t="str">
        <f ca="1">IFERROR(__xludf.DUMMYFUNCTION("GOOGLETRANSLATE(C769,""es"",""en"")"),"#VALUE!")</f>
        <v>#VALUE!</v>
      </c>
    </row>
    <row r="770" spans="1:5" ht="13.2" x14ac:dyDescent="0.25">
      <c r="A770" t="s">
        <v>1657</v>
      </c>
      <c r="B770" t="s">
        <v>1658</v>
      </c>
      <c r="D770" t="str">
        <f ca="1">IFERROR(__xludf.DUMMYFUNCTION("GOOGLETRANSLATE(B770,""es"",""en"")"),"Midnight")</f>
        <v>Midnight</v>
      </c>
      <c r="E770" t="str">
        <f ca="1">IFERROR(__xludf.DUMMYFUNCTION("GOOGLETRANSLATE(C770,""es"",""en"")"),"#VALUE!")</f>
        <v>#VALUE!</v>
      </c>
    </row>
    <row r="771" spans="1:5" ht="13.2" x14ac:dyDescent="0.25">
      <c r="A771" t="s">
        <v>1659</v>
      </c>
      <c r="B771" t="s">
        <v>1658</v>
      </c>
      <c r="D771" t="str">
        <f ca="1">IFERROR(__xludf.DUMMYFUNCTION("GOOGLETRANSLATE(B771,""es"",""en"")"),"Midnight")</f>
        <v>Midnight</v>
      </c>
      <c r="E771" t="str">
        <f ca="1">IFERROR(__xludf.DUMMYFUNCTION("GOOGLETRANSLATE(C771,""es"",""en"")"),"#VALUE!")</f>
        <v>#VALUE!</v>
      </c>
    </row>
    <row r="772" spans="1:5" ht="13.2" x14ac:dyDescent="0.25">
      <c r="A772" t="s">
        <v>1660</v>
      </c>
      <c r="B772" t="s">
        <v>1658</v>
      </c>
      <c r="D772" t="str">
        <f ca="1">IFERROR(__xludf.DUMMYFUNCTION("GOOGLETRANSLATE(B772,""es"",""en"")"),"Midnight")</f>
        <v>Midnight</v>
      </c>
      <c r="E772" t="str">
        <f ca="1">IFERROR(__xludf.DUMMYFUNCTION("GOOGLETRANSLATE(C772,""es"",""en"")"),"#VALUE!")</f>
        <v>#VALUE!</v>
      </c>
    </row>
    <row r="773" spans="1:5" ht="13.2" x14ac:dyDescent="0.25">
      <c r="A773" t="s">
        <v>1661</v>
      </c>
      <c r="B773" t="s">
        <v>1662</v>
      </c>
      <c r="C773" t="s">
        <v>1663</v>
      </c>
      <c r="D773" t="str">
        <f ca="1">IFERROR(__xludf.DUMMYFUNCTION("GOOGLETRANSLATE(B773,""es"",""en"")"),"At dusk")</f>
        <v>At dusk</v>
      </c>
      <c r="E773" t="str">
        <f ca="1">IFERROR(__xludf.DUMMYFUNCTION("GOOGLETRANSLATE(C773,""es"",""en"")"),"When darkening ,,,,")</f>
        <v>When darkening ,,,,</v>
      </c>
    </row>
    <row r="774" spans="1:5" ht="13.2" x14ac:dyDescent="0.25">
      <c r="A774" t="s">
        <v>1664</v>
      </c>
      <c r="B774" t="s">
        <v>1665</v>
      </c>
      <c r="C774" t="s">
        <v>1666</v>
      </c>
      <c r="D774" t="str">
        <f ca="1">IFERROR(__xludf.DUMMYFUNCTION("GOOGLETRANSLATE(B774,""es"",""en"")"),"Sweep")</f>
        <v>Sweep</v>
      </c>
      <c r="E774" t="str">
        <f ca="1">IFERROR(__xludf.DUMMYFUNCTION("GOOGLETRANSLATE(C774,""es"",""en"")"),"Escobar ,,,,")</f>
        <v>Escobar ,,,,</v>
      </c>
    </row>
    <row r="775" spans="1:5" ht="13.2" x14ac:dyDescent="0.25">
      <c r="A775" t="s">
        <v>1667</v>
      </c>
      <c r="B775" t="s">
        <v>1665</v>
      </c>
      <c r="D775" t="str">
        <f ca="1">IFERROR(__xludf.DUMMYFUNCTION("GOOGLETRANSLATE(B775,""es"",""en"")"),"Sweep")</f>
        <v>Sweep</v>
      </c>
      <c r="E775" t="str">
        <f ca="1">IFERROR(__xludf.DUMMYFUNCTION("GOOGLETRANSLATE(C775,""es"",""en"")"),"#VALUE!")</f>
        <v>#VALUE!</v>
      </c>
    </row>
    <row r="776" spans="1:5" ht="13.2" x14ac:dyDescent="0.25">
      <c r="A776" t="s">
        <v>1668</v>
      </c>
      <c r="B776" t="s">
        <v>1665</v>
      </c>
      <c r="D776" t="str">
        <f ca="1">IFERROR(__xludf.DUMMYFUNCTION("GOOGLETRANSLATE(B776,""es"",""en"")"),"Sweep")</f>
        <v>Sweep</v>
      </c>
      <c r="E776" t="str">
        <f ca="1">IFERROR(__xludf.DUMMYFUNCTION("GOOGLETRANSLATE(C776,""es"",""en"")"),"#VALUE!")</f>
        <v>#VALUE!</v>
      </c>
    </row>
    <row r="777" spans="1:5" ht="13.2" x14ac:dyDescent="0.25">
      <c r="A777" t="s">
        <v>460</v>
      </c>
      <c r="B777" t="s">
        <v>458</v>
      </c>
      <c r="C777" t="s">
        <v>459</v>
      </c>
      <c r="D777" t="str">
        <f ca="1">IFERROR(__xludf.DUMMYFUNCTION("GOOGLETRANSLATE(B777,""es"",""en"")"),"Town")</f>
        <v>Town</v>
      </c>
      <c r="E777" t="str">
        <f ca="1">IFERROR(__xludf.DUMMYFUNCTION("GOOGLETRANSLATE(C777,""es"",""en"")"),"Populated, village, community,")</f>
        <v>Populated, village, community,</v>
      </c>
    </row>
    <row r="778" spans="1:5" ht="13.2" x14ac:dyDescent="0.25">
      <c r="A778" t="s">
        <v>457</v>
      </c>
      <c r="B778" t="s">
        <v>458</v>
      </c>
      <c r="C778" t="s">
        <v>459</v>
      </c>
      <c r="D778" t="str">
        <f ca="1">IFERROR(__xludf.DUMMYFUNCTION("GOOGLETRANSLATE(B778,""es"",""en"")"),"Town")</f>
        <v>Town</v>
      </c>
      <c r="E778" t="str">
        <f ca="1">IFERROR(__xludf.DUMMYFUNCTION("GOOGLETRANSLATE(C778,""es"",""en"")"),"Populated, village, community,")</f>
        <v>Populated, village, community,</v>
      </c>
    </row>
    <row r="779" spans="1:5" ht="13.2" x14ac:dyDescent="0.25">
      <c r="A779" t="s">
        <v>597</v>
      </c>
      <c r="B779" t="s">
        <v>595</v>
      </c>
      <c r="C779" t="s">
        <v>596</v>
      </c>
      <c r="D779" t="str">
        <f ca="1">IFERROR(__xludf.DUMMYFUNCTION("GOOGLETRANSLATE(B779,""es"",""en"")"),"Sunrise")</f>
        <v>Sunrise</v>
      </c>
      <c r="E779" t="str">
        <f ca="1">IFERROR(__xludf.DUMMYFUNCTION("GOOGLETRANSLATE(C779,""es"",""en"")"),"Get up ,,,,")</f>
        <v>Get up ,,,,</v>
      </c>
    </row>
    <row r="780" spans="1:5" ht="13.2" x14ac:dyDescent="0.25">
      <c r="A780" t="s">
        <v>1669</v>
      </c>
      <c r="B780" t="s">
        <v>1670</v>
      </c>
      <c r="C780" t="s">
        <v>1671</v>
      </c>
      <c r="D780" t="str">
        <f ca="1">IFERROR(__xludf.DUMMYFUNCTION("GOOGLETRANSLATE(B780,""es"",""en"")"),"frog")</f>
        <v>frog</v>
      </c>
      <c r="E780" t="str">
        <f ca="1">IFERROR(__xludf.DUMMYFUNCTION("GOOGLETRANSLATE(C780,""es"",""en"")"),"toad")</f>
        <v>toad</v>
      </c>
    </row>
    <row r="781" spans="1:5" ht="13.2" x14ac:dyDescent="0.25">
      <c r="A781" t="s">
        <v>1672</v>
      </c>
      <c r="B781" t="s">
        <v>595</v>
      </c>
      <c r="C781" t="s">
        <v>596</v>
      </c>
      <c r="D781" t="str">
        <f ca="1">IFERROR(__xludf.DUMMYFUNCTION("GOOGLETRANSLATE(B781,""es"",""en"")"),"Sunrise")</f>
        <v>Sunrise</v>
      </c>
      <c r="E781" t="str">
        <f ca="1">IFERROR(__xludf.DUMMYFUNCTION("GOOGLETRANSLATE(C781,""es"",""en"")"),"Get up ,,,,")</f>
        <v>Get up ,,,,</v>
      </c>
    </row>
    <row r="782" spans="1:5" ht="13.2" x14ac:dyDescent="0.25">
      <c r="A782" t="s">
        <v>1673</v>
      </c>
      <c r="B782" t="s">
        <v>595</v>
      </c>
      <c r="C782" t="s">
        <v>596</v>
      </c>
      <c r="D782" t="str">
        <f ca="1">IFERROR(__xludf.DUMMYFUNCTION("GOOGLETRANSLATE(B782,""es"",""en"")"),"Sunrise")</f>
        <v>Sunrise</v>
      </c>
      <c r="E782" t="str">
        <f ca="1">IFERROR(__xludf.DUMMYFUNCTION("GOOGLETRANSLATE(C782,""es"",""en"")"),"Get up ,,,,")</f>
        <v>Get up ,,,,</v>
      </c>
    </row>
    <row r="783" spans="1:5" ht="13.2" x14ac:dyDescent="0.25">
      <c r="A783" t="s">
        <v>1674</v>
      </c>
      <c r="B783" t="s">
        <v>1675</v>
      </c>
      <c r="C783" t="s">
        <v>1676</v>
      </c>
      <c r="D783" t="str">
        <f ca="1">IFERROR(__xludf.DUMMYFUNCTION("GOOGLETRANSLATE(B783,""es"",""en"")"),"Patio between houses")</f>
        <v>Patio between houses</v>
      </c>
      <c r="E783" t="str">
        <f ca="1">IFERROR(__xludf.DUMMYFUNCTION("GOOGLETRANSLATE(C783,""es"",""en"")"),"Callejas, alleys ,,,")</f>
        <v>Callejas, alleys ,,,</v>
      </c>
    </row>
    <row r="784" spans="1:5" ht="13.2" x14ac:dyDescent="0.25">
      <c r="A784" t="s">
        <v>1677</v>
      </c>
      <c r="B784" t="s">
        <v>1678</v>
      </c>
      <c r="D784" t="str">
        <f ca="1">IFERROR(__xludf.DUMMYFUNCTION("GOOGLETRANSLATE(B784,""es"",""en"")"),"Puddle")</f>
        <v>Puddle</v>
      </c>
      <c r="E784" t="str">
        <f ca="1">IFERROR(__xludf.DUMMYFUNCTION("GOOGLETRANSLATE(C784,""es"",""en"")"),"#VALUE!")</f>
        <v>#VALUE!</v>
      </c>
    </row>
    <row r="785" spans="1:5" ht="13.2" x14ac:dyDescent="0.25">
      <c r="A785" t="s">
        <v>1679</v>
      </c>
      <c r="B785" t="s">
        <v>1678</v>
      </c>
      <c r="D785" t="str">
        <f ca="1">IFERROR(__xludf.DUMMYFUNCTION("GOOGLETRANSLATE(B785,""es"",""en"")"),"Puddle")</f>
        <v>Puddle</v>
      </c>
      <c r="E785" t="str">
        <f ca="1">IFERROR(__xludf.DUMMYFUNCTION("GOOGLETRANSLATE(C785,""es"",""en"")"),"#VALUE!")</f>
        <v>#VALUE!</v>
      </c>
    </row>
    <row r="786" spans="1:5" ht="13.2" x14ac:dyDescent="0.25">
      <c r="A786" t="s">
        <v>1680</v>
      </c>
      <c r="B786" t="s">
        <v>1681</v>
      </c>
      <c r="D786" t="str">
        <f ca="1">IFERROR(__xludf.DUMMYFUNCTION("GOOGLETRANSLATE(B786,""es"",""en"")"),"Secondary jungle")</f>
        <v>Secondary jungle</v>
      </c>
      <c r="E786" t="str">
        <f ca="1">IFERROR(__xludf.DUMMYFUNCTION("GOOGLETRANSLATE(C786,""es"",""en"")"),"#VALUE!")</f>
        <v>#VALUE!</v>
      </c>
    </row>
    <row r="787" spans="1:5" ht="13.2" x14ac:dyDescent="0.25">
      <c r="A787" t="s">
        <v>1682</v>
      </c>
      <c r="B787" t="s">
        <v>1681</v>
      </c>
      <c r="D787" t="str">
        <f ca="1">IFERROR(__xludf.DUMMYFUNCTION("GOOGLETRANSLATE(B787,""es"",""en"")"),"Secondary jungle")</f>
        <v>Secondary jungle</v>
      </c>
      <c r="E787" t="str">
        <f ca="1">IFERROR(__xludf.DUMMYFUNCTION("GOOGLETRANSLATE(C787,""es"",""en"")"),"#VALUE!")</f>
        <v>#VALUE!</v>
      </c>
    </row>
    <row r="788" spans="1:5" ht="13.2" x14ac:dyDescent="0.25">
      <c r="A788" t="s">
        <v>1683</v>
      </c>
      <c r="B788" t="s">
        <v>1684</v>
      </c>
      <c r="C788" t="s">
        <v>1685</v>
      </c>
      <c r="D788" t="str">
        <f ca="1">IFERROR(__xludf.DUMMYFUNCTION("GOOGLETRANSLATE(B788,""es"",""en"")"),"Shaking")</f>
        <v>Shaking</v>
      </c>
      <c r="E788" t="str">
        <f ca="1">IFERROR(__xludf.DUMMYFUNCTION("GOOGLETRANSLATE(C788,""es"",""en"")"),"Earthquake, earthquake ,,,,")</f>
        <v>Earthquake, earthquake ,,,,</v>
      </c>
    </row>
    <row r="789" spans="1:5" ht="13.2" x14ac:dyDescent="0.25">
      <c r="A789" t="s">
        <v>1686</v>
      </c>
      <c r="B789" t="s">
        <v>1684</v>
      </c>
      <c r="C789" t="s">
        <v>1687</v>
      </c>
      <c r="D789" t="str">
        <f ca="1">IFERROR(__xludf.DUMMYFUNCTION("GOOGLETRANSLATE(B789,""es"",""en"")"),"Shaking")</f>
        <v>Shaking</v>
      </c>
      <c r="E789" t="str">
        <f ca="1">IFERROR(__xludf.DUMMYFUNCTION("GOOGLETRANSLATE(C789,""es"",""en"")"),"Earthquake, land ,,,,")</f>
        <v>Earthquake, land ,,,,</v>
      </c>
    </row>
    <row r="790" spans="1:5" ht="13.2" x14ac:dyDescent="0.25">
      <c r="A790" t="s">
        <v>1688</v>
      </c>
      <c r="B790" t="s">
        <v>1689</v>
      </c>
      <c r="C790" t="s">
        <v>1690</v>
      </c>
      <c r="D790" t="str">
        <f ca="1">IFERROR(__xludf.DUMMYFUNCTION("GOOGLETRANSLATE(B790,""es"",""en"")"),"Cane")</f>
        <v>Cane</v>
      </c>
      <c r="E790" t="str">
        <f ca="1">IFERROR(__xludf.DUMMYFUNCTION("GOOGLETRANSLATE(C790,""es"",""en"")"),"White hair, , , ,")</f>
        <v>White hair, , , ,</v>
      </c>
    </row>
    <row r="791" spans="1:5" ht="13.2" x14ac:dyDescent="0.25">
      <c r="A791" t="s">
        <v>1691</v>
      </c>
      <c r="B791" t="s">
        <v>1684</v>
      </c>
      <c r="C791" t="s">
        <v>1685</v>
      </c>
      <c r="D791" t="str">
        <f ca="1">IFERROR(__xludf.DUMMYFUNCTION("GOOGLETRANSLATE(B791,""es"",""en"")"),"Shaking")</f>
        <v>Shaking</v>
      </c>
      <c r="E791" t="str">
        <f ca="1">IFERROR(__xludf.DUMMYFUNCTION("GOOGLETRANSLATE(C791,""es"",""en"")"),"Earthquake, earthquake ,,,,")</f>
        <v>Earthquake, earthquake ,,,,</v>
      </c>
    </row>
    <row r="792" spans="1:5" ht="13.2" x14ac:dyDescent="0.25">
      <c r="A792" t="s">
        <v>1692</v>
      </c>
      <c r="B792" t="s">
        <v>1693</v>
      </c>
      <c r="D792" t="str">
        <f ca="1">IFERROR(__xludf.DUMMYFUNCTION("GOOGLETRANSLATE(B792,""es"",""en"")"),"Talingo or Changamé")</f>
        <v>Talingo or Changamé</v>
      </c>
      <c r="E792" t="str">
        <f ca="1">IFERROR(__xludf.DUMMYFUNCTION("GOOGLETRANSLATE(C792,""es"",""en"")"),"#VALUE!")</f>
        <v>#VALUE!</v>
      </c>
    </row>
    <row r="793" spans="1:5" ht="13.2" x14ac:dyDescent="0.25">
      <c r="A793" t="s">
        <v>1694</v>
      </c>
      <c r="B793" t="s">
        <v>1695</v>
      </c>
      <c r="C793" t="s">
        <v>1696</v>
      </c>
      <c r="D793" t="str">
        <f ca="1">IFERROR(__xludf.DUMMYFUNCTION("GOOGLETRANSLATE(B793,""es"",""en"")"),"Faint")</f>
        <v>Faint</v>
      </c>
      <c r="E793" t="str">
        <f ca="1">IFERROR(__xludf.DUMMYFUNCTION("GOOGLETRANSLATE(C793,""es"",""en"")"),"Lose knowledge ,,,,")</f>
        <v>Lose knowledge ,,,,</v>
      </c>
    </row>
    <row r="794" spans="1:5" ht="13.2" x14ac:dyDescent="0.25">
      <c r="A794" t="s">
        <v>1697</v>
      </c>
      <c r="B794" t="s">
        <v>1695</v>
      </c>
      <c r="C794" t="s">
        <v>1696</v>
      </c>
      <c r="D794" t="str">
        <f ca="1">IFERROR(__xludf.DUMMYFUNCTION("GOOGLETRANSLATE(B794,""es"",""en"")"),"Faint")</f>
        <v>Faint</v>
      </c>
      <c r="E794" t="str">
        <f ca="1">IFERROR(__xludf.DUMMYFUNCTION("GOOGLETRANSLATE(C794,""es"",""en"")"),"Lose knowledge ,,,,")</f>
        <v>Lose knowledge ,,,,</v>
      </c>
    </row>
    <row r="795" spans="1:5" ht="13.2" x14ac:dyDescent="0.25">
      <c r="A795" t="s">
        <v>1698</v>
      </c>
      <c r="B795" t="s">
        <v>1699</v>
      </c>
      <c r="C795" t="s">
        <v>1700</v>
      </c>
      <c r="D795" t="str">
        <f ca="1">IFERROR(__xludf.DUMMYFUNCTION("GOOGLETRANSLATE(B795,""es"",""en"")"),"Guide")</f>
        <v>Guide</v>
      </c>
      <c r="E795" t="str">
        <f ca="1">IFERROR(__xludf.DUMMYFUNCTION("GOOGLETRANSLATE(C795,""es"",""en"")"),"Serve a community ,,,,")</f>
        <v>Serve a community ,,,,</v>
      </c>
    </row>
    <row r="796" spans="1:5" ht="13.2" x14ac:dyDescent="0.25">
      <c r="A796" t="s">
        <v>1701</v>
      </c>
      <c r="B796" t="s">
        <v>1702</v>
      </c>
      <c r="D796" t="str">
        <f ca="1">IFERROR(__xludf.DUMMYFUNCTION("GOOGLETRANSLATE(B796,""es"",""en"")"),"Primary jungle")</f>
        <v>Primary jungle</v>
      </c>
      <c r="E796" t="str">
        <f ca="1">IFERROR(__xludf.DUMMYFUNCTION("GOOGLETRANSLATE(C796,""es"",""en"")"),"#VALUE!")</f>
        <v>#VALUE!</v>
      </c>
    </row>
    <row r="797" spans="1:5" ht="13.2" x14ac:dyDescent="0.25">
      <c r="A797" t="s">
        <v>1703</v>
      </c>
      <c r="B797" t="s">
        <v>1702</v>
      </c>
      <c r="D797" t="str">
        <f ca="1">IFERROR(__xludf.DUMMYFUNCTION("GOOGLETRANSLATE(B797,""es"",""en"")"),"Primary jungle")</f>
        <v>Primary jungle</v>
      </c>
      <c r="E797" t="str">
        <f ca="1">IFERROR(__xludf.DUMMYFUNCTION("GOOGLETRANSLATE(C797,""es"",""en"")"),"#VALUE!")</f>
        <v>#VALUE!</v>
      </c>
    </row>
    <row r="798" spans="1:5" ht="13.2" x14ac:dyDescent="0.25">
      <c r="A798" t="s">
        <v>1704</v>
      </c>
      <c r="B798" t="s">
        <v>1705</v>
      </c>
      <c r="C798" t="s">
        <v>1706</v>
      </c>
      <c r="D798" t="str">
        <f ca="1">IFERROR(__xludf.DUMMYFUNCTION("GOOGLETRANSLATE(B798,""es"",""en"")"),"Cemetery")</f>
        <v>Cemetery</v>
      </c>
      <c r="E798" t="str">
        <f ca="1">IFERROR(__xludf.DUMMYFUNCTION("GOOGLETRANSLATE(C798,""es"",""en"")"),"Tomb, composant ,,,,")</f>
        <v>Tomb, composant ,,,,</v>
      </c>
    </row>
    <row r="799" spans="1:5" ht="13.2" x14ac:dyDescent="0.25">
      <c r="A799" t="s">
        <v>1707</v>
      </c>
      <c r="B799" t="s">
        <v>1708</v>
      </c>
      <c r="D799" t="str">
        <f ca="1">IFERROR(__xludf.DUMMYFUNCTION("GOOGLETRANSLATE(B799,""es"",""en"")"),"Cementary")</f>
        <v>Cementary</v>
      </c>
      <c r="E799" t="str">
        <f ca="1">IFERROR(__xludf.DUMMYFUNCTION("GOOGLETRANSLATE(C799,""es"",""en"")"),"#VALUE!")</f>
        <v>#VALUE!</v>
      </c>
    </row>
    <row r="800" spans="1:5" ht="13.2" x14ac:dyDescent="0.25">
      <c r="A800" t="s">
        <v>1709</v>
      </c>
      <c r="B800" t="s">
        <v>1710</v>
      </c>
      <c r="C800" t="s">
        <v>1711</v>
      </c>
      <c r="D800" t="str">
        <f ca="1">IFERROR(__xludf.DUMMYFUNCTION("GOOGLETRANSLATE(B800,""es"",""en"")"),"Home")</f>
        <v>Home</v>
      </c>
      <c r="E800" t="str">
        <f ca="1">IFERROR(__xludf.DUMMYFUNCTION("GOOGLETRANSLATE(C800,""es"",""en"")"),"Abode ,,,,")</f>
        <v>Abode ,,,,</v>
      </c>
    </row>
    <row r="801" spans="1:5" ht="13.2" x14ac:dyDescent="0.25">
      <c r="A801" t="s">
        <v>1712</v>
      </c>
      <c r="B801" t="s">
        <v>1713</v>
      </c>
      <c r="C801" t="s">
        <v>1714</v>
      </c>
      <c r="D801" t="str">
        <f ca="1">IFERROR(__xludf.DUMMYFUNCTION("GOOGLETRANSLATE(B801,""es"",""en"")"),"Ravine")</f>
        <v>Ravine</v>
      </c>
      <c r="E801" t="str">
        <f ca="1">IFERROR(__xludf.DUMMYFUNCTION("GOOGLETRANSLATE(C801,""es"",""en"")"),"Earth depression, hollow ,,,,")</f>
        <v>Earth depression, hollow ,,,,</v>
      </c>
    </row>
    <row r="802" spans="1:5" ht="13.2" x14ac:dyDescent="0.25">
      <c r="A802" t="s">
        <v>1715</v>
      </c>
      <c r="B802" t="s">
        <v>1713</v>
      </c>
      <c r="D802" t="str">
        <f ca="1">IFERROR(__xludf.DUMMYFUNCTION("GOOGLETRANSLATE(B802,""es"",""en"")"),"Ravine")</f>
        <v>Ravine</v>
      </c>
      <c r="E802" t="str">
        <f ca="1">IFERROR(__xludf.DUMMYFUNCTION("GOOGLETRANSLATE(C802,""es"",""en"")"),"#VALUE!")</f>
        <v>#VALUE!</v>
      </c>
    </row>
    <row r="803" spans="1:5" ht="13.2" x14ac:dyDescent="0.25">
      <c r="A803" t="s">
        <v>1716</v>
      </c>
      <c r="B803" t="s">
        <v>1717</v>
      </c>
      <c r="D803" t="str">
        <f ca="1">IFERROR(__xludf.DUMMYFUNCTION("GOOGLETRANSLATE(B803,""es"",""en"")"),"Talingo Changamé")</f>
        <v>Talingo Changamé</v>
      </c>
      <c r="E803" t="str">
        <f ca="1">IFERROR(__xludf.DUMMYFUNCTION("GOOGLETRANSLATE(C803,""es"",""en"")"),"#VALUE!")</f>
        <v>#VALUE!</v>
      </c>
    </row>
    <row r="804" spans="1:5" ht="13.2" x14ac:dyDescent="0.25">
      <c r="A804" t="s">
        <v>1718</v>
      </c>
      <c r="B804" t="s">
        <v>1719</v>
      </c>
      <c r="D804" t="str">
        <f ca="1">IFERROR(__xludf.DUMMYFUNCTION("GOOGLETRANSLATE(B804,""es"",""en"")"),"Escampo")</f>
        <v>Escampo</v>
      </c>
      <c r="E804" t="str">
        <f ca="1">IFERROR(__xludf.DUMMYFUNCTION("GOOGLETRANSLATE(C804,""es"",""en"")"),"#VALUE!")</f>
        <v>#VALUE!</v>
      </c>
    </row>
    <row r="805" spans="1:5" ht="13.2" x14ac:dyDescent="0.25">
      <c r="A805" t="s">
        <v>1720</v>
      </c>
      <c r="B805" t="s">
        <v>1721</v>
      </c>
      <c r="D805" t="str">
        <f ca="1">IFERROR(__xludf.DUMMYFUNCTION("GOOGLETRANSLATE(B805,""es"",""en"")"),"Person that diagnoses diseases")</f>
        <v>Person that diagnoses diseases</v>
      </c>
      <c r="E805" t="str">
        <f ca="1">IFERROR(__xludf.DUMMYFUNCTION("GOOGLETRANSLATE(C805,""es"",""en"")"),"#VALUE!")</f>
        <v>#VALUE!</v>
      </c>
    </row>
    <row r="806" spans="1:5" ht="13.2" x14ac:dyDescent="0.25">
      <c r="A806" t="s">
        <v>1722</v>
      </c>
      <c r="B806" t="s">
        <v>1723</v>
      </c>
      <c r="C806" t="s">
        <v>1724</v>
      </c>
      <c r="D806" t="str">
        <f ca="1">IFERROR(__xludf.DUMMYFUNCTION("GOOGLETRANSLATE(B806,""es"",""en"")"),"Sage")</f>
        <v>Sage</v>
      </c>
      <c r="E806" t="str">
        <f ca="1">IFERROR(__xludf.DUMMYFUNCTION("GOOGLETRANSLATE(C806,""es"",""en"")"),"Know in depth ,,,,")</f>
        <v>Know in depth ,,,,</v>
      </c>
    </row>
    <row r="807" spans="1:5" ht="13.2" x14ac:dyDescent="0.25">
      <c r="A807" t="s">
        <v>1725</v>
      </c>
      <c r="B807" t="s">
        <v>1726</v>
      </c>
      <c r="D807" t="str">
        <f ca="1">IFERROR(__xludf.DUMMYFUNCTION("GOOGLETRANSLATE(B807,""es"",""en"")"),"Nele woman")</f>
        <v>Nele woman</v>
      </c>
      <c r="E807" t="str">
        <f ca="1">IFERROR(__xludf.DUMMYFUNCTION("GOOGLETRANSLATE(C807,""es"",""en"")"),"#VALUE!")</f>
        <v>#VALUE!</v>
      </c>
    </row>
    <row r="808" spans="1:5" ht="13.2" x14ac:dyDescent="0.25">
      <c r="A808" t="s">
        <v>1727</v>
      </c>
      <c r="B808" t="s">
        <v>1728</v>
      </c>
      <c r="C808" t="s">
        <v>1729</v>
      </c>
      <c r="D808" t="str">
        <f ca="1">IFERROR(__xludf.DUMMYFUNCTION("GOOGLETRANSLATE(B808,""es"",""en"")"),"Six")</f>
        <v>Six</v>
      </c>
      <c r="E808" t="str">
        <f ca="1">IFERROR(__xludf.DUMMYFUNCTION("GOOGLETRANSLATE(C808,""es"",""en"")"),"Sixth ,,,,")</f>
        <v>Sixth ,,,,</v>
      </c>
    </row>
    <row r="809" spans="1:5" ht="13.2" x14ac:dyDescent="0.25">
      <c r="A809" t="s">
        <v>1730</v>
      </c>
      <c r="B809" t="s">
        <v>1731</v>
      </c>
      <c r="C809" t="s">
        <v>1732</v>
      </c>
      <c r="D809" t="str">
        <f ca="1">IFERROR(__xludf.DUMMYFUNCTION("GOOGLETRANSLATE(B809,""es"",""en"")"),"Devil")</f>
        <v>Devil</v>
      </c>
      <c r="E809" t="str">
        <f ca="1">IFERROR(__xludf.DUMMYFUNCTION("GOOGLETRANSLATE(C809,""es"",""en"")"),"Satan, evil force ,,,,")</f>
        <v>Satan, evil force ,,,,</v>
      </c>
    </row>
    <row r="810" spans="1:5" ht="13.2" x14ac:dyDescent="0.25">
      <c r="A810" t="s">
        <v>1733</v>
      </c>
      <c r="B810" t="s">
        <v>1734</v>
      </c>
      <c r="C810" t="s">
        <v>1735</v>
      </c>
      <c r="D810" t="str">
        <f ca="1">IFERROR(__xludf.DUMMYFUNCTION("GOOGLETRANSLATE(B810,""es"",""en"")"),"Obscene")</f>
        <v>Obscene</v>
      </c>
      <c r="E810" t="str">
        <f ca="1">IFERROR(__xludf.DUMMYFUNCTION("GOOGLETRANSLATE(C810,""es"",""en"")"),"Rugged ,,,,")</f>
        <v>Rugged ,,,,</v>
      </c>
    </row>
    <row r="811" spans="1:5" ht="13.2" x14ac:dyDescent="0.25">
      <c r="A811" t="s">
        <v>1736</v>
      </c>
      <c r="B811" t="s">
        <v>1737</v>
      </c>
      <c r="C811" t="s">
        <v>1738</v>
      </c>
      <c r="D811" t="str">
        <f ca="1">IFERROR(__xludf.DUMMYFUNCTION("GOOGLETRANSLATE(B811,""es"",""en"")"),"Above")</f>
        <v>Above</v>
      </c>
      <c r="E811" t="str">
        <f ca="1">IFERROR(__xludf.DUMMYFUNCTION("GOOGLETRANSLATE(C811,""es"",""en"")"),"High, high ,,,")</f>
        <v>High, high ,,,</v>
      </c>
    </row>
    <row r="812" spans="1:5" ht="13.2" x14ac:dyDescent="0.25">
      <c r="A812" t="s">
        <v>1739</v>
      </c>
      <c r="B812" t="s">
        <v>1740</v>
      </c>
      <c r="D812" t="str">
        <f ca="1">IFERROR(__xludf.DUMMYFUNCTION("GOOGLETRANSLATE(B812,""es"",""en"")"),"Height")</f>
        <v>Height</v>
      </c>
      <c r="E812" t="str">
        <f ca="1">IFERROR(__xludf.DUMMYFUNCTION("GOOGLETRANSLATE(C812,""es"",""en"")"),"#VALUE!")</f>
        <v>#VALUE!</v>
      </c>
    </row>
    <row r="813" spans="1:5" ht="13.2" x14ac:dyDescent="0.25">
      <c r="A813" t="s">
        <v>1741</v>
      </c>
      <c r="B813" t="s">
        <v>1742</v>
      </c>
      <c r="D813" t="str">
        <f ca="1">IFERROR(__xludf.DUMMYFUNCTION("GOOGLETRANSLATE(B813,""es"",""en"")"),"Pound")</f>
        <v>Pound</v>
      </c>
      <c r="E813" t="str">
        <f ca="1">IFERROR(__xludf.DUMMYFUNCTION("GOOGLETRANSLATE(C813,""es"",""en"")"),"#VALUE!")</f>
        <v>#VALUE!</v>
      </c>
    </row>
    <row r="814" spans="1:5" ht="13.2" x14ac:dyDescent="0.25">
      <c r="A814" t="s">
        <v>1743</v>
      </c>
      <c r="B814" t="s">
        <v>1717</v>
      </c>
      <c r="D814" t="str">
        <f ca="1">IFERROR(__xludf.DUMMYFUNCTION("GOOGLETRANSLATE(B814,""es"",""en"")"),"Talingo Changamé")</f>
        <v>Talingo Changamé</v>
      </c>
      <c r="E814" t="str">
        <f ca="1">IFERROR(__xludf.DUMMYFUNCTION("GOOGLETRANSLATE(C814,""es"",""en"")"),"#VALUE!")</f>
        <v>#VALUE!</v>
      </c>
    </row>
    <row r="815" spans="1:5" ht="13.2" x14ac:dyDescent="0.25">
      <c r="A815" t="s">
        <v>1744</v>
      </c>
      <c r="B815" t="s">
        <v>1745</v>
      </c>
      <c r="D815" t="str">
        <f ca="1">IFERROR(__xludf.DUMMYFUNCTION("GOOGLETRANSLATE(B815,""es"",""en"")"),"Raya fish")</f>
        <v>Raya fish</v>
      </c>
      <c r="E815" t="str">
        <f ca="1">IFERROR(__xludf.DUMMYFUNCTION("GOOGLETRANSLATE(C815,""es"",""en"")"),"#VALUE!")</f>
        <v>#VALUE!</v>
      </c>
    </row>
    <row r="816" spans="1:5" ht="13.2" x14ac:dyDescent="0.25">
      <c r="A816" t="s">
        <v>1746</v>
      </c>
      <c r="B816" t="s">
        <v>1747</v>
      </c>
      <c r="C816" t="s">
        <v>1748</v>
      </c>
      <c r="D816" t="str">
        <f ca="1">IFERROR(__xludf.DUMMYFUNCTION("GOOGLETRANSLATE(B816,""es"",""en"")"),"Guide someone")</f>
        <v>Guide someone</v>
      </c>
      <c r="E816" t="str">
        <f ca="1">IFERROR(__xludf.DUMMYFUNCTION("GOOGLETRANSLATE(C816,""es"",""en"")"),"Seed outbreak ,,,,,")</f>
        <v>Seed outbreak ,,,,,</v>
      </c>
    </row>
    <row r="817" spans="1:5" ht="13.2" x14ac:dyDescent="0.25">
      <c r="A817" t="s">
        <v>1749</v>
      </c>
      <c r="B817" t="s">
        <v>1750</v>
      </c>
      <c r="C817" t="s">
        <v>1751</v>
      </c>
      <c r="D817" t="str">
        <f ca="1">IFERROR(__xludf.DUMMYFUNCTION("GOOGLETRANSLATE(B817,""es"",""en"")"),"Nephew")</f>
        <v>Nephew</v>
      </c>
      <c r="E817" t="str">
        <f ca="1">IFERROR(__xludf.DUMMYFUNCTION("GOOGLETRANSLATE(C817,""es"",""en"")"),"Breath, vigor ,,,")</f>
        <v>Breath, vigor ,,,</v>
      </c>
    </row>
    <row r="818" spans="1:5" ht="13.2" x14ac:dyDescent="0.25">
      <c r="A818" t="s">
        <v>1752</v>
      </c>
      <c r="B818" t="s">
        <v>1753</v>
      </c>
      <c r="C818" t="s">
        <v>1754</v>
      </c>
      <c r="D818" t="str">
        <f ca="1">IFERROR(__xludf.DUMMYFUNCTION("GOOGLETRANSLATE(B818,""es"",""en"")"),"There is")</f>
        <v>There is</v>
      </c>
      <c r="E818" t="str">
        <f ca="1">IFERROR(__xludf.DUMMYFUNCTION("GOOGLETRANSLATE(C818,""es"",""en"")"),"For nephew ,,,,")</f>
        <v>For nephew ,,,,</v>
      </c>
    </row>
    <row r="819" spans="1:5" ht="13.2" x14ac:dyDescent="0.25">
      <c r="A819" t="s">
        <v>1755</v>
      </c>
      <c r="B819" t="s">
        <v>1756</v>
      </c>
      <c r="D819" t="str">
        <f ca="1">IFERROR(__xludf.DUMMYFUNCTION("GOOGLETRANSLATE(B819,""es"",""en"")"),"Jaiba")</f>
        <v>Jaiba</v>
      </c>
      <c r="E819" t="str">
        <f ca="1">IFERROR(__xludf.DUMMYFUNCTION("GOOGLETRANSLATE(C819,""es"",""en"")"),"#VALUE!")</f>
        <v>#VALUE!</v>
      </c>
    </row>
    <row r="820" spans="1:5" ht="13.2" x14ac:dyDescent="0.25">
      <c r="A820" t="s">
        <v>1757</v>
      </c>
      <c r="B820" t="s">
        <v>1756</v>
      </c>
      <c r="D820" t="str">
        <f ca="1">IFERROR(__xludf.DUMMYFUNCTION("GOOGLETRANSLATE(B820,""es"",""en"")"),"Jaiba")</f>
        <v>Jaiba</v>
      </c>
      <c r="E820" t="str">
        <f ca="1">IFERROR(__xludf.DUMMYFUNCTION("GOOGLETRANSLATE(C820,""es"",""en"")"),"#VALUE!")</f>
        <v>#VALUE!</v>
      </c>
    </row>
    <row r="821" spans="1:5" ht="13.2" x14ac:dyDescent="0.25">
      <c r="A821" t="s">
        <v>1758</v>
      </c>
      <c r="B821" t="s">
        <v>1759</v>
      </c>
      <c r="C821" t="s">
        <v>1760</v>
      </c>
      <c r="D821" t="str">
        <f ca="1">IFERROR(__xludf.DUMMYFUNCTION("GOOGLETRANSLATE(B821,""es"",""en"")"),"Invite")</f>
        <v>Invite</v>
      </c>
      <c r="E821" t="str">
        <f ca="1">IFERROR(__xludf.DUMMYFUNCTION("GOOGLETRANSLATE(C821,""es"",""en"")"),"Call, , , ,")</f>
        <v>Call, , , ,</v>
      </c>
    </row>
    <row r="822" spans="1:5" ht="13.2" x14ac:dyDescent="0.25">
      <c r="A822" t="s">
        <v>1761</v>
      </c>
      <c r="B822" t="s">
        <v>1759</v>
      </c>
      <c r="D822" t="str">
        <f ca="1">IFERROR(__xludf.DUMMYFUNCTION("GOOGLETRANSLATE(B822,""es"",""en"")"),"Invite")</f>
        <v>Invite</v>
      </c>
      <c r="E822" t="str">
        <f ca="1">IFERROR(__xludf.DUMMYFUNCTION("GOOGLETRANSLATE(C822,""es"",""en"")"),"#VALUE!")</f>
        <v>#VALUE!</v>
      </c>
    </row>
    <row r="823" spans="1:5" ht="13.2" x14ac:dyDescent="0.25">
      <c r="A823" t="s">
        <v>1762</v>
      </c>
      <c r="B823" t="s">
        <v>1759</v>
      </c>
      <c r="C823" t="s">
        <v>1760</v>
      </c>
      <c r="D823" t="str">
        <f ca="1">IFERROR(__xludf.DUMMYFUNCTION("GOOGLETRANSLATE(B823,""es"",""en"")"),"Invite")</f>
        <v>Invite</v>
      </c>
      <c r="E823" t="str">
        <f ca="1">IFERROR(__xludf.DUMMYFUNCTION("GOOGLETRANSLATE(C823,""es"",""en"")"),"Call, , , ,")</f>
        <v>Call, , , ,</v>
      </c>
    </row>
    <row r="824" spans="1:5" ht="13.2" x14ac:dyDescent="0.25">
      <c r="A824" t="s">
        <v>1763</v>
      </c>
      <c r="B824" t="s">
        <v>1764</v>
      </c>
      <c r="C824" t="s">
        <v>1765</v>
      </c>
      <c r="D824" t="str">
        <f ca="1">IFERROR(__xludf.DUMMYFUNCTION("GOOGLETRANSLATE(B824,""es"",""en"")"),"Possess")</f>
        <v>Possess</v>
      </c>
      <c r="E824" t="str">
        <f ca="1">IFERROR(__xludf.DUMMYFUNCTION("GOOGLETRANSLATE(C824,""es"",""en"")"),"Have, have, get ,,")</f>
        <v>Have, have, get ,,</v>
      </c>
    </row>
    <row r="825" spans="1:5" ht="13.2" x14ac:dyDescent="0.25">
      <c r="A825" t="s">
        <v>1766</v>
      </c>
      <c r="B825" t="s">
        <v>1767</v>
      </c>
      <c r="D825" t="str">
        <f ca="1">IFERROR(__xludf.DUMMYFUNCTION("GOOGLETRANSLATE(B825,""es"",""en"")"),"Talingo")</f>
        <v>Talingo</v>
      </c>
      <c r="E825" t="str">
        <f ca="1">IFERROR(__xludf.DUMMYFUNCTION("GOOGLETRANSLATE(C825,""es"",""en"")"),"#VALUE!")</f>
        <v>#VALUE!</v>
      </c>
    </row>
    <row r="826" spans="1:5" ht="13.2" x14ac:dyDescent="0.25">
      <c r="A826" t="s">
        <v>1768</v>
      </c>
      <c r="B826" t="s">
        <v>1769</v>
      </c>
      <c r="D826" t="str">
        <f ca="1">IFERROR(__xludf.DUMMYFUNCTION("GOOGLETRANSLATE(B826,""es"",""en"")"),"Moon")</f>
        <v>Moon</v>
      </c>
      <c r="E826" t="str">
        <f ca="1">IFERROR(__xludf.DUMMYFUNCTION("GOOGLETRANSLATE(C826,""es"",""en"")"),"#VALUE!")</f>
        <v>#VALUE!</v>
      </c>
    </row>
    <row r="827" spans="1:5" ht="13.2" x14ac:dyDescent="0.25">
      <c r="A827" t="s">
        <v>1770</v>
      </c>
      <c r="B827" t="s">
        <v>1771</v>
      </c>
      <c r="D827" t="str">
        <f ca="1">IFERROR(__xludf.DUMMYFUNCTION("GOOGLETRANSLATE(B827,""es"",""en"")"),"Eclipse place")</f>
        <v>Eclipse place</v>
      </c>
      <c r="E827" t="str">
        <f ca="1">IFERROR(__xludf.DUMMYFUNCTION("GOOGLETRANSLATE(C827,""es"",""en"")"),"#VALUE!")</f>
        <v>#VALUE!</v>
      </c>
    </row>
    <row r="828" spans="1:5" ht="13.2" x14ac:dyDescent="0.25">
      <c r="A828" t="s">
        <v>1772</v>
      </c>
      <c r="B828" t="s">
        <v>1773</v>
      </c>
      <c r="D828" t="str">
        <f ca="1">IFERROR(__xludf.DUMMYFUNCTION("GOOGLETRANSLATE(B828,""es"",""en"")"),"Rich rich banana")</f>
        <v>Rich rich banana</v>
      </c>
      <c r="E828" t="str">
        <f ca="1">IFERROR(__xludf.DUMMYFUNCTION("GOOGLETRANSLATE(C828,""es"",""en"")"),"#VALUE!")</f>
        <v>#VALUE!</v>
      </c>
    </row>
    <row r="829" spans="1:5" ht="13.2" x14ac:dyDescent="0.25">
      <c r="A829" t="s">
        <v>1774</v>
      </c>
      <c r="B829" t="s">
        <v>1775</v>
      </c>
      <c r="D829" t="s">
        <v>1776</v>
      </c>
      <c r="E829" t="str">
        <f ca="1">IFERROR(__xludf.DUMMYFUNCTION("GOOGLETRANSLATE(C829,""es"",""en"")"),"#VALUE!")</f>
        <v>#VALUE!</v>
      </c>
    </row>
    <row r="830" spans="1:5" ht="13.2" x14ac:dyDescent="0.25">
      <c r="A830" t="s">
        <v>1777</v>
      </c>
      <c r="B830" t="s">
        <v>1734</v>
      </c>
      <c r="D830" t="str">
        <f ca="1">IFERROR(__xludf.DUMMYFUNCTION("GOOGLETRANSLATE(B830,""es"",""en"")"),"Obscene")</f>
        <v>Obscene</v>
      </c>
      <c r="E830" t="str">
        <f ca="1">IFERROR(__xludf.DUMMYFUNCTION("GOOGLETRANSLATE(C830,""es"",""en"")"),"#VALUE!")</f>
        <v>#VALUE!</v>
      </c>
    </row>
    <row r="831" spans="1:5" ht="13.2" x14ac:dyDescent="0.25">
      <c r="A831" t="s">
        <v>1774</v>
      </c>
      <c r="B831" t="s">
        <v>1778</v>
      </c>
      <c r="D831" t="str">
        <f ca="1">IFERROR(__xludf.DUMMYFUNCTION("GOOGLETRANSLATE(B831,""es"",""en"")"),"Wet")</f>
        <v>Wet</v>
      </c>
      <c r="E831" t="str">
        <f ca="1">IFERROR(__xludf.DUMMYFUNCTION("GOOGLETRANSLATE(C831,""es"",""en"")"),"#VALUE!")</f>
        <v>#VALUE!</v>
      </c>
    </row>
    <row r="832" spans="1:5" ht="13.2" x14ac:dyDescent="0.25">
      <c r="A832" t="s">
        <v>1779</v>
      </c>
      <c r="B832" t="s">
        <v>1780</v>
      </c>
      <c r="D832" t="s">
        <v>1781</v>
      </c>
      <c r="E832" t="str">
        <f ca="1">IFERROR(__xludf.DUMMYFUNCTION("GOOGLETRANSLATE(C832,""es"",""en"")"),"#VALUE!")</f>
        <v>#VALUE!</v>
      </c>
    </row>
    <row r="833" spans="1:5" ht="13.2" x14ac:dyDescent="0.25">
      <c r="A833" t="s">
        <v>1782</v>
      </c>
      <c r="B833" t="s">
        <v>1778</v>
      </c>
      <c r="C833" t="s">
        <v>1783</v>
      </c>
      <c r="D833" t="str">
        <f ca="1">IFERROR(__xludf.DUMMYFUNCTION("GOOGLETRANSLATE(B833,""es"",""en"")"),"Wet")</f>
        <v>Wet</v>
      </c>
      <c r="E833" t="str">
        <f ca="1">IFERROR(__xludf.DUMMYFUNCTION("GOOGLETRANSLATE(C833,""es"",""en"")"),"Soggy, , , ,")</f>
        <v>Soggy, , , ,</v>
      </c>
    </row>
    <row r="834" spans="1:5" ht="13.2" x14ac:dyDescent="0.25">
      <c r="A834" t="s">
        <v>1784</v>
      </c>
      <c r="B834" t="s">
        <v>1785</v>
      </c>
      <c r="D834" t="str">
        <f ca="1">IFERROR(__xludf.DUMMYFUNCTION("GOOGLETRANSLATE(B834,""es"",""en"")"),"Star")</f>
        <v>Star</v>
      </c>
      <c r="E834" t="str">
        <f ca="1">IFERROR(__xludf.DUMMYFUNCTION("GOOGLETRANSLATE(C834,""es"",""en"")"),"#VALUE!")</f>
        <v>#VALUE!</v>
      </c>
    </row>
    <row r="835" spans="1:5" ht="13.2" x14ac:dyDescent="0.25">
      <c r="A835" t="s">
        <v>1786</v>
      </c>
      <c r="B835" t="s">
        <v>1787</v>
      </c>
      <c r="C835" t="s">
        <v>1788</v>
      </c>
      <c r="D835" t="str">
        <f ca="1">IFERROR(__xludf.DUMMYFUNCTION("GOOGLETRANSLATE(B835,""es"",""en"")"),"Incorrect")</f>
        <v>Incorrect</v>
      </c>
      <c r="E835" t="str">
        <f ca="1">IFERROR(__xludf.DUMMYFUNCTION("GOOGLETRANSLATE(C835,""es"",""en"")"),"Fake, , , ,")</f>
        <v>Fake, , , ,</v>
      </c>
    </row>
    <row r="836" spans="1:5" ht="13.2" x14ac:dyDescent="0.25">
      <c r="A836" t="s">
        <v>1789</v>
      </c>
      <c r="B836" t="s">
        <v>1787</v>
      </c>
      <c r="C836" t="s">
        <v>1788</v>
      </c>
      <c r="D836" t="str">
        <f ca="1">IFERROR(__xludf.DUMMYFUNCTION("GOOGLETRANSLATE(B836,""es"",""en"")"),"Incorrect")</f>
        <v>Incorrect</v>
      </c>
      <c r="E836" t="str">
        <f ca="1">IFERROR(__xludf.DUMMYFUNCTION("GOOGLETRANSLATE(C836,""es"",""en"")"),"Fake, , , ,")</f>
        <v>Fake, , , ,</v>
      </c>
    </row>
    <row r="837" spans="1:5" ht="13.2" x14ac:dyDescent="0.25">
      <c r="A837" t="s">
        <v>1790</v>
      </c>
      <c r="B837" t="s">
        <v>1791</v>
      </c>
      <c r="C837" t="s">
        <v>1792</v>
      </c>
      <c r="D837" t="str">
        <f ca="1">IFERROR(__xludf.DUMMYFUNCTION("GOOGLETRANSLATE(B837,""es"",""en"")"),"Zeal")</f>
        <v>Zeal</v>
      </c>
      <c r="E837" t="str">
        <f ca="1">IFERROR(__xludf.DUMMYFUNCTION("GOOGLETRANSLATE(C837,""es"",""en"")"),"Envy, , , ,")</f>
        <v>Envy, , , ,</v>
      </c>
    </row>
    <row r="838" spans="1:5" ht="13.2" x14ac:dyDescent="0.25">
      <c r="A838" t="s">
        <v>1590</v>
      </c>
      <c r="B838" t="s">
        <v>1570</v>
      </c>
      <c r="D838" t="str">
        <f ca="1">IFERROR(__xludf.DUMMYFUNCTION("GOOGLETRANSLATE(B838,""es"",""en"")"),"Aunt")</f>
        <v>Aunt</v>
      </c>
      <c r="E838" t="str">
        <f ca="1">IFERROR(__xludf.DUMMYFUNCTION("GOOGLETRANSLATE(C838,""es"",""en"")"),"#VALUE!")</f>
        <v>#VALUE!</v>
      </c>
    </row>
    <row r="839" spans="1:5" ht="13.2" x14ac:dyDescent="0.25">
      <c r="A839" t="s">
        <v>1793</v>
      </c>
      <c r="B839" t="s">
        <v>891</v>
      </c>
      <c r="C839" t="s">
        <v>1794</v>
      </c>
      <c r="D839" t="str">
        <f ca="1">IFERROR(__xludf.DUMMYFUNCTION("GOOGLETRANSLATE(B839,""es"",""en"")"),"Go out")</f>
        <v>Go out</v>
      </c>
      <c r="E839" t="str">
        <f ca="1">IFERROR(__xludf.DUMMYFUNCTION("GOOGLETRANSLATE(C839,""es"",""en"")"),"Err, wrong ,,,,")</f>
        <v>Err, wrong ,,,,</v>
      </c>
    </row>
    <row r="840" spans="1:5" ht="13.2" x14ac:dyDescent="0.25">
      <c r="A840" t="s">
        <v>1795</v>
      </c>
      <c r="B840" t="s">
        <v>1796</v>
      </c>
      <c r="C840" t="s">
        <v>1797</v>
      </c>
      <c r="D840" t="str">
        <f ca="1">IFERROR(__xludf.DUMMYFUNCTION("GOOGLETRANSLATE(B840,""es"",""en"")"),"Cup")</f>
        <v>Cup</v>
      </c>
      <c r="E840" t="str">
        <f ca="1">IFERROR(__xludf.DUMMYFUNCTION("GOOGLETRANSLATE(C840,""es"",""en"")"),"TOTUMA ,,,,")</f>
        <v>TOTUMA ,,,,</v>
      </c>
    </row>
    <row r="841" spans="1:5" ht="13.2" x14ac:dyDescent="0.25">
      <c r="A841" t="s">
        <v>1798</v>
      </c>
      <c r="B841" t="s">
        <v>1796</v>
      </c>
      <c r="C841" t="s">
        <v>1797</v>
      </c>
      <c r="D841" t="str">
        <f ca="1">IFERROR(__xludf.DUMMYFUNCTION("GOOGLETRANSLATE(B841,""es"",""en"")"),"Cup")</f>
        <v>Cup</v>
      </c>
      <c r="E841" t="str">
        <f ca="1">IFERROR(__xludf.DUMMYFUNCTION("GOOGLETRANSLATE(C841,""es"",""en"")"),"TOTUMA ,,,,")</f>
        <v>TOTUMA ,,,,</v>
      </c>
    </row>
    <row r="842" spans="1:5" ht="13.2" x14ac:dyDescent="0.25">
      <c r="A842" t="s">
        <v>1799</v>
      </c>
      <c r="B842" t="s">
        <v>1800</v>
      </c>
      <c r="C842" t="s">
        <v>1801</v>
      </c>
      <c r="D842" t="s">
        <v>1802</v>
      </c>
      <c r="E842" t="str">
        <f ca="1">IFERROR(__xludf.DUMMYFUNCTION("GOOGLETRANSLATE(C842,""es"",""en"")"),"Cleft ,,,,")</f>
        <v>Cleft ,,,,</v>
      </c>
    </row>
    <row r="843" spans="1:5" ht="13.2" x14ac:dyDescent="0.25">
      <c r="A843" t="s">
        <v>1803</v>
      </c>
      <c r="B843" t="s">
        <v>1800</v>
      </c>
      <c r="C843" t="s">
        <v>1801</v>
      </c>
      <c r="D843" t="s">
        <v>1802</v>
      </c>
      <c r="E843" t="str">
        <f ca="1">IFERROR(__xludf.DUMMYFUNCTION("GOOGLETRANSLATE(C843,""es"",""en"")"),"Cleft ,,,,")</f>
        <v>Cleft ,,,,</v>
      </c>
    </row>
    <row r="844" spans="1:5" ht="13.2" x14ac:dyDescent="0.25">
      <c r="A844" t="s">
        <v>1804</v>
      </c>
      <c r="B844" t="s">
        <v>1805</v>
      </c>
      <c r="D844" t="s">
        <v>1806</v>
      </c>
      <c r="E844" t="str">
        <f ca="1">IFERROR(__xludf.DUMMYFUNCTION("GOOGLETRANSLATE(C844,""es"",""en"")"),"#VALUE!")</f>
        <v>#VALUE!</v>
      </c>
    </row>
    <row r="845" spans="1:5" ht="13.2" x14ac:dyDescent="0.25">
      <c r="A845" t="s">
        <v>1807</v>
      </c>
      <c r="B845" t="s">
        <v>1808</v>
      </c>
      <c r="D845" t="s">
        <v>1809</v>
      </c>
      <c r="E845" t="str">
        <f ca="1">IFERROR(__xludf.DUMMYFUNCTION("GOOGLETRANSLATE(C845,""es"",""en"")"),"#VALUE!")</f>
        <v>#VALUE!</v>
      </c>
    </row>
    <row r="846" spans="1:5" ht="13.2" x14ac:dyDescent="0.25">
      <c r="A846" t="s">
        <v>1810</v>
      </c>
      <c r="B846" t="s">
        <v>1811</v>
      </c>
      <c r="C846" t="s">
        <v>1812</v>
      </c>
      <c r="D846" t="str">
        <f ca="1">IFERROR(__xludf.DUMMYFUNCTION("GOOGLETRANSLATE(B846,""es"",""en"")"),"Frog")</f>
        <v>Frog</v>
      </c>
      <c r="E846" t="s">
        <v>1813</v>
      </c>
    </row>
    <row r="847" spans="1:5" ht="13.2" x14ac:dyDescent="0.25">
      <c r="A847" t="s">
        <v>1814</v>
      </c>
      <c r="B847" t="s">
        <v>1815</v>
      </c>
      <c r="D847" t="s">
        <v>1816</v>
      </c>
      <c r="E847" t="str">
        <f ca="1">IFERROR(__xludf.DUMMYFUNCTION("GOOGLETRANSLATE(C847,""es"",""en"")"),"#VALUE!")</f>
        <v>#VALUE!</v>
      </c>
    </row>
    <row r="848" spans="1:5" ht="13.2" x14ac:dyDescent="0.25">
      <c r="A848" t="s">
        <v>1817</v>
      </c>
      <c r="B848" t="s">
        <v>1818</v>
      </c>
      <c r="C848" t="s">
        <v>1819</v>
      </c>
      <c r="D848" t="str">
        <f ca="1">IFERROR(__xludf.DUMMYFUNCTION("GOOGLETRANSLATE(B848,""es"",""en"")"),"Ladle")</f>
        <v>Ladle</v>
      </c>
      <c r="E848" t="str">
        <f ca="1">IFERROR(__xludf.DUMMYFUNCTION("GOOGLETRANSLATE(C848,""es"",""en"")"),"Cacillo, saucepan ,,,,")</f>
        <v>Cacillo, saucepan ,,,,</v>
      </c>
    </row>
    <row r="849" spans="1:5" ht="13.2" x14ac:dyDescent="0.25">
      <c r="A849" t="s">
        <v>1614</v>
      </c>
      <c r="B849" t="s">
        <v>1820</v>
      </c>
      <c r="D849" t="str">
        <f ca="1">IFERROR(__xludf.DUMMYFUNCTION("GOOGLETRANSLATE(B849,""es"",""en"")"),"Aunt")</f>
        <v>Aunt</v>
      </c>
      <c r="E849" t="str">
        <f ca="1">IFERROR(__xludf.DUMMYFUNCTION("GOOGLETRANSLATE(C849,""es"",""en"")"),"#VALUE!")</f>
        <v>#VALUE!</v>
      </c>
    </row>
    <row r="850" spans="1:5" ht="13.2" x14ac:dyDescent="0.25">
      <c r="A850" t="s">
        <v>1821</v>
      </c>
      <c r="B850" t="s">
        <v>1822</v>
      </c>
      <c r="C850" t="s">
        <v>1819</v>
      </c>
      <c r="D850" t="str">
        <f ca="1">IFERROR(__xludf.DUMMYFUNCTION("GOOGLETRANSLATE(B850,""es"",""en"")"),"Ladle")</f>
        <v>Ladle</v>
      </c>
      <c r="E850" t="str">
        <f ca="1">IFERROR(__xludf.DUMMYFUNCTION("GOOGLETRANSLATE(C850,""es"",""en"")"),"Cacillo, saucepan ,,,,")</f>
        <v>Cacillo, saucepan ,,,,</v>
      </c>
    </row>
    <row r="851" spans="1:5" ht="13.2" x14ac:dyDescent="0.25">
      <c r="A851" t="s">
        <v>1823</v>
      </c>
      <c r="B851" t="s">
        <v>1822</v>
      </c>
      <c r="C851" t="s">
        <v>1819</v>
      </c>
      <c r="D851" t="str">
        <f ca="1">IFERROR(__xludf.DUMMYFUNCTION("GOOGLETRANSLATE(B851,""es"",""en"")"),"Ladle")</f>
        <v>Ladle</v>
      </c>
      <c r="E851" t="str">
        <f ca="1">IFERROR(__xludf.DUMMYFUNCTION("GOOGLETRANSLATE(C851,""es"",""en"")"),"Cacillo, saucepan ,,,,")</f>
        <v>Cacillo, saucepan ,,,,</v>
      </c>
    </row>
    <row r="852" spans="1:5" ht="13.2" x14ac:dyDescent="0.25">
      <c r="A852" t="s">
        <v>1275</v>
      </c>
      <c r="B852" t="s">
        <v>1272</v>
      </c>
      <c r="C852" t="s">
        <v>1824</v>
      </c>
      <c r="D852" t="str">
        <f ca="1">IFERROR(__xludf.DUMMYFUNCTION("GOOGLETRANSLATE(B852,""es"",""en"")"),"Weak")</f>
        <v>Weak</v>
      </c>
      <c r="E852" t="str">
        <f ca="1">IFERROR(__xludf.DUMMYFUNCTION("GOOGLETRANSLATE(C852,""es"",""en"")"),"Numb ,,,,")</f>
        <v>Numb ,,,,</v>
      </c>
    </row>
    <row r="853" spans="1:5" ht="13.2" x14ac:dyDescent="0.25">
      <c r="A853" t="s">
        <v>1271</v>
      </c>
      <c r="B853" t="s">
        <v>1272</v>
      </c>
      <c r="C853" t="s">
        <v>1276</v>
      </c>
      <c r="D853" t="str">
        <f ca="1">IFERROR(__xludf.DUMMYFUNCTION("GOOGLETRANSLATE(B853,""es"",""en"")"),"Weak")</f>
        <v>Weak</v>
      </c>
      <c r="E853" t="str">
        <f ca="1">IFERROR(__xludf.DUMMYFUNCTION("GOOGLETRANSLATE(C853,""es"",""en"")"),"Sleepy ,,,,")</f>
        <v>Sleepy ,,,,</v>
      </c>
    </row>
    <row r="854" spans="1:5" ht="13.2" x14ac:dyDescent="0.25">
      <c r="A854" t="s">
        <v>1825</v>
      </c>
      <c r="B854" t="s">
        <v>1826</v>
      </c>
      <c r="C854" t="s">
        <v>1827</v>
      </c>
      <c r="D854" t="str">
        <f ca="1">IFERROR(__xludf.DUMMYFUNCTION("GOOGLETRANSLATE(B854,""es"",""en"")"),"Energetic")</f>
        <v>Energetic</v>
      </c>
      <c r="E854" t="str">
        <f ca="1">IFERROR(__xludf.DUMMYFUNCTION("GOOGLETRANSLATE(C854,""es"",""en"")"),"Vigorous ,,,,")</f>
        <v>Vigorous ,,,,</v>
      </c>
    </row>
    <row r="855" spans="1:5" ht="13.2" x14ac:dyDescent="0.25">
      <c r="A855" t="s">
        <v>1828</v>
      </c>
      <c r="B855" t="s">
        <v>1829</v>
      </c>
      <c r="D855" t="str">
        <f ca="1">IFERROR(__xludf.DUMMYFUNCTION("GOOGLETRANSLATE(B855,""es"",""en"")"),"Skull")</f>
        <v>Skull</v>
      </c>
      <c r="E855" t="str">
        <f ca="1">IFERROR(__xludf.DUMMYFUNCTION("GOOGLETRANSLATE(C855,""es"",""en"")"),"#VALUE!")</f>
        <v>#VALUE!</v>
      </c>
    </row>
    <row r="856" spans="1:5" ht="13.2" x14ac:dyDescent="0.25">
      <c r="A856" t="s">
        <v>1830</v>
      </c>
      <c r="B856" t="s">
        <v>1831</v>
      </c>
      <c r="C856" t="s">
        <v>1832</v>
      </c>
      <c r="D856" t="s">
        <v>1833</v>
      </c>
      <c r="E856" t="s">
        <v>1834</v>
      </c>
    </row>
    <row r="857" spans="1:5" ht="13.2" x14ac:dyDescent="0.25">
      <c r="A857" t="s">
        <v>1835</v>
      </c>
      <c r="B857" t="s">
        <v>1836</v>
      </c>
      <c r="C857" t="s">
        <v>1837</v>
      </c>
      <c r="D857" t="str">
        <f ca="1">IFERROR(__xludf.DUMMYFUNCTION("GOOGLETRANSLATE(B857,""es"",""en"")"),"Head")</f>
        <v>Head</v>
      </c>
      <c r="E857" t="str">
        <f ca="1">IFERROR(__xludf.DUMMYFUNCTION("GOOGLETRANSLATE(C857,""es"",""en"")"),"Skull, , , ,")</f>
        <v>Skull, , , ,</v>
      </c>
    </row>
    <row r="858" spans="1:5" ht="13.2" x14ac:dyDescent="0.25">
      <c r="A858" t="s">
        <v>1838</v>
      </c>
      <c r="B858" t="s">
        <v>1839</v>
      </c>
      <c r="D858" t="str">
        <f ca="1">IFERROR(__xludf.DUMMYFUNCTION("GOOGLETRANSLATE(B858,""es"",""en"")"),"Brain")</f>
        <v>Brain</v>
      </c>
      <c r="E858" t="str">
        <f ca="1">IFERROR(__xludf.DUMMYFUNCTION("GOOGLETRANSLATE(C858,""es"",""en"")"),"#VALUE!")</f>
        <v>#VALUE!</v>
      </c>
    </row>
    <row r="859" spans="1:5" ht="13.2" x14ac:dyDescent="0.25">
      <c r="A859" t="s">
        <v>1840</v>
      </c>
      <c r="B859" t="s">
        <v>1689</v>
      </c>
      <c r="C859" t="s">
        <v>1690</v>
      </c>
      <c r="D859" t="s">
        <v>1841</v>
      </c>
      <c r="E859" t="str">
        <f ca="1">IFERROR(__xludf.DUMMYFUNCTION("GOOGLETRANSLATE(C859,""es"",""en"")"),"White hair, , , ,")</f>
        <v>White hair, , , ,</v>
      </c>
    </row>
    <row r="860" spans="1:5" ht="13.2" x14ac:dyDescent="0.25">
      <c r="A860" t="s">
        <v>184</v>
      </c>
      <c r="B860" t="s">
        <v>1570</v>
      </c>
      <c r="D860" t="str">
        <f ca="1">IFERROR(__xludf.DUMMYFUNCTION("GOOGLETRANSLATE(B860,""es"",""en"")"),"Aunt")</f>
        <v>Aunt</v>
      </c>
      <c r="E860" t="str">
        <f ca="1">IFERROR(__xludf.DUMMYFUNCTION("GOOGLETRANSLATE(C860,""es"",""en"")"),"#VALUE!")</f>
        <v>#VALUE!</v>
      </c>
    </row>
    <row r="861" spans="1:5" ht="13.2" x14ac:dyDescent="0.25">
      <c r="A861" t="s">
        <v>1842</v>
      </c>
      <c r="B861" t="s">
        <v>1843</v>
      </c>
      <c r="C861" t="s">
        <v>1844</v>
      </c>
      <c r="D861" t="str">
        <f ca="1">IFERROR(__xludf.DUMMYFUNCTION("GOOGLETRANSLATE(B861,""es"",""en"")"),"Bald")</f>
        <v>Bald</v>
      </c>
      <c r="E861" t="s">
        <v>1845</v>
      </c>
    </row>
    <row r="862" spans="1:5" ht="13.2" x14ac:dyDescent="0.25">
      <c r="A862" t="s">
        <v>1846</v>
      </c>
      <c r="B862" t="s">
        <v>1843</v>
      </c>
      <c r="D862" t="str">
        <f ca="1">IFERROR(__xludf.DUMMYFUNCTION("GOOGLETRANSLATE(B862,""es"",""en"")"),"Bald")</f>
        <v>Bald</v>
      </c>
      <c r="E862" t="str">
        <f ca="1">IFERROR(__xludf.DUMMYFUNCTION("GOOGLETRANSLATE(C862,""es"",""en"")"),"#VALUE!")</f>
        <v>#VALUE!</v>
      </c>
    </row>
    <row r="863" spans="1:5" ht="13.2" x14ac:dyDescent="0.25">
      <c r="A863" t="s">
        <v>1847</v>
      </c>
      <c r="B863" t="s">
        <v>1848</v>
      </c>
      <c r="D863" t="str">
        <f ca="1">IFERROR(__xludf.DUMMYFUNCTION("GOOGLETRANSLATE(B863,""es"",""en"")"),"Toad")</f>
        <v>Toad</v>
      </c>
      <c r="E863" t="str">
        <f ca="1">IFERROR(__xludf.DUMMYFUNCTION("GOOGLETRANSLATE(C863,""es"",""en"")"),"#VALUE!")</f>
        <v>#VALUE!</v>
      </c>
    </row>
    <row r="864" spans="1:5" ht="13.2" x14ac:dyDescent="0.25">
      <c r="A864" t="s">
        <v>1849</v>
      </c>
      <c r="B864" t="s">
        <v>1848</v>
      </c>
      <c r="D864" t="str">
        <f ca="1">IFERROR(__xludf.DUMMYFUNCTION("GOOGLETRANSLATE(B864,""es"",""en"")"),"Toad")</f>
        <v>Toad</v>
      </c>
      <c r="E864" t="str">
        <f ca="1">IFERROR(__xludf.DUMMYFUNCTION("GOOGLETRANSLATE(C864,""es"",""en"")"),"#VALUE!")</f>
        <v>#VALUE!</v>
      </c>
    </row>
    <row r="865" spans="1:5" ht="13.2" x14ac:dyDescent="0.25">
      <c r="A865" t="s">
        <v>1850</v>
      </c>
      <c r="B865" t="s">
        <v>1851</v>
      </c>
      <c r="C865" t="s">
        <v>1852</v>
      </c>
      <c r="D865" t="str">
        <f ca="1">IFERROR(__xludf.DUMMYFUNCTION("GOOGLETRANSLATE(B865,""es"",""en"")"),"Rabbit")</f>
        <v>Rabbit</v>
      </c>
      <c r="E865" t="str">
        <f ca="1">IFERROR(__xludf.DUMMYFUNCTION("GOOGLETRANSLATE(C865,""es"",""en"")"),"Hare, , , ,")</f>
        <v>Hare, , , ,</v>
      </c>
    </row>
    <row r="866" spans="1:5" ht="13.2" x14ac:dyDescent="0.25">
      <c r="A866" t="s">
        <v>1853</v>
      </c>
      <c r="B866" t="s">
        <v>1851</v>
      </c>
      <c r="C866" t="s">
        <v>1852</v>
      </c>
      <c r="D866" t="str">
        <f ca="1">IFERROR(__xludf.DUMMYFUNCTION("GOOGLETRANSLATE(B866,""es"",""en"")"),"Rabbit")</f>
        <v>Rabbit</v>
      </c>
      <c r="E866" t="str">
        <f ca="1">IFERROR(__xludf.DUMMYFUNCTION("GOOGLETRANSLATE(C866,""es"",""en"")"),"Hare, , , ,")</f>
        <v>Hare, , , ,</v>
      </c>
    </row>
    <row r="867" spans="1:5" ht="13.2" x14ac:dyDescent="0.25">
      <c r="A867" t="s">
        <v>1854</v>
      </c>
      <c r="B867" t="s">
        <v>1855</v>
      </c>
      <c r="C867" t="s">
        <v>1856</v>
      </c>
      <c r="D867" t="str">
        <f ca="1">IFERROR(__xludf.DUMMYFUNCTION("GOOGLETRANSLATE(B867,""es"",""en"")"),"Fix")</f>
        <v>Fix</v>
      </c>
      <c r="E867" t="str">
        <f ca="1">IFERROR(__xludf.DUMMYFUNCTION("GOOGLETRANSLATE(C867,""es"",""en"")"),"Fix, remedy ,,,")</f>
        <v>Fix, remedy ,,,</v>
      </c>
    </row>
    <row r="868" spans="1:5" ht="13.2" x14ac:dyDescent="0.25">
      <c r="A868" t="s">
        <v>1857</v>
      </c>
      <c r="B868" t="s">
        <v>1858</v>
      </c>
      <c r="C868" t="s">
        <v>1859</v>
      </c>
      <c r="D868" t="str">
        <f ca="1">IFERROR(__xludf.DUMMYFUNCTION("GOOGLETRANSLATE(B868,""es"",""en"")"),"Carved wooden image")</f>
        <v>Carved wooden image</v>
      </c>
      <c r="E868" t="str">
        <f ca="1">IFERROR(__xludf.DUMMYFUNCTION("GOOGLETRANSLATE(C868,""es"",""en"")"),"Of therapeutic use ,,,,,")</f>
        <v>Of therapeutic use ,,,,,</v>
      </c>
    </row>
    <row r="869" spans="1:5" ht="13.2" x14ac:dyDescent="0.25">
      <c r="A869" t="s">
        <v>1080</v>
      </c>
      <c r="B869" t="s">
        <v>1860</v>
      </c>
      <c r="C869" t="s">
        <v>1861</v>
      </c>
      <c r="D869" t="str">
        <f ca="1">IFERROR(__xludf.DUMMYFUNCTION("GOOGLETRANSLATE(B869,""es"",""en"")"),"Excellent")</f>
        <v>Excellent</v>
      </c>
      <c r="E869" t="str">
        <f ca="1">IFERROR(__xludf.DUMMYFUNCTION("GOOGLETRANSLATE(C869,""es"",""en"")"),"With care, carefully ,,,,")</f>
        <v>With care, carefully ,,,,</v>
      </c>
    </row>
    <row r="870" spans="1:5" ht="13.2" x14ac:dyDescent="0.25">
      <c r="A870" t="s">
        <v>1862</v>
      </c>
      <c r="B870" t="s">
        <v>1863</v>
      </c>
      <c r="C870" t="s">
        <v>1864</v>
      </c>
      <c r="D870" t="str">
        <f ca="1">IFERROR(__xludf.DUMMYFUNCTION("GOOGLETRANSLATE(B870,""es"",""en"")"),"Collapse")</f>
        <v>Collapse</v>
      </c>
      <c r="E870" t="s">
        <v>1865</v>
      </c>
    </row>
    <row r="871" spans="1:5" ht="13.2" x14ac:dyDescent="0.25">
      <c r="A871" t="s">
        <v>1866</v>
      </c>
      <c r="B871" t="s">
        <v>1860</v>
      </c>
      <c r="C871" t="s">
        <v>1867</v>
      </c>
      <c r="D871" t="str">
        <f ca="1">IFERROR(__xludf.DUMMYFUNCTION("GOOGLETRANSLATE(B871,""es"",""en"")"),"Excellent")</f>
        <v>Excellent</v>
      </c>
      <c r="E871" t="s">
        <v>1868</v>
      </c>
    </row>
    <row r="872" spans="1:5" ht="13.2" x14ac:dyDescent="0.25">
      <c r="A872" t="s">
        <v>1869</v>
      </c>
      <c r="B872" t="s">
        <v>1860</v>
      </c>
      <c r="C872" t="s">
        <v>1870</v>
      </c>
      <c r="D872" t="str">
        <f ca="1">IFERROR(__xludf.DUMMYFUNCTION("GOOGLETRANSLATE(B872,""es"",""en"")"),"Excellent")</f>
        <v>Excellent</v>
      </c>
      <c r="E872" t="str">
        <f ca="1">IFERROR(__xludf.DUMMYFUNCTION("GOOGLETRANSLATE(C872,""es"",""en"")"),"Well, , , ,")</f>
        <v>Well, , , ,</v>
      </c>
    </row>
    <row r="873" spans="1:5" ht="13.2" x14ac:dyDescent="0.25">
      <c r="A873" t="s">
        <v>1080</v>
      </c>
      <c r="B873" t="s">
        <v>1078</v>
      </c>
      <c r="D873" t="str">
        <f ca="1">IFERROR(__xludf.DUMMYFUNCTION("GOOGLETRANSLATE(B873,""es"",""en"")"),"Suck")</f>
        <v>Suck</v>
      </c>
      <c r="E873" t="str">
        <f ca="1">IFERROR(__xludf.DUMMYFUNCTION("GOOGLETRANSLATE(C873,""es"",""en"")"),"#VALUE!")</f>
        <v>#VALUE!</v>
      </c>
    </row>
    <row r="874" spans="1:5" ht="13.2" x14ac:dyDescent="0.25">
      <c r="A874" t="s">
        <v>1077</v>
      </c>
      <c r="B874" t="s">
        <v>1078</v>
      </c>
      <c r="D874" t="str">
        <f ca="1">IFERROR(__xludf.DUMMYFUNCTION("GOOGLETRANSLATE(B874,""es"",""en"")"),"Suck")</f>
        <v>Suck</v>
      </c>
      <c r="E874" t="str">
        <f ca="1">IFERROR(__xludf.DUMMYFUNCTION("GOOGLETRANSLATE(C874,""es"",""en"")"),"#VALUE!")</f>
        <v>#VALUE!</v>
      </c>
    </row>
    <row r="875" spans="1:5" ht="13.2" x14ac:dyDescent="0.25">
      <c r="A875" t="s">
        <v>1871</v>
      </c>
      <c r="B875" t="s">
        <v>1872</v>
      </c>
      <c r="C875" t="s">
        <v>1861</v>
      </c>
      <c r="D875" t="str">
        <f ca="1">IFERROR(__xludf.DUMMYFUNCTION("GOOGLETRANSLATE(B875,""es"",""en"")"),"Good")</f>
        <v>Good</v>
      </c>
      <c r="E875" t="s">
        <v>1873</v>
      </c>
    </row>
    <row r="876" spans="1:5" ht="13.2" x14ac:dyDescent="0.25">
      <c r="A876" t="s">
        <v>1874</v>
      </c>
      <c r="B876" t="s">
        <v>1872</v>
      </c>
      <c r="C876" t="s">
        <v>1861</v>
      </c>
      <c r="D876" t="str">
        <f ca="1">IFERROR(__xludf.DUMMYFUNCTION("GOOGLETRANSLATE(B876,""es"",""en"")"),"Good")</f>
        <v>Good</v>
      </c>
      <c r="E876" t="s">
        <v>1873</v>
      </c>
    </row>
    <row r="877" spans="1:5" ht="13.2" x14ac:dyDescent="0.25">
      <c r="A877" t="s">
        <v>1875</v>
      </c>
      <c r="B877" t="s">
        <v>1876</v>
      </c>
      <c r="D877" t="str">
        <f ca="1">IFERROR(__xludf.DUMMYFUNCTION("GOOGLETRANSLATE(B877,""es"",""en"")"),"Name")</f>
        <v>Name</v>
      </c>
      <c r="E877" t="str">
        <f ca="1">IFERROR(__xludf.DUMMYFUNCTION("GOOGLETRANSLATE(C877,""es"",""en"")"),"#VALUE!")</f>
        <v>#VALUE!</v>
      </c>
    </row>
    <row r="878" spans="1:5" ht="13.2" x14ac:dyDescent="0.25">
      <c r="A878" t="s">
        <v>1877</v>
      </c>
      <c r="B878" t="s">
        <v>1878</v>
      </c>
      <c r="C878" t="s">
        <v>1879</v>
      </c>
      <c r="D878" t="str">
        <f ca="1">IFERROR(__xludf.DUMMYFUNCTION("GOOGLETRANSLATE(B878,""es"",""en"")"),"Tooth")</f>
        <v>Tooth</v>
      </c>
      <c r="E878" t="str">
        <f ca="1">IFERROR(__xludf.DUMMYFUNCTION("GOOGLETRANSLATE(C878,""es"",""en"")"),"Filo ,,,,")</f>
        <v>Filo ,,,,</v>
      </c>
    </row>
    <row r="879" spans="1:5" ht="13.2" x14ac:dyDescent="0.25">
      <c r="A879" t="s">
        <v>1880</v>
      </c>
      <c r="B879" t="s">
        <v>1881</v>
      </c>
      <c r="C879" t="s">
        <v>1882</v>
      </c>
      <c r="D879" t="str">
        <f ca="1">IFERROR(__xludf.DUMMYFUNCTION("GOOGLETRANSLATE(B879,""es"",""en"")"),"Dentist")</f>
        <v>Dentist</v>
      </c>
      <c r="E879" t="str">
        <f ca="1">IFERROR(__xludf.DUMMYFUNCTION("GOOGLETRANSLATE(C879,""es"",""en"")"),"Dentalgo ,,,,,")</f>
        <v>Dentalgo ,,,,,</v>
      </c>
    </row>
    <row r="880" spans="1:5" ht="13.2" x14ac:dyDescent="0.25">
      <c r="A880" t="s">
        <v>1883</v>
      </c>
      <c r="B880" t="s">
        <v>1884</v>
      </c>
      <c r="D880" t="str">
        <f ca="1">IFERROR(__xludf.DUMMYFUNCTION("GOOGLETRANSLATE(B880,""es"",""en"")"),"Gum")</f>
        <v>Gum</v>
      </c>
      <c r="E880" t="str">
        <f ca="1">IFERROR(__xludf.DUMMYFUNCTION("GOOGLETRANSLATE(C880,""es"",""en"")"),"#VALUE!")</f>
        <v>#VALUE!</v>
      </c>
    </row>
    <row r="881" spans="1:5" ht="13.2" x14ac:dyDescent="0.25">
      <c r="A881" t="s">
        <v>1885</v>
      </c>
      <c r="B881" t="s">
        <v>1886</v>
      </c>
      <c r="D881" t="str">
        <f ca="1">IFERROR(__xludf.DUMMYFUNCTION("GOOGLETRANSLATE(B881,""es"",""en"")"),"Boa")</f>
        <v>Boa</v>
      </c>
      <c r="E881" t="str">
        <f ca="1">IFERROR(__xludf.DUMMYFUNCTION("GOOGLETRANSLATE(C881,""es"",""en"")"),"#VALUE!")</f>
        <v>#VALUE!</v>
      </c>
    </row>
    <row r="882" spans="1:5" ht="13.2" x14ac:dyDescent="0.25">
      <c r="A882" t="s">
        <v>1887</v>
      </c>
      <c r="B882" t="s">
        <v>1888</v>
      </c>
      <c r="C882" t="s">
        <v>1889</v>
      </c>
      <c r="D882" t="str">
        <f ca="1">IFERROR(__xludf.DUMMYFUNCTION("GOOGLETRANSLATE(B882,""es"",""en"")"),"Cloudy")</f>
        <v>Cloudy</v>
      </c>
      <c r="E882" t="str">
        <f ca="1">IFERROR(__xludf.DUMMYFUNCTION("GOOGLETRANSLATE(C882,""es"",""en"")"),"Dark, refers to liquid ,,,,")</f>
        <v>Dark, refers to liquid ,,,,</v>
      </c>
    </row>
    <row r="883" spans="1:5" ht="13.2" x14ac:dyDescent="0.25">
      <c r="A883" t="s">
        <v>1890</v>
      </c>
      <c r="B883" t="s">
        <v>1891</v>
      </c>
      <c r="D883" t="str">
        <f ca="1">IFERROR(__xludf.DUMMYFUNCTION("GOOGLETRANSLATE(B883,""es"",""en"")"),"Lap")</f>
        <v>Lap</v>
      </c>
      <c r="E883" t="str">
        <f ca="1">IFERROR(__xludf.DUMMYFUNCTION("GOOGLETRANSLATE(C883,""es"",""en"")"),"#VALUE!")</f>
        <v>#VALUE!</v>
      </c>
    </row>
    <row r="884" spans="1:5" ht="13.2" x14ac:dyDescent="0.25">
      <c r="A884" t="s">
        <v>1892</v>
      </c>
      <c r="B884" t="s">
        <v>1893</v>
      </c>
      <c r="C884" t="s">
        <v>1894</v>
      </c>
      <c r="D884" t="str">
        <f ca="1">IFERROR(__xludf.DUMMYFUNCTION("GOOGLETRANSLATE(B884,""es"",""en"")"),"Have a name")</f>
        <v>Have a name</v>
      </c>
      <c r="E884" t="str">
        <f ca="1">IFERROR(__xludf.DUMMYFUNCTION("GOOGLETRANSLATE(C884,""es"",""en"")"),"Nominee, be chosen ,,,,")</f>
        <v>Nominee, be chosen ,,,,</v>
      </c>
    </row>
    <row r="885" spans="1:5" ht="13.2" x14ac:dyDescent="0.25">
      <c r="A885" t="s">
        <v>1895</v>
      </c>
      <c r="B885" t="s">
        <v>1896</v>
      </c>
      <c r="C885" t="s">
        <v>1897</v>
      </c>
      <c r="D885" t="str">
        <f ca="1">IFERROR(__xludf.DUMMYFUNCTION("GOOGLETRANSLATE(B885,""es"",""en"")"),"Concave")</f>
        <v>Concave</v>
      </c>
      <c r="E885" t="str">
        <f ca="1">IFERROR(__xludf.DUMMYFUNCTION("GOOGLETRANSLATE(C885,""es"",""en"")"),"Sinuous ,,,,")</f>
        <v>Sinuous ,,,,</v>
      </c>
    </row>
    <row r="886" spans="1:5" ht="13.2" x14ac:dyDescent="0.25">
      <c r="A886" t="s">
        <v>1898</v>
      </c>
      <c r="B886" t="s">
        <v>1899</v>
      </c>
      <c r="C886" t="s">
        <v>1900</v>
      </c>
      <c r="D886" t="str">
        <f ca="1">IFERROR(__xludf.DUMMYFUNCTION("GOOGLETRANSLATE(B886,""es"",""en"")"),"Register")</f>
        <v>Register</v>
      </c>
      <c r="E886" t="str">
        <f ca="1">IFERROR(__xludf.DUMMYFUNCTION("GOOGLETRANSLATE(C886,""es"",""en"")"),"Check in, , , ,")</f>
        <v>Check in, , , ,</v>
      </c>
    </row>
    <row r="887" spans="1:5" ht="13.2" x14ac:dyDescent="0.25">
      <c r="A887" t="s">
        <v>1901</v>
      </c>
      <c r="B887" t="s">
        <v>1902</v>
      </c>
      <c r="C887" t="s">
        <v>1903</v>
      </c>
      <c r="D887" t="str">
        <f ca="1">IFERROR(__xludf.DUMMYFUNCTION("GOOGLETRANSLATE(B887,""es"",""en"")"),"Heal")</f>
        <v>Heal</v>
      </c>
      <c r="E887" t="str">
        <f ca="1">IFERROR(__xludf.DUMMYFUNCTION("GOOGLETRANSLATE(C887,""es"",""en"")"),"Rest, recover ,,,,")</f>
        <v>Rest, recover ,,,,</v>
      </c>
    </row>
    <row r="888" spans="1:5" ht="13.2" x14ac:dyDescent="0.25">
      <c r="A888" t="s">
        <v>1904</v>
      </c>
      <c r="B888" t="s">
        <v>1905</v>
      </c>
      <c r="D888" t="str">
        <f ca="1">IFERROR(__xludf.DUMMYFUNCTION("GOOGLETRANSLATE(B888,""es"",""en"")"),"Guava")</f>
        <v>Guava</v>
      </c>
      <c r="E888" t="str">
        <f ca="1">IFERROR(__xludf.DUMMYFUNCTION("GOOGLETRANSLATE(C888,""es"",""en"")"),"#VALUE!")</f>
        <v>#VALUE!</v>
      </c>
    </row>
    <row r="889" spans="1:5" ht="13.2" x14ac:dyDescent="0.25">
      <c r="A889" t="s">
        <v>1906</v>
      </c>
      <c r="B889" t="s">
        <v>1907</v>
      </c>
      <c r="D889" t="str">
        <f ca="1">IFERROR(__xludf.DUMMYFUNCTION("GOOGLETRANSLATE(B889,""es"",""en"")"),"Breastmilk")</f>
        <v>Breastmilk</v>
      </c>
      <c r="E889" t="str">
        <f ca="1">IFERROR(__xludf.DUMMYFUNCTION("GOOGLETRANSLATE(C889,""es"",""en"")"),"#VALUE!")</f>
        <v>#VALUE!</v>
      </c>
    </row>
    <row r="890" spans="1:5" ht="13.2" x14ac:dyDescent="0.25">
      <c r="A890" t="s">
        <v>1908</v>
      </c>
      <c r="B890" t="s">
        <v>1907</v>
      </c>
      <c r="D890" t="str">
        <f ca="1">IFERROR(__xludf.DUMMYFUNCTION("GOOGLETRANSLATE(B890,""es"",""en"")"),"Breastmilk")</f>
        <v>Breastmilk</v>
      </c>
      <c r="E890" t="str">
        <f ca="1">IFERROR(__xludf.DUMMYFUNCTION("GOOGLETRANSLATE(C890,""es"",""en"")"),"#VALUE!")</f>
        <v>#VALUE!</v>
      </c>
    </row>
    <row r="891" spans="1:5" ht="13.2" x14ac:dyDescent="0.25">
      <c r="A891" t="s">
        <v>1519</v>
      </c>
      <c r="B891" t="s">
        <v>1517</v>
      </c>
      <c r="C891" t="s">
        <v>1518</v>
      </c>
      <c r="D891" t="str">
        <f ca="1">IFERROR(__xludf.DUMMYFUNCTION("GOOGLETRANSLATE(B891,""es"",""en"")"),"Pain")</f>
        <v>Pain</v>
      </c>
      <c r="E891" t="str">
        <f ca="1">IFERROR(__xludf.DUMMYFUNCTION("GOOGLETRANSLATE(C891,""es"",""en"")"),"Weigh, suffering, ailment,")</f>
        <v>Weigh, suffering, ailment,</v>
      </c>
    </row>
    <row r="892" spans="1:5" ht="13.2" x14ac:dyDescent="0.25">
      <c r="A892" t="s">
        <v>1909</v>
      </c>
      <c r="B892" t="s">
        <v>1517</v>
      </c>
      <c r="C892" t="s">
        <v>1910</v>
      </c>
      <c r="D892" t="str">
        <f ca="1">IFERROR(__xludf.DUMMYFUNCTION("GOOGLETRANSLATE(B892,""es"",""en"")"),"Pain")</f>
        <v>Pain</v>
      </c>
      <c r="E892" t="str">
        <f ca="1">IFERROR(__xludf.DUMMYFUNCTION("GOOGLETRANSLATE(C892,""es"",""en"")"),"Suffering, , , ,")</f>
        <v>Suffering, , , ,</v>
      </c>
    </row>
    <row r="893" spans="1:5" ht="13.2" x14ac:dyDescent="0.25">
      <c r="A893" t="s">
        <v>1911</v>
      </c>
      <c r="B893" t="s">
        <v>1912</v>
      </c>
      <c r="D893" t="str">
        <f ca="1">IFERROR(__xludf.DUMMYFUNCTION("GOOGLETRANSLATE(B893,""es"",""en"")"),"I")</f>
        <v>I</v>
      </c>
      <c r="E893" t="str">
        <f ca="1">IFERROR(__xludf.DUMMYFUNCTION("GOOGLETRANSLATE(C893,""es"",""en"")"),"#VALUE!")</f>
        <v>#VALUE!</v>
      </c>
    </row>
    <row r="894" spans="1:5" ht="13.2" x14ac:dyDescent="0.25">
      <c r="A894" t="s">
        <v>1913</v>
      </c>
      <c r="B894" t="s">
        <v>1914</v>
      </c>
      <c r="C894" t="s">
        <v>1915</v>
      </c>
      <c r="D894" t="str">
        <f ca="1">IFERROR(__xludf.DUMMYFUNCTION("GOOGLETRANSLATE(B894,""es"",""en"")"),"Damaged")</f>
        <v>Damaged</v>
      </c>
      <c r="E894" t="str">
        <f ca="1">IFERROR(__xludf.DUMMYFUNCTION("GOOGLETRANSLATE(C894,""es"",""en"")"),"Rotten, putrefact ,,,,")</f>
        <v>Rotten, putrefact ,,,,</v>
      </c>
    </row>
    <row r="895" spans="1:5" ht="13.2" x14ac:dyDescent="0.25">
      <c r="A895" t="s">
        <v>1916</v>
      </c>
      <c r="B895" t="s">
        <v>1917</v>
      </c>
      <c r="D895" t="str">
        <f ca="1">IFERROR(__xludf.DUMMYFUNCTION("GOOGLETRANSLATE(B895,""es"",""en"")"),"Worm")</f>
        <v>Worm</v>
      </c>
      <c r="E895" t="str">
        <f ca="1">IFERROR(__xludf.DUMMYFUNCTION("GOOGLETRANSLATE(C895,""es"",""en"")"),"#VALUE!")</f>
        <v>#VALUE!</v>
      </c>
    </row>
    <row r="896" spans="1:5" ht="13.2" x14ac:dyDescent="0.25">
      <c r="A896" t="s">
        <v>1918</v>
      </c>
      <c r="B896" t="s">
        <v>1917</v>
      </c>
      <c r="D896" t="str">
        <f ca="1">IFERROR(__xludf.DUMMYFUNCTION("GOOGLETRANSLATE(B896,""es"",""en"")"),"Worm")</f>
        <v>Worm</v>
      </c>
      <c r="E896" t="str">
        <f ca="1">IFERROR(__xludf.DUMMYFUNCTION("GOOGLETRANSLATE(C896,""es"",""en"")"),"#VALUE!")</f>
        <v>#VALUE!</v>
      </c>
    </row>
    <row r="897" spans="1:5" ht="13.2" x14ac:dyDescent="0.25">
      <c r="A897" t="s">
        <v>1919</v>
      </c>
      <c r="B897" t="s">
        <v>1920</v>
      </c>
      <c r="C897" t="s">
        <v>1921</v>
      </c>
      <c r="D897" t="str">
        <f ca="1">IFERROR(__xludf.DUMMYFUNCTION("GOOGLETRANSLATE(B897,""es"",""en"")"),"Mouse")</f>
        <v>Mouse</v>
      </c>
      <c r="E897" t="str">
        <f ca="1">IFERROR(__xludf.DUMMYFUNCTION("GOOGLETRANSLATE(C897,""es"",""en"")"),"Rat, rodent ,,,")</f>
        <v>Rat, rodent ,,,</v>
      </c>
    </row>
    <row r="898" spans="1:5" ht="13.2" x14ac:dyDescent="0.25">
      <c r="A898" t="s">
        <v>1922</v>
      </c>
      <c r="B898" t="s">
        <v>1923</v>
      </c>
      <c r="C898" t="s">
        <v>1924</v>
      </c>
      <c r="D898" t="str">
        <f ca="1">IFERROR(__xludf.DUMMYFUNCTION("GOOGLETRANSLATE(B898,""es"",""en"")"),"Breast")</f>
        <v>Breast</v>
      </c>
      <c r="E898" t="str">
        <f ca="1">IFERROR(__xludf.DUMMYFUNCTION("GOOGLETRANSLATE(C898,""es"",""en"")"),"TETA, UBRE, PALOMA ,,")</f>
        <v>TETA, UBRE, PALOMA ,,</v>
      </c>
    </row>
    <row r="899" spans="1:5" ht="13.2" x14ac:dyDescent="0.25">
      <c r="A899" t="s">
        <v>1925</v>
      </c>
      <c r="B899" t="s">
        <v>1217</v>
      </c>
      <c r="D899" t="str">
        <f ca="1">IFERROR(__xludf.DUMMYFUNCTION("GOOGLETRANSLATE(B899,""es"",""en"")"),"Look")</f>
        <v>Look</v>
      </c>
      <c r="E899" t="str">
        <f ca="1">IFERROR(__xludf.DUMMYFUNCTION("GOOGLETRANSLATE(C899,""es"",""en"")"),"#VALUE!")</f>
        <v>#VALUE!</v>
      </c>
    </row>
    <row r="900" spans="1:5" ht="13.2" x14ac:dyDescent="0.25">
      <c r="A900" t="s">
        <v>1091</v>
      </c>
      <c r="B900" t="s">
        <v>1090</v>
      </c>
      <c r="D900" t="str">
        <f ca="1">IFERROR(__xludf.DUMMYFUNCTION("GOOGLETRANSLATE(B900,""es"",""en"")"),"Chicken egg")</f>
        <v>Chicken egg</v>
      </c>
      <c r="E900" t="str">
        <f ca="1">IFERROR(__xludf.DUMMYFUNCTION("GOOGLETRANSLATE(C900,""es"",""en"")"),"#VALUE!")</f>
        <v>#VALUE!</v>
      </c>
    </row>
    <row r="901" spans="1:5" ht="13.2" x14ac:dyDescent="0.25">
      <c r="A901" t="s">
        <v>1092</v>
      </c>
      <c r="B901" t="s">
        <v>1090</v>
      </c>
      <c r="D901" t="str">
        <f ca="1">IFERROR(__xludf.DUMMYFUNCTION("GOOGLETRANSLATE(B901,""es"",""en"")"),"Chicken egg")</f>
        <v>Chicken egg</v>
      </c>
      <c r="E901" t="str">
        <f ca="1">IFERROR(__xludf.DUMMYFUNCTION("GOOGLETRANSLATE(C901,""es"",""en"")"),"#VALUE!")</f>
        <v>#VALUE!</v>
      </c>
    </row>
    <row r="902" spans="1:5" ht="13.2" x14ac:dyDescent="0.25">
      <c r="A902" t="s">
        <v>1089</v>
      </c>
      <c r="B902" t="s">
        <v>1090</v>
      </c>
      <c r="D902" t="str">
        <f ca="1">IFERROR(__xludf.DUMMYFUNCTION("GOOGLETRANSLATE(B902,""es"",""en"")"),"Chicken egg")</f>
        <v>Chicken egg</v>
      </c>
      <c r="E902" t="str">
        <f ca="1">IFERROR(__xludf.DUMMYFUNCTION("GOOGLETRANSLATE(C902,""es"",""en"")"),"#VALUE!")</f>
        <v>#VALUE!</v>
      </c>
    </row>
    <row r="903" spans="1:5" ht="13.2" x14ac:dyDescent="0.25">
      <c r="A903" t="s">
        <v>1926</v>
      </c>
      <c r="B903" t="s">
        <v>1927</v>
      </c>
      <c r="C903" t="s">
        <v>1928</v>
      </c>
      <c r="D903" t="str">
        <f ca="1">IFERROR(__xludf.DUMMYFUNCTION("GOOGLETRANSLATE(B903,""es"",""en"")"),"Young")</f>
        <v>Young</v>
      </c>
      <c r="E903" t="s">
        <v>1929</v>
      </c>
    </row>
    <row r="904" spans="1:5" ht="13.2" x14ac:dyDescent="0.25">
      <c r="A904" t="s">
        <v>1930</v>
      </c>
      <c r="B904" t="s">
        <v>1912</v>
      </c>
      <c r="D904" t="str">
        <f ca="1">IFERROR(__xludf.DUMMYFUNCTION("GOOGLETRANSLATE(B904,""es"",""en"")"),"I")</f>
        <v>I</v>
      </c>
      <c r="E904" t="str">
        <f ca="1">IFERROR(__xludf.DUMMYFUNCTION("GOOGLETRANSLATE(C904,""es"",""en"")"),"#VALUE!")</f>
        <v>#VALUE!</v>
      </c>
    </row>
    <row r="905" spans="1:5" ht="13.2" x14ac:dyDescent="0.25">
      <c r="A905" t="s">
        <v>1931</v>
      </c>
      <c r="B905" t="s">
        <v>1927</v>
      </c>
      <c r="C905" t="s">
        <v>1932</v>
      </c>
      <c r="D905" t="str">
        <f ca="1">IFERROR(__xludf.DUMMYFUNCTION("GOOGLETRANSLATE(B905,""es"",""en"")"),"Young")</f>
        <v>Young</v>
      </c>
      <c r="E905" t="str">
        <f ca="1">IFERROR(__xludf.DUMMYFUNCTION("GOOGLETRANSLATE(C905,""es"",""en"")"),"Waiter, , , ,")</f>
        <v>Waiter, , , ,</v>
      </c>
    </row>
    <row r="906" spans="1:5" ht="13.2" x14ac:dyDescent="0.25">
      <c r="A906" t="s">
        <v>1933</v>
      </c>
      <c r="B906" t="s">
        <v>1934</v>
      </c>
      <c r="C906" t="s">
        <v>1935</v>
      </c>
      <c r="D906" t="str">
        <f ca="1">IFERROR(__xludf.DUMMYFUNCTION("GOOGLETRANSLATE(B906,""es"",""en"")"),"Cold")</f>
        <v>Cold</v>
      </c>
      <c r="E906" t="str">
        <f ca="1">IFERROR(__xludf.DUMMYFUNCTION("GOOGLETRANSLATE(C906,""es"",""en"")"),"Flu, cold ,,,,")</f>
        <v>Flu, cold ,,,,</v>
      </c>
    </row>
    <row r="907" spans="1:5" ht="13.2" x14ac:dyDescent="0.25">
      <c r="A907" t="s">
        <v>1936</v>
      </c>
      <c r="B907" t="s">
        <v>1937</v>
      </c>
      <c r="D907" t="str">
        <f ca="1">IFERROR(__xludf.DUMMYFUNCTION("GOOGLETRANSLATE(B907,""es"",""en"")"),"Species of maguey")</f>
        <v>Species of maguey</v>
      </c>
      <c r="E907" t="str">
        <f ca="1">IFERROR(__xludf.DUMMYFUNCTION("GOOGLETRANSLATE(C907,""es"",""en"")"),"#VALUE!")</f>
        <v>#VALUE!</v>
      </c>
    </row>
    <row r="908" spans="1:5" ht="13.2" x14ac:dyDescent="0.25">
      <c r="A908" t="s">
        <v>1938</v>
      </c>
      <c r="B908" t="s">
        <v>1939</v>
      </c>
      <c r="C908" t="s">
        <v>1940</v>
      </c>
      <c r="D908" t="s">
        <v>1941</v>
      </c>
      <c r="E908" t="str">
        <f ca="1">IFERROR(__xludf.DUMMYFUNCTION("GOOGLETRANSLATE(C908,""es"",""en"")"),"Asoiro ,,,,")</f>
        <v>Asoiro ,,,,</v>
      </c>
    </row>
    <row r="909" spans="1:5" ht="13.2" x14ac:dyDescent="0.25">
      <c r="A909" t="s">
        <v>1942</v>
      </c>
      <c r="B909" t="s">
        <v>1943</v>
      </c>
      <c r="C909" t="s">
        <v>1944</v>
      </c>
      <c r="D909" t="s">
        <v>1945</v>
      </c>
      <c r="E909" t="str">
        <f ca="1">IFERROR(__xludf.DUMMYFUNCTION("GOOGLETRANSLATE(C909,""es"",""en"")"),"Atyize ,,,,")</f>
        <v>Atyize ,,,,</v>
      </c>
    </row>
    <row r="910" spans="1:5" ht="13.2" x14ac:dyDescent="0.25">
      <c r="A910" t="s">
        <v>1946</v>
      </c>
      <c r="B910" t="s">
        <v>1943</v>
      </c>
      <c r="D910" t="s">
        <v>1945</v>
      </c>
      <c r="E910" t="str">
        <f ca="1">IFERROR(__xludf.DUMMYFUNCTION("GOOGLETRANSLATE(C910,""es"",""en"")"),"#VALUE!")</f>
        <v>#VALUE!</v>
      </c>
    </row>
    <row r="911" spans="1:5" ht="13.2" x14ac:dyDescent="0.25">
      <c r="A911" t="s">
        <v>1947</v>
      </c>
      <c r="B911" t="s">
        <v>1948</v>
      </c>
      <c r="C911" t="s">
        <v>1949</v>
      </c>
      <c r="D911" t="str">
        <f ca="1">IFERROR(__xludf.DUMMYFUNCTION("GOOGLETRANSLATE(B911,""es"",""en"")"),"Corn")</f>
        <v>Corn</v>
      </c>
      <c r="E911" t="str">
        <f ca="1">IFERROR(__xludf.DUMMYFUNCTION("GOOGLETRANSLATE(C911,""es"",""en"")"),"Mijo Egg of fish ,,,,")</f>
        <v>Mijo Egg of fish ,,,,</v>
      </c>
    </row>
    <row r="912" spans="1:5" ht="13.2" x14ac:dyDescent="0.25">
      <c r="A912" t="s">
        <v>1950</v>
      </c>
      <c r="B912" t="s">
        <v>1951</v>
      </c>
      <c r="C912" t="s">
        <v>1952</v>
      </c>
      <c r="D912" t="str">
        <f ca="1">IFERROR(__xludf.DUMMYFUNCTION("GOOGLETRANSLATE(B912,""es"",""en"")"),"Bring down")</f>
        <v>Bring down</v>
      </c>
      <c r="E912" t="s">
        <v>1953</v>
      </c>
    </row>
    <row r="913" spans="1:5" ht="13.2" x14ac:dyDescent="0.25">
      <c r="A913" t="s">
        <v>1954</v>
      </c>
      <c r="B913" t="s">
        <v>1955</v>
      </c>
      <c r="C913" t="s">
        <v>1956</v>
      </c>
      <c r="D913" t="str">
        <f ca="1">IFERROR(__xludf.DUMMYFUNCTION("GOOGLETRANSLATE(B913,""es"",""en"")"),"To the other side")</f>
        <v>To the other side</v>
      </c>
      <c r="E913" t="str">
        <f ca="1">IFERROR(__xludf.DUMMYFUNCTION("GOOGLETRANSLATE(C913,""es"",""en"")"),"On the opposite side, , , ,")</f>
        <v>On the opposite side, , , ,</v>
      </c>
    </row>
    <row r="914" spans="1:5" ht="13.2" x14ac:dyDescent="0.25">
      <c r="A914" t="s">
        <v>1957</v>
      </c>
      <c r="B914" t="s">
        <v>1955</v>
      </c>
      <c r="D914" t="str">
        <f ca="1">IFERROR(__xludf.DUMMYFUNCTION("GOOGLETRANSLATE(B914,""es"",""en"")"),"To the other side")</f>
        <v>To the other side</v>
      </c>
      <c r="E914" t="str">
        <f ca="1">IFERROR(__xludf.DUMMYFUNCTION("GOOGLETRANSLATE(C914,""es"",""en"")"),"#VALUE!")</f>
        <v>#VALUE!</v>
      </c>
    </row>
    <row r="915" spans="1:5" ht="13.2" x14ac:dyDescent="0.25">
      <c r="A915" t="s">
        <v>1958</v>
      </c>
      <c r="B915" t="s">
        <v>1959</v>
      </c>
      <c r="C915" t="s">
        <v>1960</v>
      </c>
      <c r="D915" t="str">
        <f ca="1">IFERROR(__xludf.DUMMYFUNCTION("GOOGLETRANSLATE(B915,""es"",""en"")"),"Branch")</f>
        <v>Branch</v>
      </c>
      <c r="E915" t="str">
        <f ca="1">IFERROR(__xludf.DUMMYFUNCTION("GOOGLETRANSLATE(C915,""es"",""en"")"),"Part of, , , ,")</f>
        <v>Part of, , , ,</v>
      </c>
    </row>
    <row r="916" spans="1:5" ht="13.2" x14ac:dyDescent="0.25">
      <c r="A916" t="s">
        <v>1961</v>
      </c>
      <c r="B916" t="s">
        <v>1962</v>
      </c>
      <c r="C916" t="s">
        <v>1963</v>
      </c>
      <c r="D916" t="str">
        <f ca="1">IFERROR(__xludf.DUMMYFUNCTION("GOOGLETRANSLATE(B916,""es"",""en"")"),"Cross")</f>
        <v>Cross</v>
      </c>
      <c r="E916" t="s">
        <v>1964</v>
      </c>
    </row>
    <row r="917" spans="1:5" ht="13.2" x14ac:dyDescent="0.25">
      <c r="A917" t="s">
        <v>1965</v>
      </c>
      <c r="B917" t="s">
        <v>1966</v>
      </c>
      <c r="C917" t="s">
        <v>1967</v>
      </c>
      <c r="D917" t="str">
        <f ca="1">IFERROR(__xludf.DUMMYFUNCTION("GOOGLETRANSLATE(B917,""es"",""en"")"),"Push")</f>
        <v>Push</v>
      </c>
      <c r="E917" t="str">
        <f ca="1">IFERROR(__xludf.DUMMYFUNCTION("GOOGLETRANSLATE(C917,""es"",""en"")"),"Ladar, marginar ,,,,")</f>
        <v>Ladar, marginar ,,,,</v>
      </c>
    </row>
    <row r="918" spans="1:5" ht="13.2" x14ac:dyDescent="0.25">
      <c r="A918" t="s">
        <v>1968</v>
      </c>
      <c r="B918" t="s">
        <v>1969</v>
      </c>
      <c r="C918" t="s">
        <v>1970</v>
      </c>
      <c r="D918" t="str">
        <f ca="1">IFERROR(__xludf.DUMMYFUNCTION("GOOGLETRANSLATE(B918,""es"",""en"")"),"Ward off")</f>
        <v>Ward off</v>
      </c>
      <c r="E918" t="str">
        <f ca="1">IFERROR(__xludf.DUMMYFUNCTION("GOOGLETRANSLATE(C918,""es"",""en"")"),"Separate, separate ,,,")</f>
        <v>Separate, separate ,,,</v>
      </c>
    </row>
    <row r="919" spans="1:5" ht="13.2" x14ac:dyDescent="0.25">
      <c r="A919" t="s">
        <v>1971</v>
      </c>
      <c r="B919" t="s">
        <v>1972</v>
      </c>
      <c r="C919" t="s">
        <v>1973</v>
      </c>
      <c r="D919" t="str">
        <f ca="1">IFERROR(__xludf.DUMMYFUNCTION("GOOGLETRANSLATE(B919,""es"",""en"")"),"Mention")</f>
        <v>Mention</v>
      </c>
      <c r="E919" t="str">
        <f ca="1">IFERROR(__xludf.DUMMYFUNCTION("GOOGLETRANSLATE(C919,""es"",""en"")"),"Remember, refer ,,,,")</f>
        <v>Remember, refer ,,,,</v>
      </c>
    </row>
    <row r="920" spans="1:5" ht="13.2" x14ac:dyDescent="0.25">
      <c r="A920" t="s">
        <v>1974</v>
      </c>
      <c r="B920" t="s">
        <v>1975</v>
      </c>
      <c r="C920" t="s">
        <v>1976</v>
      </c>
      <c r="D920" t="s">
        <v>1977</v>
      </c>
      <c r="E920" t="str">
        <f ca="1">IFERROR(__xludf.DUMMYFUNCTION("GOOGLETRANSLATE(C920,""es"",""en"")"),"Mazorca ,,,,")</f>
        <v>Mazorca ,,,,</v>
      </c>
    </row>
    <row r="921" spans="1:5" ht="13.2" x14ac:dyDescent="0.25">
      <c r="A921" t="s">
        <v>1978</v>
      </c>
      <c r="B921" t="s">
        <v>1979</v>
      </c>
      <c r="C921" t="s">
        <v>1980</v>
      </c>
      <c r="D921" t="str">
        <f ca="1">IFERROR(__xludf.DUMMYFUNCTION("GOOGLETRANSLATE(B921,""es"",""en"")"),"Take a bath")</f>
        <v>Take a bath</v>
      </c>
      <c r="E921" t="str">
        <f ca="1">IFERROR(__xludf.DUMMYFUNCTION("GOOGLETRANSLATE(C921,""es"",""en"")"),"Shower, leave ,,,")</f>
        <v>Shower, leave ,,,</v>
      </c>
    </row>
    <row r="922" spans="1:5" ht="13.2" x14ac:dyDescent="0.25">
      <c r="A922" t="s">
        <v>1981</v>
      </c>
      <c r="B922" t="s">
        <v>824</v>
      </c>
      <c r="C922" t="s">
        <v>1982</v>
      </c>
      <c r="D922" t="str">
        <f ca="1">IFERROR(__xludf.DUMMYFUNCTION("GOOGLETRANSLATE(B922,""es"",""en"")"),"Leave")</f>
        <v>Leave</v>
      </c>
      <c r="E922" t="str">
        <f ca="1">IFERROR(__xludf.DUMMYFUNCTION("GOOGLETRANSLATE(C922,""es"",""en"")"),"Abandon, , , ,")</f>
        <v>Abandon, , , ,</v>
      </c>
    </row>
    <row r="923" spans="1:5" ht="13.2" x14ac:dyDescent="0.25">
      <c r="A923" t="s">
        <v>1983</v>
      </c>
      <c r="B923" t="s">
        <v>1984</v>
      </c>
      <c r="C923" t="s">
        <v>518</v>
      </c>
      <c r="D923" t="str">
        <f ca="1">IFERROR(__xludf.DUMMYFUNCTION("GOOGLETRANSLATE(B923,""es"",""en"")"),"Finish")</f>
        <v>Finish</v>
      </c>
      <c r="E923" t="str">
        <f ca="1">IFERROR(__xludf.DUMMYFUNCTION("GOOGLETRANSLATE(C923,""es"",""en"")"),"Finish, , , ,")</f>
        <v>Finish, , , ,</v>
      </c>
    </row>
    <row r="924" spans="1:5" ht="13.2" x14ac:dyDescent="0.25">
      <c r="A924" t="s">
        <v>1985</v>
      </c>
      <c r="B924" t="s">
        <v>1984</v>
      </c>
      <c r="C924" t="s">
        <v>518</v>
      </c>
      <c r="D924" t="str">
        <f ca="1">IFERROR(__xludf.DUMMYFUNCTION("GOOGLETRANSLATE(B924,""es"",""en"")"),"Finish")</f>
        <v>Finish</v>
      </c>
      <c r="E924" t="str">
        <f ca="1">IFERROR(__xludf.DUMMYFUNCTION("GOOGLETRANSLATE(C924,""es"",""en"")"),"Finish, , , ,")</f>
        <v>Finish, , , ,</v>
      </c>
    </row>
    <row r="925" spans="1:5" ht="13.2" x14ac:dyDescent="0.25">
      <c r="A925" t="s">
        <v>1986</v>
      </c>
      <c r="B925" t="s">
        <v>1987</v>
      </c>
      <c r="D925" t="str">
        <f ca="1">IFERROR(__xludf.DUMMYFUNCTION("GOOGLETRANSLATE(B925,""es"",""en"")"),"Cornfield")</f>
        <v>Cornfield</v>
      </c>
      <c r="E925" t="str">
        <f ca="1">IFERROR(__xludf.DUMMYFUNCTION("GOOGLETRANSLATE(C925,""es"",""en"")"),"#VALUE!")</f>
        <v>#VALUE!</v>
      </c>
    </row>
    <row r="926" spans="1:5" ht="13.2" x14ac:dyDescent="0.25">
      <c r="A926" t="s">
        <v>1988</v>
      </c>
      <c r="B926" t="s">
        <v>1989</v>
      </c>
      <c r="C926" t="s">
        <v>1990</v>
      </c>
      <c r="D926" t="str">
        <f ca="1">IFERROR(__xludf.DUMMYFUNCTION("GOOGLETRANSLATE(B926,""es"",""en"")"),"By")</f>
        <v>By</v>
      </c>
      <c r="E926" t="str">
        <f ca="1">IFERROR(__xludf.DUMMYFUNCTION("GOOGLETRANSLATE(C926,""es"",""en"")"),"Instead of replacement ,,,,")</f>
        <v>Instead of replacement ,,,,</v>
      </c>
    </row>
    <row r="927" spans="1:5" ht="13.2" x14ac:dyDescent="0.25">
      <c r="A927" t="s">
        <v>1991</v>
      </c>
      <c r="B927" t="s">
        <v>1992</v>
      </c>
      <c r="C927" t="s">
        <v>1993</v>
      </c>
      <c r="D927" t="str">
        <f ca="1">IFERROR(__xludf.DUMMYFUNCTION("GOOGLETRANSLATE(B927,""es"",""en"")"),"Without bathing himself")</f>
        <v>Without bathing himself</v>
      </c>
      <c r="E927" t="s">
        <v>1994</v>
      </c>
    </row>
    <row r="928" spans="1:5" ht="13.2" x14ac:dyDescent="0.25">
      <c r="A928" t="s">
        <v>1995</v>
      </c>
      <c r="B928" t="s">
        <v>1996</v>
      </c>
      <c r="C928" t="s">
        <v>1997</v>
      </c>
      <c r="D928" t="str">
        <f ca="1">IFERROR(__xludf.DUMMYFUNCTION("GOOGLETRANSLATE(B928,""es"",""en"")"),"Spare")</f>
        <v>Spare</v>
      </c>
      <c r="E928" t="str">
        <f ca="1">IFERROR(__xludf.DUMMYFUNCTION("GOOGLETRANSLATE(C928,""es"",""en"")"),"Overcome, discolor, turn,")</f>
        <v>Overcome, discolor, turn,</v>
      </c>
    </row>
    <row r="929" spans="1:5" ht="13.2" x14ac:dyDescent="0.25">
      <c r="A929" t="s">
        <v>1998</v>
      </c>
      <c r="B929" t="s">
        <v>1999</v>
      </c>
      <c r="C929" t="s">
        <v>2000</v>
      </c>
      <c r="D929" t="str">
        <f ca="1">IFERROR(__xludf.DUMMYFUNCTION("GOOGLETRANSLATE(B929,""es"",""en"")"),"Renew")</f>
        <v>Renew</v>
      </c>
      <c r="E929" t="str">
        <f ca="1">IFERROR(__xludf.DUMMYFUNCTION("GOOGLETRANSLATE(C929,""es"",""en"")"),"Innovate, row ,,,,")</f>
        <v>Innovate, row ,,,,</v>
      </c>
    </row>
    <row r="930" spans="1:5" ht="13.2" x14ac:dyDescent="0.25">
      <c r="A930" t="s">
        <v>2001</v>
      </c>
      <c r="B930" t="s">
        <v>1999</v>
      </c>
      <c r="C930" t="s">
        <v>2002</v>
      </c>
      <c r="D930" t="str">
        <f ca="1">IFERROR(__xludf.DUMMYFUNCTION("GOOGLETRANSLATE(B930,""es"",""en"")"),"Renew")</f>
        <v>Renew</v>
      </c>
      <c r="E930" t="str">
        <f ca="1">IFERROR(__xludf.DUMMYFUNCTION("GOOGLETRANSLATE(C930,""es"",""en"")"),"Innovate ,,,,")</f>
        <v>Innovate ,,,,</v>
      </c>
    </row>
    <row r="931" spans="1:5" ht="13.2" x14ac:dyDescent="0.25">
      <c r="A931" t="s">
        <v>2003</v>
      </c>
      <c r="B931" t="s">
        <v>1999</v>
      </c>
      <c r="C931" t="s">
        <v>2004</v>
      </c>
      <c r="D931" t="str">
        <f ca="1">IFERROR(__xludf.DUMMYFUNCTION("GOOGLETRANSLATE(B931,""es"",""en"")"),"Renew")</f>
        <v>Renew</v>
      </c>
      <c r="E931" t="str">
        <f ca="1">IFERROR(__xludf.DUMMYFUNCTION("GOOGLETRANSLATE(C931,""es"",""en"")"),"Innovate, renew ,,,,")</f>
        <v>Innovate, renew ,,,,</v>
      </c>
    </row>
    <row r="932" spans="1:5" ht="13.2" x14ac:dyDescent="0.25">
      <c r="A932" t="s">
        <v>2005</v>
      </c>
      <c r="B932" t="s">
        <v>2006</v>
      </c>
      <c r="C932" t="s">
        <v>2000</v>
      </c>
      <c r="D932" t="str">
        <f ca="1">IFERROR(__xludf.DUMMYFUNCTION("GOOGLETRANSLATE(B932,""es"",""en"")"),"Renew")</f>
        <v>Renew</v>
      </c>
      <c r="E932" t="str">
        <f ca="1">IFERROR(__xludf.DUMMYFUNCTION("GOOGLETRANSLATE(C932,""es"",""en"")"),"Innovate, row ,,,,")</f>
        <v>Innovate, row ,,,,</v>
      </c>
    </row>
    <row r="933" spans="1:5" ht="13.2" x14ac:dyDescent="0.25">
      <c r="A933" t="s">
        <v>2007</v>
      </c>
      <c r="B933" t="s">
        <v>2008</v>
      </c>
      <c r="C933" t="s">
        <v>2009</v>
      </c>
      <c r="D933" t="str">
        <f ca="1">IFERROR(__xludf.DUMMYFUNCTION("GOOGLETRANSLATE(B933,""es"",""en"")"),"Create")</f>
        <v>Create</v>
      </c>
      <c r="E933" t="str">
        <f ca="1">IFERROR(__xludf.DUMMYFUNCTION("GOOGLETRANSLATE(C933,""es"",""en"")"),"Transform ,,,,")</f>
        <v>Transform ,,,,</v>
      </c>
    </row>
    <row r="934" spans="1:5" ht="13.2" x14ac:dyDescent="0.25">
      <c r="A934" t="s">
        <v>2010</v>
      </c>
      <c r="B934" t="s">
        <v>2011</v>
      </c>
      <c r="C934" t="s">
        <v>2012</v>
      </c>
      <c r="D934" t="str">
        <f ca="1">IFERROR(__xludf.DUMMYFUNCTION("GOOGLETRANSLATE(B934,""es"",""en"")"),"Return")</f>
        <v>Return</v>
      </c>
      <c r="E934" t="str">
        <f ca="1">IFERROR(__xludf.DUMMYFUNCTION("GOOGLETRANSLATE(C934,""es"",""en"")"),"Restore, go back ,,,,")</f>
        <v>Restore, go back ,,,,</v>
      </c>
    </row>
    <row r="935" spans="1:5" ht="13.2" x14ac:dyDescent="0.25">
      <c r="A935" t="s">
        <v>2013</v>
      </c>
      <c r="B935" t="s">
        <v>2014</v>
      </c>
      <c r="C935" t="s">
        <v>2015</v>
      </c>
      <c r="D935" t="str">
        <f ca="1">IFERROR(__xludf.DUMMYFUNCTION("GOOGLETRANSLATE(B935,""es"",""en"")"),"Grinding corn")</f>
        <v>Grinding corn</v>
      </c>
      <c r="E935" t="str">
        <f ca="1">IFERROR(__xludf.DUMMYFUNCTION("GOOGLETRANSLATE(C935,""es"",""en"")"),"Corn grinding machine ,,,,")</f>
        <v>Corn grinding machine ,,,,</v>
      </c>
    </row>
    <row r="936" spans="1:5" ht="13.2" x14ac:dyDescent="0.25">
      <c r="A936" t="s">
        <v>2016</v>
      </c>
      <c r="B936" t="s">
        <v>2017</v>
      </c>
      <c r="D936" t="str">
        <f ca="1">IFERROR(__xludf.DUMMYFUNCTION("GOOGLETRANSLATE(B936,""es"",""en"")"),"Cornmeal soup")</f>
        <v>Cornmeal soup</v>
      </c>
      <c r="E936" t="str">
        <f ca="1">IFERROR(__xludf.DUMMYFUNCTION("GOOGLETRANSLATE(C936,""es"",""en"")"),"#VALUE!")</f>
        <v>#VALUE!</v>
      </c>
    </row>
    <row r="937" spans="1:5" ht="13.2" x14ac:dyDescent="0.25">
      <c r="A937" t="s">
        <v>2018</v>
      </c>
      <c r="B937" t="s">
        <v>1989</v>
      </c>
      <c r="C937" t="s">
        <v>2019</v>
      </c>
      <c r="D937" t="str">
        <f ca="1">IFERROR(__xludf.DUMMYFUNCTION("GOOGLETRANSLATE(B937,""es"",""en"")"),"By")</f>
        <v>By</v>
      </c>
      <c r="E937" t="str">
        <f ca="1">IFERROR(__xludf.DUMMYFUNCTION("GOOGLETRANSLATE(C937,""es"",""en"")"),"Instead of, replacement of ,,,,")</f>
        <v>Instead of, replacement of ,,,,</v>
      </c>
    </row>
    <row r="938" spans="1:5" ht="13.2" x14ac:dyDescent="0.25">
      <c r="A938" t="s">
        <v>2020</v>
      </c>
      <c r="B938" t="s">
        <v>2021</v>
      </c>
      <c r="D938" t="str">
        <f ca="1">IFERROR(__xludf.DUMMYFUNCTION("GOOGLETRANSLATE(B938,""es"",""en"")"),"Mazorca fluff")</f>
        <v>Mazorca fluff</v>
      </c>
      <c r="E938" t="str">
        <f ca="1">IFERROR(__xludf.DUMMYFUNCTION("GOOGLETRANSLATE(C938,""es"",""en"")"),"#VALUE!")</f>
        <v>#VALUE!</v>
      </c>
    </row>
    <row r="939" spans="1:5" ht="13.2" x14ac:dyDescent="0.25">
      <c r="A939" t="s">
        <v>2022</v>
      </c>
      <c r="B939" t="s">
        <v>2023</v>
      </c>
      <c r="C939" t="s">
        <v>2024</v>
      </c>
      <c r="D939" t="str">
        <f ca="1">IFERROR(__xludf.DUMMYFUNCTION("GOOGLETRANSLATE(B939,""es"",""en"")"),"Corn barn")</f>
        <v>Corn barn</v>
      </c>
      <c r="E939" t="str">
        <f ca="1">IFERROR(__xludf.DUMMYFUNCTION("GOOGLETRANSLATE(C939,""es"",""en"")"),"Silo ,,,,")</f>
        <v>Silo ,,,,</v>
      </c>
    </row>
    <row r="940" spans="1:5" ht="13.2" x14ac:dyDescent="0.25">
      <c r="A940" t="s">
        <v>2025</v>
      </c>
      <c r="B940" t="s">
        <v>2023</v>
      </c>
      <c r="C940" t="s">
        <v>2024</v>
      </c>
      <c r="D940" t="str">
        <f ca="1">IFERROR(__xludf.DUMMYFUNCTION("GOOGLETRANSLATE(B940,""es"",""en"")"),"Corn barn")</f>
        <v>Corn barn</v>
      </c>
      <c r="E940" t="str">
        <f ca="1">IFERROR(__xludf.DUMMYFUNCTION("GOOGLETRANSLATE(C940,""es"",""en"")"),"Silo ,,,,")</f>
        <v>Silo ,,,,</v>
      </c>
    </row>
    <row r="941" spans="1:5" ht="13.2" x14ac:dyDescent="0.25">
      <c r="A941" t="s">
        <v>2026</v>
      </c>
      <c r="B941" t="s">
        <v>2027</v>
      </c>
      <c r="C941" t="s">
        <v>2028</v>
      </c>
      <c r="D941" t="str">
        <f ca="1">IFERROR(__xludf.DUMMYFUNCTION("GOOGLETRANSLATE(B941,""es"",""en"")"),"Undo something soft")</f>
        <v>Undo something soft</v>
      </c>
      <c r="E941" t="str">
        <f ca="1">IFERROR(__xludf.DUMMYFUNCTION("GOOGLETRANSLATE(C941,""es"",""en"")"),"To crush, , , ,")</f>
        <v>To crush, , , ,</v>
      </c>
    </row>
    <row r="942" spans="1:5" ht="13.2" x14ac:dyDescent="0.25">
      <c r="A942" t="s">
        <v>2029</v>
      </c>
      <c r="B942" t="s">
        <v>2030</v>
      </c>
      <c r="C942" t="s">
        <v>2031</v>
      </c>
      <c r="D942" t="str">
        <f ca="1">IFERROR(__xludf.DUMMYFUNCTION("GOOGLETRANSLATE(B942,""es"",""en"")"),"Exaggerate")</f>
        <v>Exaggerate</v>
      </c>
      <c r="E942" t="str">
        <f ca="1">IFERROR(__xludf.DUMMYFUNCTION("GOOGLETRANSLATE(C942,""es"",""en"")"),"Extreme, exceed, aggravate ,,")</f>
        <v>Extreme, exceed, aggravate ,,</v>
      </c>
    </row>
    <row r="943" spans="1:5" ht="13.2" x14ac:dyDescent="0.25">
      <c r="A943" t="s">
        <v>2032</v>
      </c>
      <c r="B943" t="s">
        <v>2033</v>
      </c>
      <c r="C943" t="s">
        <v>2034</v>
      </c>
      <c r="D943" t="str">
        <f ca="1">IFERROR(__xludf.DUMMYFUNCTION("GOOGLETRANSLATE(B943,""es"",""en"")"),"Rest")</f>
        <v>Rest</v>
      </c>
      <c r="E943" t="str">
        <f ca="1">IFERROR(__xludf.DUMMYFUNCTION("GOOGLETRANSLATE(C943,""es"",""en"")"),"Plast, point ,,,,")</f>
        <v>Plast, point ,,,,</v>
      </c>
    </row>
    <row r="944" spans="1:5" ht="13.2" x14ac:dyDescent="0.25">
      <c r="A944" t="s">
        <v>2035</v>
      </c>
      <c r="B944" t="s">
        <v>2036</v>
      </c>
      <c r="C944" t="s">
        <v>2037</v>
      </c>
      <c r="D944" t="str">
        <f ca="1">IFERROR(__xludf.DUMMYFUNCTION("GOOGLETRANSLATE(B944,""es"",""en"")"),"Canoe")</f>
        <v>Canoe</v>
      </c>
      <c r="E944" t="str">
        <f ca="1">IFERROR(__xludf.DUMMYFUNCTION("GOOGLETRANSLATE(C944,""es"",""en"")"),"Batel ,,,,")</f>
        <v>Batel ,,,,</v>
      </c>
    </row>
    <row r="945" spans="1:5" ht="13.2" x14ac:dyDescent="0.25">
      <c r="A945" t="s">
        <v>2038</v>
      </c>
      <c r="B945" t="s">
        <v>2036</v>
      </c>
      <c r="C945" t="s">
        <v>2037</v>
      </c>
      <c r="D945" t="str">
        <f ca="1">IFERROR(__xludf.DUMMYFUNCTION("GOOGLETRANSLATE(B945,""es"",""en"")"),"Canoe")</f>
        <v>Canoe</v>
      </c>
      <c r="E945" t="str">
        <f ca="1">IFERROR(__xludf.DUMMYFUNCTION("GOOGLETRANSLATE(C945,""es"",""en"")"),"Batel ,,,,")</f>
        <v>Batel ,,,,</v>
      </c>
    </row>
    <row r="946" spans="1:5" ht="13.2" x14ac:dyDescent="0.25">
      <c r="A946" t="s">
        <v>2039</v>
      </c>
      <c r="B946" t="s">
        <v>2036</v>
      </c>
      <c r="C946" t="s">
        <v>2037</v>
      </c>
      <c r="D946" t="str">
        <f ca="1">IFERROR(__xludf.DUMMYFUNCTION("GOOGLETRANSLATE(B946,""es"",""en"")"),"Canoe")</f>
        <v>Canoe</v>
      </c>
      <c r="E946" t="str">
        <f ca="1">IFERROR(__xludf.DUMMYFUNCTION("GOOGLETRANSLATE(C946,""es"",""en"")"),"Batel ,,,,")</f>
        <v>Batel ,,,,</v>
      </c>
    </row>
    <row r="947" spans="1:5" ht="13.2" x14ac:dyDescent="0.25">
      <c r="A947" t="s">
        <v>2040</v>
      </c>
      <c r="B947" t="s">
        <v>2041</v>
      </c>
      <c r="C947" t="s">
        <v>2042</v>
      </c>
      <c r="D947" t="str">
        <f ca="1">IFERROR(__xludf.DUMMYFUNCTION("GOOGLETRANSLATE(B947,""es"",""en"")"),"Mingle")</f>
        <v>Mingle</v>
      </c>
      <c r="E947" t="str">
        <f ca="1">IFERROR(__xludf.DUMMYFUNCTION("GOOGLETRANSLATE(C947,""es"",""en"")"),"Tangle, confuse ,,,,")</f>
        <v>Tangle, confuse ,,,,</v>
      </c>
    </row>
    <row r="948" spans="1:5" ht="13.2" x14ac:dyDescent="0.25">
      <c r="A948" t="s">
        <v>2043</v>
      </c>
      <c r="B948" t="s">
        <v>2044</v>
      </c>
      <c r="C948" t="s">
        <v>2045</v>
      </c>
      <c r="D948" t="str">
        <f ca="1">IFERROR(__xludf.DUMMYFUNCTION("GOOGLETRANSLATE(B948,""es"",""en"")"),"Not yet")</f>
        <v>Not yet</v>
      </c>
      <c r="E948" t="str">
        <f ca="1">IFERROR(__xludf.DUMMYFUNCTION("GOOGLETRANSLATE(C948,""es"",""en"")")," A moment, wait ,,,,")</f>
        <v xml:space="preserve"> A moment, wait ,,,,</v>
      </c>
    </row>
    <row r="949" spans="1:5" ht="13.2" x14ac:dyDescent="0.25">
      <c r="A949" t="s">
        <v>122</v>
      </c>
      <c r="B949" t="s">
        <v>119</v>
      </c>
      <c r="C949" t="s">
        <v>120</v>
      </c>
      <c r="D949" t="str">
        <f ca="1">IFERROR(__xludf.DUMMYFUNCTION("GOOGLETRANSLATE(B949,""es"",""en"")"),"Kill")</f>
        <v>Kill</v>
      </c>
      <c r="E949" t="str">
        <f ca="1">IFERROR(__xludf.DUMMYFUNCTION("GOOGLETRANSLATE(C949,""es"",""en"")"),"Eliminate, , , ,")</f>
        <v>Eliminate, , , ,</v>
      </c>
    </row>
    <row r="950" spans="1:5" ht="13.2" x14ac:dyDescent="0.25">
      <c r="A950" t="s">
        <v>123</v>
      </c>
      <c r="B950" t="s">
        <v>119</v>
      </c>
      <c r="C950" t="s">
        <v>120</v>
      </c>
      <c r="D950" t="str">
        <f ca="1">IFERROR(__xludf.DUMMYFUNCTION("GOOGLETRANSLATE(B950,""es"",""en"")"),"Kill")</f>
        <v>Kill</v>
      </c>
      <c r="E950" t="str">
        <f ca="1">IFERROR(__xludf.DUMMYFUNCTION("GOOGLETRANSLATE(C950,""es"",""en"")"),"Eliminate, , , ,")</f>
        <v>Eliminate, , , ,</v>
      </c>
    </row>
    <row r="951" spans="1:5" ht="13.2" x14ac:dyDescent="0.25">
      <c r="A951" t="s">
        <v>118</v>
      </c>
      <c r="B951" t="s">
        <v>119</v>
      </c>
      <c r="C951" t="s">
        <v>2046</v>
      </c>
      <c r="D951" t="str">
        <f ca="1">IFERROR(__xludf.DUMMYFUNCTION("GOOGLETRANSLATE(B951,""es"",""en"")"),"Kill")</f>
        <v>Kill</v>
      </c>
      <c r="E951" t="str">
        <f ca="1">IFERROR(__xludf.DUMMYFUNCTION("GOOGLETRANSLATE(C951,""es"",""en"")"),"struggle")</f>
        <v>struggle</v>
      </c>
    </row>
    <row r="952" spans="1:5" ht="13.2" x14ac:dyDescent="0.25">
      <c r="A952" t="s">
        <v>2047</v>
      </c>
      <c r="B952" t="s">
        <v>2048</v>
      </c>
      <c r="C952" t="s">
        <v>2049</v>
      </c>
      <c r="D952" t="str">
        <f ca="1">IFERROR(__xludf.DUMMYFUNCTION("GOOGLETRANSLATE(B952,""es"",""en"")"),"Peel")</f>
        <v>Peel</v>
      </c>
      <c r="E952" t="str">
        <f ca="1">IFERROR(__xludf.DUMMYFUNCTION("GOOGLETRANSLATE(C952,""es"",""en"")"),"struggle")</f>
        <v>struggle</v>
      </c>
    </row>
    <row r="953" spans="1:5" ht="13.2" x14ac:dyDescent="0.25">
      <c r="A953" t="s">
        <v>2050</v>
      </c>
      <c r="B953" t="s">
        <v>2048</v>
      </c>
      <c r="C953" t="s">
        <v>2051</v>
      </c>
      <c r="D953" t="str">
        <f ca="1">IFERROR(__xludf.DUMMYFUNCTION("GOOGLETRANSLATE(B953,""es"",""en"")"),"Peel")</f>
        <v>Peel</v>
      </c>
      <c r="E953" t="str">
        <f ca="1">IFERROR(__xludf.DUMMYFUNCTION("GOOGLETRANSLATE(C953,""es"",""en"")"),"Remove the peel, , , ,")</f>
        <v>Remove the peel, , , ,</v>
      </c>
    </row>
    <row r="954" spans="1:5" ht="13.2" x14ac:dyDescent="0.25">
      <c r="A954" t="s">
        <v>2052</v>
      </c>
      <c r="B954" t="s">
        <v>2048</v>
      </c>
      <c r="C954" t="s">
        <v>2051</v>
      </c>
      <c r="D954" t="str">
        <f ca="1">IFERROR(__xludf.DUMMYFUNCTION("GOOGLETRANSLATE(B954,""es"",""en"")"),"Peel")</f>
        <v>Peel</v>
      </c>
      <c r="E954" t="str">
        <f ca="1">IFERROR(__xludf.DUMMYFUNCTION("GOOGLETRANSLATE(C954,""es"",""en"")"),"Remove the peel, , , ,")</f>
        <v>Remove the peel, , , ,</v>
      </c>
    </row>
    <row r="955" spans="1:5" ht="13.2" x14ac:dyDescent="0.25">
      <c r="A955" t="s">
        <v>2053</v>
      </c>
      <c r="B955" t="s">
        <v>2054</v>
      </c>
      <c r="C955" t="s">
        <v>2055</v>
      </c>
      <c r="D955" t="str">
        <f ca="1">IFERROR(__xludf.DUMMYFUNCTION("GOOGLETRANSLATE(B955,""es"",""en"")"),"Wake up")</f>
        <v>Wake up</v>
      </c>
      <c r="E955" t="str">
        <f ca="1">IFERROR(__xludf.DUMMYFUNCTION("GOOGLETRANSLATE(C955,""es"",""en"")"),"Enliven, stimulate ,,,")</f>
        <v>Enliven, stimulate ,,,</v>
      </c>
    </row>
    <row r="956" spans="1:5" ht="13.2" x14ac:dyDescent="0.25">
      <c r="A956" t="s">
        <v>2056</v>
      </c>
      <c r="B956" t="s">
        <v>2057</v>
      </c>
      <c r="C956" t="s">
        <v>2058</v>
      </c>
      <c r="D956" t="str">
        <f ca="1">IFERROR(__xludf.DUMMYFUNCTION("GOOGLETRANSLATE(B956,""es"",""en"")"),"Explain")</f>
        <v>Explain</v>
      </c>
      <c r="E956" t="str">
        <f ca="1">IFERROR(__xludf.DUMMYFUNCTION("GOOGLETRANSLATE(C956,""es"",""en"")"),"Interpret, translate ,,")</f>
        <v>Interpret, translate ,,</v>
      </c>
    </row>
    <row r="957" spans="1:5" ht="13.2" x14ac:dyDescent="0.25">
      <c r="A957" t="s">
        <v>2059</v>
      </c>
      <c r="B957" t="s">
        <v>2057</v>
      </c>
      <c r="C957" t="s">
        <v>2060</v>
      </c>
      <c r="D957" t="str">
        <f ca="1">IFERROR(__xludf.DUMMYFUNCTION("GOOGLETRANSLATE(B957,""es"",""en"")"),"Explain")</f>
        <v>Explain</v>
      </c>
      <c r="E957" t="str">
        <f ca="1">IFERROR(__xludf.DUMMYFUNCTION("GOOGLETRANSLATE(C957,""es"",""en"")"),"Interpret, translate ,,,")</f>
        <v>Interpret, translate ,,,</v>
      </c>
    </row>
    <row r="958" spans="1:5" ht="13.2" x14ac:dyDescent="0.25">
      <c r="A958" t="s">
        <v>2061</v>
      </c>
      <c r="B958" t="s">
        <v>2062</v>
      </c>
      <c r="C958" t="s">
        <v>2063</v>
      </c>
      <c r="D958" t="str">
        <f ca="1">IFERROR(__xludf.DUMMYFUNCTION("GOOGLETRANSLATE(B958,""es"",""en"")"),"Lower")</f>
        <v>Lower</v>
      </c>
      <c r="E958" t="str">
        <f ca="1">IFERROR(__xludf.DUMMYFUNCTION("GOOGLETRANSLATE(C958,""es"",""en"")"),"Descend something ,,,,")</f>
        <v>Descend something ,,,,</v>
      </c>
    </row>
    <row r="959" spans="1:5" ht="13.2" x14ac:dyDescent="0.25">
      <c r="A959" t="s">
        <v>2064</v>
      </c>
      <c r="B959" t="s">
        <v>2044</v>
      </c>
      <c r="C959" t="s">
        <v>2065</v>
      </c>
      <c r="D959" t="str">
        <f ca="1">IFERROR(__xludf.DUMMYFUNCTION("GOOGLETRANSLATE(B959,""es"",""en"")"),"Not yet")</f>
        <v>Not yet</v>
      </c>
      <c r="E959" t="str">
        <f ca="1">IFERROR(__xludf.DUMMYFUNCTION("GOOGLETRANSLATE(C959,""es"",""en"")"),"One moment, , , ,")</f>
        <v>One moment, , , ,</v>
      </c>
    </row>
    <row r="960" spans="1:5" ht="13.2" x14ac:dyDescent="0.25">
      <c r="A960" t="s">
        <v>2066</v>
      </c>
      <c r="B960" t="s">
        <v>2062</v>
      </c>
      <c r="C960" t="s">
        <v>2063</v>
      </c>
      <c r="D960" t="str">
        <f ca="1">IFERROR(__xludf.DUMMYFUNCTION("GOOGLETRANSLATE(B960,""es"",""en"")"),"Lower")</f>
        <v>Lower</v>
      </c>
      <c r="E960" t="str">
        <f ca="1">IFERROR(__xludf.DUMMYFUNCTION("GOOGLETRANSLATE(C960,""es"",""en"")"),"Descend something ,,,,")</f>
        <v>Descend something ,,,,</v>
      </c>
    </row>
    <row r="961" spans="1:5" ht="13.2" x14ac:dyDescent="0.25">
      <c r="A961" t="s">
        <v>2067</v>
      </c>
      <c r="B961" t="s">
        <v>856</v>
      </c>
      <c r="C961" t="s">
        <v>2068</v>
      </c>
      <c r="D961" t="str">
        <f ca="1">IFERROR(__xludf.DUMMYFUNCTION("GOOGLETRANSLATE(B961,""es"",""en"")"),"Straight")</f>
        <v>Straight</v>
      </c>
      <c r="E961" t="str">
        <f ca="1">IFERROR(__xludf.DUMMYFUNCTION("GOOGLETRANSLATE(C961,""es"",""en"")"),"Rectilinear ,,,,")</f>
        <v>Rectilinear ,,,,</v>
      </c>
    </row>
    <row r="962" spans="1:5" ht="13.2" x14ac:dyDescent="0.25">
      <c r="A962" t="s">
        <v>2069</v>
      </c>
      <c r="B962" t="s">
        <v>856</v>
      </c>
      <c r="C962" t="s">
        <v>2068</v>
      </c>
      <c r="D962" t="str">
        <f ca="1">IFERROR(__xludf.DUMMYFUNCTION("GOOGLETRANSLATE(B962,""es"",""en"")"),"Straight")</f>
        <v>Straight</v>
      </c>
      <c r="E962" t="str">
        <f ca="1">IFERROR(__xludf.DUMMYFUNCTION("GOOGLETRANSLATE(C962,""es"",""en"")"),"Rectilinear ,,,,")</f>
        <v>Rectilinear ,,,,</v>
      </c>
    </row>
    <row r="963" spans="1:5" ht="13.2" x14ac:dyDescent="0.25">
      <c r="A963" t="s">
        <v>2070</v>
      </c>
      <c r="B963" t="s">
        <v>2071</v>
      </c>
      <c r="C963" t="s">
        <v>2072</v>
      </c>
      <c r="D963" t="str">
        <f ca="1">IFERROR(__xludf.DUMMYFUNCTION("GOOGLETRANSLATE(B963,""es"",""en"")"),"Dry off")</f>
        <v>Dry off</v>
      </c>
      <c r="E963" t="str">
        <f ca="1">IFERROR(__xludf.DUMMYFUNCTION("GOOGLETRANSLATE(C963,""es"",""en"")"),"Wait, drain ,,,,")</f>
        <v>Wait, drain ,,,,</v>
      </c>
    </row>
    <row r="964" spans="1:5" ht="13.2" x14ac:dyDescent="0.25">
      <c r="A964" t="s">
        <v>2073</v>
      </c>
      <c r="B964" t="s">
        <v>2071</v>
      </c>
      <c r="C964" t="s">
        <v>2074</v>
      </c>
      <c r="D964" t="str">
        <f ca="1">IFERROR(__xludf.DUMMYFUNCTION("GOOGLETRANSLATE(B964,""es"",""en"")"),"Dry off")</f>
        <v>Dry off</v>
      </c>
      <c r="E964" t="str">
        <f ca="1">IFERROR(__xludf.DUMMYFUNCTION("GOOGLETRANSLATE(C964,""es"",""en"")"),"Enugar, drain ,,,,")</f>
        <v>Enugar, drain ,,,,</v>
      </c>
    </row>
    <row r="965" spans="1:5" ht="13.2" x14ac:dyDescent="0.25">
      <c r="A965" t="s">
        <v>2075</v>
      </c>
      <c r="B965" t="s">
        <v>2076</v>
      </c>
      <c r="C965" t="s">
        <v>2077</v>
      </c>
      <c r="D965" t="str">
        <f ca="1">IFERROR(__xludf.DUMMYFUNCTION("GOOGLETRANSLATE(B965,""es"",""en"")"),"To put")</f>
        <v>To put</v>
      </c>
      <c r="E965" t="str">
        <f ca="1">IFERROR(__xludf.DUMMYFUNCTION("GOOGLETRANSLATE(C965,""es"",""en"")"),"Introduce, locate, nest,")</f>
        <v>Introduce, locate, nest,</v>
      </c>
    </row>
    <row r="966" spans="1:5" ht="13.2" x14ac:dyDescent="0.25">
      <c r="A966" t="s">
        <v>2078</v>
      </c>
      <c r="B966" t="s">
        <v>2079</v>
      </c>
      <c r="C966" t="s">
        <v>2080</v>
      </c>
      <c r="D966" t="str">
        <f ca="1">IFERROR(__xludf.DUMMYFUNCTION("GOOGLETRANSLATE(B966,""es"",""en"")"),"Hide")</f>
        <v>Hide</v>
      </c>
      <c r="E966" t="str">
        <f ca="1">IFERROR(__xludf.DUMMYFUNCTION("GOOGLETRANSLATE(C966,""es"",""en"")"),"Disguise, , , ,")</f>
        <v>Disguise, , , ,</v>
      </c>
    </row>
    <row r="967" spans="1:5" ht="13.2" x14ac:dyDescent="0.25">
      <c r="A967" t="s">
        <v>2081</v>
      </c>
      <c r="B967" t="s">
        <v>2082</v>
      </c>
      <c r="C967" t="s">
        <v>2083</v>
      </c>
      <c r="D967" t="str">
        <f ca="1">IFERROR(__xludf.DUMMYFUNCTION("GOOGLETRANSLATE(B967,""es"",""en"")"),"Teach")</f>
        <v>Teach</v>
      </c>
      <c r="E967" t="str">
        <f ca="1">IFERROR(__xludf.DUMMYFUNCTION("GOOGLETRANSLATE(C967,""es"",""en"")"),"Educate, dsiciplinar, teacher,")</f>
        <v>Educate, dsiciplinar, teacher,</v>
      </c>
    </row>
    <row r="968" spans="1:5" ht="13.2" x14ac:dyDescent="0.25">
      <c r="A968" t="s">
        <v>1697</v>
      </c>
      <c r="B968" t="s">
        <v>1695</v>
      </c>
      <c r="C968" t="s">
        <v>2084</v>
      </c>
      <c r="D968" t="str">
        <f ca="1">IFERROR(__xludf.DUMMYFUNCTION("GOOGLETRANSLATE(B968,""es"",""en"")"),"Faint")</f>
        <v>Faint</v>
      </c>
      <c r="E968" t="str">
        <f ca="1">IFERROR(__xludf.DUMMYFUNCTION("GOOGLETRANSLATE(C968,""es"",""en"")"),"Get lost ,,,,")</f>
        <v>Get lost ,,,,</v>
      </c>
    </row>
    <row r="969" spans="1:5" ht="13.2" x14ac:dyDescent="0.25">
      <c r="A969" t="s">
        <v>1694</v>
      </c>
      <c r="B969" t="s">
        <v>1695</v>
      </c>
      <c r="D969" t="str">
        <f ca="1">IFERROR(__xludf.DUMMYFUNCTION("GOOGLETRANSLATE(B969,""es"",""en"")"),"Faint")</f>
        <v>Faint</v>
      </c>
      <c r="E969" t="str">
        <f ca="1">IFERROR(__xludf.DUMMYFUNCTION("GOOGLETRANSLATE(C969,""es"",""en"")"),"#VALUE!")</f>
        <v>#VALUE!</v>
      </c>
    </row>
    <row r="970" spans="1:5" ht="13.2" x14ac:dyDescent="0.25">
      <c r="A970" t="s">
        <v>2085</v>
      </c>
      <c r="B970" t="s">
        <v>2044</v>
      </c>
      <c r="C970" t="s">
        <v>2045</v>
      </c>
      <c r="D970" t="str">
        <f ca="1">IFERROR(__xludf.DUMMYFUNCTION("GOOGLETRANSLATE(B970,""es"",""en"")"),"Not yet")</f>
        <v>Not yet</v>
      </c>
      <c r="E970" t="str">
        <f ca="1">IFERROR(__xludf.DUMMYFUNCTION("GOOGLETRANSLATE(C970,""es"",""en"")")," A moment, wait ,,,,")</f>
        <v xml:space="preserve"> A moment, wait ,,,,</v>
      </c>
    </row>
    <row r="971" spans="1:5" ht="13.2" x14ac:dyDescent="0.25">
      <c r="A971" t="s">
        <v>2086</v>
      </c>
      <c r="B971" t="s">
        <v>2087</v>
      </c>
      <c r="D971" t="str">
        <f ca="1">IFERROR(__xludf.DUMMYFUNCTION("GOOGLETRANSLATE(B971,""es"",""en"")"),"Lose")</f>
        <v>Lose</v>
      </c>
      <c r="E971" t="str">
        <f ca="1">IFERROR(__xludf.DUMMYFUNCTION("GOOGLETRANSLATE(C971,""es"",""en"")"),"#VALUE!")</f>
        <v>#VALUE!</v>
      </c>
    </row>
    <row r="972" spans="1:5" ht="13.2" x14ac:dyDescent="0.25">
      <c r="A972" t="s">
        <v>2088</v>
      </c>
      <c r="B972" t="s">
        <v>2089</v>
      </c>
      <c r="C972" t="s">
        <v>2090</v>
      </c>
      <c r="D972" t="str">
        <f ca="1">IFERROR(__xludf.DUMMYFUNCTION("GOOGLETRANSLATE(B972,""es"",""en"")"),"Light")</f>
        <v>Light</v>
      </c>
      <c r="E972" t="str">
        <f ca="1">IFERROR(__xludf.DUMMYFUNCTION("GOOGLETRANSLATE(C972,""es"",""en"")"),"Do something, , , ,")</f>
        <v>Do something, , , ,</v>
      </c>
    </row>
    <row r="973" spans="1:5" ht="13.2" x14ac:dyDescent="0.25">
      <c r="A973" t="s">
        <v>2091</v>
      </c>
      <c r="B973" t="s">
        <v>2092</v>
      </c>
      <c r="D973" t="s">
        <v>2093</v>
      </c>
      <c r="E973" t="str">
        <f ca="1">IFERROR(__xludf.DUMMYFUNCTION("GOOGLETRANSLATE(C973,""es"",""en"")"),"#VALUE!")</f>
        <v>#VALUE!</v>
      </c>
    </row>
    <row r="974" spans="1:5" ht="13.2" x14ac:dyDescent="0.25">
      <c r="A974" t="s">
        <v>2094</v>
      </c>
      <c r="B974" t="s">
        <v>2095</v>
      </c>
      <c r="C974" t="s">
        <v>2096</v>
      </c>
      <c r="D974" t="str">
        <f ca="1">IFERROR(__xludf.DUMMYFUNCTION("GOOGLETRANSLATE(B974,""es"",""en"")"),"Bath")</f>
        <v>Bath</v>
      </c>
      <c r="E974" t="str">
        <f ca="1">IFERROR(__xludf.DUMMYFUNCTION("GOOGLETRANSLATE(C974,""es"",""en"")"),"Wet, shower ,,,,")</f>
        <v>Wet, shower ,,,,</v>
      </c>
    </row>
    <row r="975" spans="1:5" ht="13.2" x14ac:dyDescent="0.25">
      <c r="A975" t="s">
        <v>1995</v>
      </c>
      <c r="B975" t="s">
        <v>1996</v>
      </c>
      <c r="D975" t="str">
        <f ca="1">IFERROR(__xludf.DUMMYFUNCTION("GOOGLETRANSLATE(B975,""es"",""en"")"),"Spare")</f>
        <v>Spare</v>
      </c>
      <c r="E975" t="str">
        <f ca="1">IFERROR(__xludf.DUMMYFUNCTION("GOOGLETRANSLATE(C975,""es"",""en"")"),"#VALUE!")</f>
        <v>#VALUE!</v>
      </c>
    </row>
    <row r="976" spans="1:5" ht="13.2" x14ac:dyDescent="0.25">
      <c r="A976" t="s">
        <v>2097</v>
      </c>
      <c r="B976" t="s">
        <v>2098</v>
      </c>
      <c r="C976" t="s">
        <v>2099</v>
      </c>
      <c r="D976" t="s">
        <v>2100</v>
      </c>
      <c r="E976" t="str">
        <f ca="1">IFERROR(__xludf.DUMMYFUNCTION("GOOGLETRANSLATE(C976,""es"",""en"")"),"Extinguish ,,,,")</f>
        <v>Extinguish ,,,,</v>
      </c>
    </row>
    <row r="977" spans="1:5" ht="13.2" x14ac:dyDescent="0.25">
      <c r="A977" t="s">
        <v>2101</v>
      </c>
      <c r="B977" t="s">
        <v>2102</v>
      </c>
      <c r="D977" t="str">
        <f ca="1">IFERROR(__xludf.DUMMYFUNCTION("GOOGLETRANSLATE(B977,""es"",""en"")"),"Coconut")</f>
        <v>Coconut</v>
      </c>
      <c r="E977" t="str">
        <f ca="1">IFERROR(__xludf.DUMMYFUNCTION("GOOGLETRANSLATE(C977,""es"",""en"")"),"#VALUE!")</f>
        <v>#VALUE!</v>
      </c>
    </row>
    <row r="978" spans="1:5" ht="13.2" x14ac:dyDescent="0.25">
      <c r="A978" t="s">
        <v>2103</v>
      </c>
      <c r="B978" t="s">
        <v>2102</v>
      </c>
      <c r="D978" t="str">
        <f ca="1">IFERROR(__xludf.DUMMYFUNCTION("GOOGLETRANSLATE(B978,""es"",""en"")"),"Coconut")</f>
        <v>Coconut</v>
      </c>
      <c r="E978" t="str">
        <f ca="1">IFERROR(__xludf.DUMMYFUNCTION("GOOGLETRANSLATE(C978,""es"",""en"")"),"#VALUE!")</f>
        <v>#VALUE!</v>
      </c>
    </row>
    <row r="979" spans="1:5" ht="13.2" x14ac:dyDescent="0.25">
      <c r="A979" t="s">
        <v>2104</v>
      </c>
      <c r="B979" t="s">
        <v>2105</v>
      </c>
      <c r="D979" t="str">
        <f ca="1">IFERROR(__xludf.DUMMYFUNCTION("GOOGLETRANSLATE(B979,""es"",""en"")"),"Rest of grated coconut")</f>
        <v>Rest of grated coconut</v>
      </c>
      <c r="E979" t="str">
        <f ca="1">IFERROR(__xludf.DUMMYFUNCTION("GOOGLETRANSLATE(C979,""es"",""en"")"),"#VALUE!")</f>
        <v>#VALUE!</v>
      </c>
    </row>
    <row r="980" spans="1:5" ht="13.2" x14ac:dyDescent="0.25">
      <c r="A980" t="s">
        <v>2106</v>
      </c>
      <c r="B980" t="s">
        <v>2107</v>
      </c>
      <c r="D980" t="str">
        <f ca="1">IFERROR(__xludf.DUMMYFUNCTION("GOOGLETRANSLATE(B980,""es"",""en"")"),"Coconut of tender corn")</f>
        <v>Coconut of tender corn</v>
      </c>
      <c r="E980" t="str">
        <f ca="1">IFERROR(__xludf.DUMMYFUNCTION("GOOGLETRANSLATE(C980,""es"",""en"")"),"#VALUE!")</f>
        <v>#VALUE!</v>
      </c>
    </row>
    <row r="981" spans="1:5" ht="13.2" x14ac:dyDescent="0.25">
      <c r="A981" t="s">
        <v>2108</v>
      </c>
      <c r="B981" t="s">
        <v>2109</v>
      </c>
      <c r="C981" t="s">
        <v>2110</v>
      </c>
      <c r="D981" t="str">
        <f ca="1">IFERROR(__xludf.DUMMYFUNCTION("GOOGLETRANSLATE(B981,""es"",""en"")"),"Ten")</f>
        <v>Ten</v>
      </c>
      <c r="E981" t="str">
        <f ca="1">IFERROR(__xludf.DUMMYFUNCTION("GOOGLETRANSLATE(C981,""es"",""en"")"),"Sister -in -law said by a male ,,,,")</f>
        <v>Sister -in -law said by a male ,,,,</v>
      </c>
    </row>
    <row r="982" spans="1:5" ht="13.2" x14ac:dyDescent="0.25">
      <c r="A982" t="s">
        <v>2111</v>
      </c>
      <c r="B982" t="s">
        <v>2112</v>
      </c>
      <c r="D982" t="str">
        <f ca="1">IFERROR(__xludf.DUMMYFUNCTION("GOOGLETRANSLATE(B982,""es"",""en"")"),"Rayado Cocor")</f>
        <v>Rayado Cocor</v>
      </c>
      <c r="E982" t="str">
        <f ca="1">IFERROR(__xludf.DUMMYFUNCTION("GOOGLETRANSLATE(C982,""es"",""en"")"),"#VALUE!")</f>
        <v>#VALUE!</v>
      </c>
    </row>
    <row r="983" spans="1:5" ht="13.2" x14ac:dyDescent="0.25">
      <c r="A983" t="s">
        <v>2113</v>
      </c>
      <c r="B983" t="s">
        <v>2102</v>
      </c>
      <c r="C983" t="s">
        <v>2114</v>
      </c>
      <c r="D983" t="str">
        <f ca="1">IFERROR(__xludf.DUMMYFUNCTION("GOOGLETRANSLATE(B983,""es"",""en"")"),"Coconut")</f>
        <v>Coconut</v>
      </c>
      <c r="E983" t="str">
        <f ca="1">IFERROR(__xludf.DUMMYFUNCTION("GOOGLETRANSLATE(C983,""es"",""en"")"),"Rayado ,,,,")</f>
        <v>Rayado ,,,,</v>
      </c>
    </row>
    <row r="984" spans="1:5" ht="13.2" x14ac:dyDescent="0.25">
      <c r="A984" t="s">
        <v>2115</v>
      </c>
      <c r="B984" t="s">
        <v>2116</v>
      </c>
      <c r="C984" t="s">
        <v>2117</v>
      </c>
      <c r="D984" t="str">
        <f ca="1">IFERROR(__xludf.DUMMYFUNCTION("GOOGLETRANSLATE(B984,""es"",""en"")"),"Coconut pear tenaza")</f>
        <v>Coconut pear tenaza</v>
      </c>
      <c r="E984" t="str">
        <f ca="1">IFERROR(__xludf.DUMMYFUNCTION("GOOGLETRANSLATE(C984,""es"",""en"")"),"DESCASCARAR COCO ,,,,")</f>
        <v>DESCASCARAR COCO ,,,,</v>
      </c>
    </row>
    <row r="985" spans="1:5" ht="13.2" x14ac:dyDescent="0.25">
      <c r="A985" t="s">
        <v>2118</v>
      </c>
      <c r="B985" t="s">
        <v>2119</v>
      </c>
      <c r="D985" t="str">
        <f ca="1">IFERROR(__xludf.DUMMYFUNCTION("GOOGLETRANSLATE(B985,""es"",""en"")"),"Coconuto sheet")</f>
        <v>Coconuto sheet</v>
      </c>
      <c r="E985" t="str">
        <f ca="1">IFERROR(__xludf.DUMMYFUNCTION("GOOGLETRANSLATE(C985,""es"",""en"")"),"#VALUE!")</f>
        <v>#VALUE!</v>
      </c>
    </row>
    <row r="986" spans="1:5" ht="13.2" x14ac:dyDescent="0.25">
      <c r="A986" t="s">
        <v>2120</v>
      </c>
      <c r="B986" t="s">
        <v>2121</v>
      </c>
      <c r="D986" t="s">
        <v>2122</v>
      </c>
      <c r="E986" t="str">
        <f ca="1">IFERROR(__xludf.DUMMYFUNCTION("GOOGLETRANSLATE(C986,""es"",""en"")"),"#VALUE!")</f>
        <v>#VALUE!</v>
      </c>
    </row>
    <row r="987" spans="1:5" ht="13.2" x14ac:dyDescent="0.25">
      <c r="A987" t="s">
        <v>2123</v>
      </c>
      <c r="B987" t="s">
        <v>2121</v>
      </c>
      <c r="D987" t="s">
        <v>2122</v>
      </c>
      <c r="E987" t="str">
        <f ca="1">IFERROR(__xludf.DUMMYFUNCTION("GOOGLETRANSLATE(C987,""es"",""en"")"),"#VALUE!")</f>
        <v>#VALUE!</v>
      </c>
    </row>
    <row r="988" spans="1:5" ht="13.2" x14ac:dyDescent="0.25">
      <c r="A988" t="s">
        <v>2124</v>
      </c>
      <c r="B988" t="s">
        <v>2125</v>
      </c>
      <c r="D988" t="str">
        <f ca="1">IFERROR(__xludf.DUMMYFUNCTION("GOOGLETRANSLATE(B988,""es"",""en"")"),"Coconut oil")</f>
        <v>Coconut oil</v>
      </c>
      <c r="E988" t="str">
        <f ca="1">IFERROR(__xludf.DUMMYFUNCTION("GOOGLETRANSLATE(C988,""es"",""en"")"),"#VALUE!")</f>
        <v>#VALUE!</v>
      </c>
    </row>
    <row r="989" spans="1:5" ht="13.2" x14ac:dyDescent="0.25">
      <c r="A989" t="s">
        <v>2126</v>
      </c>
      <c r="B989" t="s">
        <v>2127</v>
      </c>
      <c r="D989" t="str">
        <f ca="1">IFERROR(__xludf.DUMMYFUNCTION("GOOGLETRANSLATE(B989,""es"",""en"")"),"Coconut born")</f>
        <v>Coconut born</v>
      </c>
      <c r="E989" t="str">
        <f ca="1">IFERROR(__xludf.DUMMYFUNCTION("GOOGLETRANSLATE(C989,""es"",""en"")"),"#VALUE!")</f>
        <v>#VALUE!</v>
      </c>
    </row>
    <row r="990" spans="1:5" ht="13.2" x14ac:dyDescent="0.25">
      <c r="A990" t="s">
        <v>2128</v>
      </c>
      <c r="B990" t="s">
        <v>2129</v>
      </c>
      <c r="D990" t="str">
        <f ca="1">IFERROR(__xludf.DUMMYFUNCTION("GOOGLETRANSLATE(B990,""es"",""en"")"),"Coconut milk")</f>
        <v>Coconut milk</v>
      </c>
      <c r="E990" t="str">
        <f ca="1">IFERROR(__xludf.DUMMYFUNCTION("GOOGLETRANSLATE(C990,""es"",""en"")"),"#VALUE!")</f>
        <v>#VALUE!</v>
      </c>
    </row>
    <row r="991" spans="1:5" ht="13.2" x14ac:dyDescent="0.25">
      <c r="A991" t="s">
        <v>2130</v>
      </c>
      <c r="B991" t="s">
        <v>2129</v>
      </c>
      <c r="D991" t="str">
        <f ca="1">IFERROR(__xludf.DUMMYFUNCTION("GOOGLETRANSLATE(B991,""es"",""en"")"),"Coconut milk")</f>
        <v>Coconut milk</v>
      </c>
      <c r="E991" t="str">
        <f ca="1">IFERROR(__xludf.DUMMYFUNCTION("GOOGLETRANSLATE(C991,""es"",""en"")"),"#VALUE!")</f>
        <v>#VALUE!</v>
      </c>
    </row>
    <row r="992" spans="1:5" ht="13.2" x14ac:dyDescent="0.25">
      <c r="A992" t="s">
        <v>2131</v>
      </c>
      <c r="B992" t="s">
        <v>1886</v>
      </c>
      <c r="D992" t="str">
        <f ca="1">IFERROR(__xludf.DUMMYFUNCTION("GOOGLETRANSLATE(B992,""es"",""en"")"),"Boa")</f>
        <v>Boa</v>
      </c>
      <c r="E992" t="str">
        <f ca="1">IFERROR(__xludf.DUMMYFUNCTION("GOOGLETRANSLATE(C992,""es"",""en"")"),"#VALUE!")</f>
        <v>#VALUE!</v>
      </c>
    </row>
    <row r="993" spans="1:5" ht="13.2" x14ac:dyDescent="0.25">
      <c r="A993" t="s">
        <v>2132</v>
      </c>
      <c r="B993" t="s">
        <v>2133</v>
      </c>
      <c r="D993" t="str">
        <f ca="1">IFERROR(__xludf.DUMMYFUNCTION("GOOGLETRANSLATE(B993,""es"",""en"")"),"Brother-in-law")</f>
        <v>Brother-in-law</v>
      </c>
      <c r="E993" t="str">
        <f ca="1">IFERROR(__xludf.DUMMYFUNCTION("GOOGLETRANSLATE(C993,""es"",""en"")"),"#VALUE!")</f>
        <v>#VALUE!</v>
      </c>
    </row>
    <row r="994" spans="1:5" ht="13.2" x14ac:dyDescent="0.25">
      <c r="A994" t="s">
        <v>2134</v>
      </c>
      <c r="B994" t="s">
        <v>2135</v>
      </c>
      <c r="C994" t="s">
        <v>2136</v>
      </c>
      <c r="D994" t="s">
        <v>2137</v>
      </c>
      <c r="E994" t="str">
        <f ca="1">IFERROR(__xludf.DUMMYFUNCTION("GOOGLETRANSLATE(C994,""es"",""en"")"),"Coconut shell, , , ,")</f>
        <v>Coconut shell, , , ,</v>
      </c>
    </row>
    <row r="995" spans="1:5" ht="13.2" x14ac:dyDescent="0.25">
      <c r="A995" t="s">
        <v>2138</v>
      </c>
      <c r="B995" t="s">
        <v>2139</v>
      </c>
      <c r="D995" t="str">
        <f ca="1">IFERROR(__xludf.DUMMYFUNCTION("GOOGLETRANSLATE(B995,""es"",""en"")"),"Coconut palm")</f>
        <v>Coconut palm</v>
      </c>
      <c r="E995" t="str">
        <f ca="1">IFERROR(__xludf.DUMMYFUNCTION("GOOGLETRANSLATE(C995,""es"",""en"")"),"#VALUE!")</f>
        <v>#VALUE!</v>
      </c>
    </row>
    <row r="996" spans="1:5" ht="13.2" x14ac:dyDescent="0.25">
      <c r="A996" t="s">
        <v>2140</v>
      </c>
      <c r="B996" t="s">
        <v>2141</v>
      </c>
      <c r="D996" t="str">
        <f ca="1">IFERROR(__xludf.DUMMYFUNCTION("GOOGLETRANSLATE(B996,""es"",""en"")"),"Coconut trunk")</f>
        <v>Coconut trunk</v>
      </c>
      <c r="E996" t="str">
        <f ca="1">IFERROR(__xludf.DUMMYFUNCTION("GOOGLETRANSLATE(C996,""es"",""en"")"),"#VALUE!")</f>
        <v>#VALUE!</v>
      </c>
    </row>
    <row r="997" spans="1:5" ht="13.2" x14ac:dyDescent="0.25">
      <c r="A997" t="s">
        <v>2142</v>
      </c>
      <c r="B997" t="s">
        <v>2143</v>
      </c>
      <c r="D997" t="str">
        <f ca="1">IFERROR(__xludf.DUMMYFUNCTION("GOOGLETRANSLATE(B997,""es"",""en"")"),"Dream")</f>
        <v>Dream</v>
      </c>
      <c r="E997" t="str">
        <f ca="1">IFERROR(__xludf.DUMMYFUNCTION("GOOGLETRANSLATE(C997,""es"",""en"")"),"#VALUE!")</f>
        <v>#VALUE!</v>
      </c>
    </row>
    <row r="998" spans="1:5" ht="13.2" x14ac:dyDescent="0.25">
      <c r="A998" t="s">
        <v>2144</v>
      </c>
      <c r="B998" t="s">
        <v>2145</v>
      </c>
      <c r="C998" t="s">
        <v>2146</v>
      </c>
      <c r="D998" t="str">
        <f ca="1">IFERROR(__xludf.DUMMYFUNCTION("GOOGLETRANSLATE(B998,""es"",""en"")"),"Burn")</f>
        <v>Burn</v>
      </c>
      <c r="E998" t="str">
        <f ca="1">IFERROR(__xludf.DUMMYFUNCTION("GOOGLETRANSLATE(C998,""es"",""en"")"),"Calcina, chamusgar ,,,")</f>
        <v>Calcina, chamusgar ,,,</v>
      </c>
    </row>
    <row r="999" spans="1:5" ht="13.2" x14ac:dyDescent="0.25">
      <c r="A999" t="s">
        <v>2147</v>
      </c>
      <c r="B999" t="s">
        <v>2148</v>
      </c>
      <c r="C999" t="s">
        <v>2149</v>
      </c>
      <c r="D999" t="str">
        <f ca="1">IFERROR(__xludf.DUMMYFUNCTION("GOOGLETRANSLATE(B999,""es"",""en"")"),"Feed")</f>
        <v>Feed</v>
      </c>
      <c r="E999" t="str">
        <f ca="1">IFERROR(__xludf.DUMMYFUNCTION("GOOGLETRANSLATE(C999,""es"",""en"")"),"Feed, , , ,")</f>
        <v>Feed, , , ,</v>
      </c>
    </row>
    <row r="1000" spans="1:5" ht="13.2" x14ac:dyDescent="0.25">
      <c r="A1000" t="s">
        <v>2150</v>
      </c>
      <c r="B1000" t="s">
        <v>2151</v>
      </c>
      <c r="C1000" t="s">
        <v>2152</v>
      </c>
      <c r="D1000" t="str">
        <f ca="1">IFERROR(__xludf.DUMMYFUNCTION("GOOGLETRANSLATE(B1000,""es"",""en"")"),"Transochen yourself")</f>
        <v>Transochen yourself</v>
      </c>
      <c r="E1000" t="str">
        <f ca="1">IFERROR(__xludf.DUMMYFUNCTION("GOOGLETRANSLATE(C1000,""es"",""en"")"),"Nightfall ,,,,,")</f>
        <v>Nightfall ,,,,,</v>
      </c>
    </row>
    <row r="1001" spans="1:5" ht="13.2" x14ac:dyDescent="0.25">
      <c r="A1001" t="s">
        <v>2153</v>
      </c>
      <c r="B1001" t="s">
        <v>2154</v>
      </c>
      <c r="D1001" t="str">
        <f ca="1">IFERROR(__xludf.DUMMYFUNCTION("GOOGLETRANSLATE(B1001,""es"",""en"")"),"Cut")</f>
        <v>Cut</v>
      </c>
      <c r="E1001" t="str">
        <f ca="1">IFERROR(__xludf.DUMMYFUNCTION("GOOGLETRANSLATE(C1001,""es"",""en"")"),"#VALUE!")</f>
        <v>#VALUE!</v>
      </c>
    </row>
    <row r="1002" spans="1:5" ht="13.2" x14ac:dyDescent="0.25">
      <c r="A1002" t="s">
        <v>2155</v>
      </c>
      <c r="B1002" t="s">
        <v>2156</v>
      </c>
      <c r="C1002" t="s">
        <v>2157</v>
      </c>
      <c r="D1002" t="str">
        <f ca="1">IFERROR(__xludf.DUMMYFUNCTION("GOOGLETRANSLATE(B1002,""es"",""en"")"),"Noise")</f>
        <v>Noise</v>
      </c>
      <c r="E1002" t="str">
        <f ca="1">IFERROR(__xludf.DUMMYFUNCTION("GOOGLETRANSLATE(C1002,""es"",""en"")"),"Scanding it, screaming, uproar ,,")</f>
        <v>Scanding it, screaming, uproar ,,</v>
      </c>
    </row>
    <row r="1003" spans="1:5" ht="13.2" x14ac:dyDescent="0.25">
      <c r="A1003" t="s">
        <v>2158</v>
      </c>
      <c r="B1003" t="s">
        <v>2159</v>
      </c>
      <c r="D1003" t="str">
        <f ca="1">IFERROR(__xludf.DUMMYFUNCTION("GOOGLETRANSLATE(B1003,""es"",""en"")"),"Warn")</f>
        <v>Warn</v>
      </c>
      <c r="E1003" t="str">
        <f ca="1">IFERROR(__xludf.DUMMYFUNCTION("GOOGLETRANSLATE(C1003,""es"",""en"")"),"#VALUE!")</f>
        <v>#VALUE!</v>
      </c>
    </row>
    <row r="1004" spans="1:5" ht="13.2" x14ac:dyDescent="0.25">
      <c r="A1004" t="s">
        <v>2160</v>
      </c>
      <c r="B1004" t="s">
        <v>2161</v>
      </c>
      <c r="D1004" t="str">
        <f ca="1">IFERROR(__xludf.DUMMYFUNCTION("GOOGLETRANSLATE(B1004,""es"",""en"")"),"Only me")</f>
        <v>Only me</v>
      </c>
      <c r="E1004" t="str">
        <f ca="1">IFERROR(__xludf.DUMMYFUNCTION("GOOGLETRANSLATE(C1004,""es"",""en"")"),"#VALUE!")</f>
        <v>#VALUE!</v>
      </c>
    </row>
    <row r="1005" spans="1:5" ht="13.2" x14ac:dyDescent="0.25">
      <c r="A1005" t="s">
        <v>2162</v>
      </c>
      <c r="B1005" t="s">
        <v>2163</v>
      </c>
      <c r="C1005" t="s">
        <v>2164</v>
      </c>
      <c r="D1005" t="str">
        <f ca="1">IFERROR(__xludf.DUMMYFUNCTION("GOOGLETRANSLATE(B1005,""es"",""en"")"),"Overthrow")</f>
        <v>Overthrow</v>
      </c>
      <c r="E1005" t="str">
        <f ca="1">IFERROR(__xludf.DUMMYFUNCTION("GOOGLETRANSLATE(C1005,""es"",""en"")"),"Make fall, , , ,")</f>
        <v>Make fall, , , ,</v>
      </c>
    </row>
    <row r="1006" spans="1:5" ht="13.2" x14ac:dyDescent="0.25">
      <c r="A1006" t="s">
        <v>2165</v>
      </c>
      <c r="B1006" t="s">
        <v>2163</v>
      </c>
      <c r="C1006" t="s">
        <v>2164</v>
      </c>
      <c r="D1006" t="str">
        <f ca="1">IFERROR(__xludf.DUMMYFUNCTION("GOOGLETRANSLATE(B1006,""es"",""en"")"),"Overthrow")</f>
        <v>Overthrow</v>
      </c>
      <c r="E1006" t="str">
        <f ca="1">IFERROR(__xludf.DUMMYFUNCTION("GOOGLETRANSLATE(C1006,""es"",""en"")"),"Make fall, , , ,")</f>
        <v>Make fall, , , ,</v>
      </c>
    </row>
    <row r="1007" spans="1:5" ht="13.2" x14ac:dyDescent="0.25">
      <c r="A1007" t="s">
        <v>2166</v>
      </c>
      <c r="B1007" t="s">
        <v>2167</v>
      </c>
      <c r="C1007" t="s">
        <v>2168</v>
      </c>
      <c r="D1007" t="str">
        <f ca="1">IFERROR(__xludf.DUMMYFUNCTION("GOOGLETRANSLATE(B1007,""es"",""en"")"),"Ring")</f>
        <v>Ring</v>
      </c>
      <c r="E1007" t="str">
        <f ca="1">IFERROR(__xludf.DUMMYFUNCTION("GOOGLETRANSLATE(C1007,""es"",""en"")"),"Ring, ring ,,,,")</f>
        <v>Ring, ring ,,,,</v>
      </c>
    </row>
    <row r="1008" spans="1:5" ht="13.2" x14ac:dyDescent="0.25">
      <c r="A1008" t="s">
        <v>2169</v>
      </c>
      <c r="B1008" t="s">
        <v>2170</v>
      </c>
      <c r="C1008" t="s">
        <v>2171</v>
      </c>
      <c r="D1008" t="str">
        <f ca="1">IFERROR(__xludf.DUMMYFUNCTION("GOOGLETRANSLATE(B1008,""es"",""en"")"),"Nariguera")</f>
        <v>Nariguera</v>
      </c>
      <c r="E1008" t="str">
        <f ca="1">IFERROR(__xludf.DUMMYFUNCTION("GOOGLETRANSLATE(C1008,""es"",""en"")"),"Nose ring ,,,,")</f>
        <v>Nose ring ,,,,</v>
      </c>
    </row>
    <row r="1009" spans="1:5" ht="13.2" x14ac:dyDescent="0.25">
      <c r="A1009" t="s">
        <v>2172</v>
      </c>
      <c r="B1009" t="s">
        <v>2173</v>
      </c>
      <c r="C1009" t="s">
        <v>2174</v>
      </c>
      <c r="D1009" t="str">
        <f ca="1">IFERROR(__xludf.DUMMYFUNCTION("GOOGLETRANSLATE(B1009,""es"",""en"")"),"Mud")</f>
        <v>Mud</v>
      </c>
      <c r="E1009" t="str">
        <f ca="1">IFERROR(__xludf.DUMMYFUNCTION("GOOGLETRANSLATE(C1009,""es"",""en"")"),"Mud, mud ,,,,")</f>
        <v>Mud, mud ,,,,</v>
      </c>
    </row>
    <row r="1010" spans="1:5" ht="13.2" x14ac:dyDescent="0.25">
      <c r="A1010" t="s">
        <v>2175</v>
      </c>
      <c r="B1010" t="s">
        <v>2176</v>
      </c>
      <c r="D1010" t="str">
        <f ca="1">IFERROR(__xludf.DUMMYFUNCTION("GOOGLETRANSLATE(B1010,""es"",""en"")"),"Dulce corn or cocoa drink")</f>
        <v>Dulce corn or cocoa drink</v>
      </c>
      <c r="E1010" t="str">
        <f ca="1">IFERROR(__xludf.DUMMYFUNCTION("GOOGLETRANSLATE(C1010,""es"",""en"")"),"#VALUE!")</f>
        <v>#VALUE!</v>
      </c>
    </row>
    <row r="1011" spans="1:5" ht="13.2" x14ac:dyDescent="0.25">
      <c r="A1011" t="s">
        <v>2177</v>
      </c>
      <c r="B1011" t="s">
        <v>2178</v>
      </c>
      <c r="C1011" t="s">
        <v>2179</v>
      </c>
      <c r="D1011" t="str">
        <f ca="1">IFERROR(__xludf.DUMMYFUNCTION("GOOGLETRANSLATE(B1011,""es"",""en"")"),"Thick")</f>
        <v>Thick</v>
      </c>
      <c r="E1011" t="str">
        <f ca="1">IFERROR(__xludf.DUMMYFUNCTION("GOOGLETRANSLATE(C1011,""es"",""en"")"),"Gelatinos ,,,,")</f>
        <v>Gelatinos ,,,,</v>
      </c>
    </row>
    <row r="1012" spans="1:5" ht="13.2" x14ac:dyDescent="0.25">
      <c r="A1012" t="s">
        <v>2180</v>
      </c>
      <c r="B1012" t="s">
        <v>2178</v>
      </c>
      <c r="D1012" t="str">
        <f ca="1">IFERROR(__xludf.DUMMYFUNCTION("GOOGLETRANSLATE(B1012,""es"",""en"")"),"Thick")</f>
        <v>Thick</v>
      </c>
      <c r="E1012" t="str">
        <f ca="1">IFERROR(__xludf.DUMMYFUNCTION("GOOGLETRANSLATE(C1012,""es"",""en"")"),"#VALUE!")</f>
        <v>#VALUE!</v>
      </c>
    </row>
    <row r="1013" spans="1:5" ht="13.2" x14ac:dyDescent="0.25">
      <c r="A1013" t="s">
        <v>2181</v>
      </c>
      <c r="B1013" t="s">
        <v>2182</v>
      </c>
      <c r="D1013" t="str">
        <f ca="1">IFERROR(__xludf.DUMMYFUNCTION("GOOGLETRANSLATE(B1013,""es"",""en"")"),"Empty")</f>
        <v>Empty</v>
      </c>
      <c r="E1013" t="str">
        <f ca="1">IFERROR(__xludf.DUMMYFUNCTION("GOOGLETRANSLATE(C1013,""es"",""en"")"),"#VALUE!")</f>
        <v>#VALUE!</v>
      </c>
    </row>
    <row r="1014" spans="1:5" ht="13.2" x14ac:dyDescent="0.25">
      <c r="A1014" t="s">
        <v>2183</v>
      </c>
      <c r="B1014" t="s">
        <v>2184</v>
      </c>
      <c r="C1014" t="s">
        <v>2185</v>
      </c>
      <c r="D1014" t="str">
        <f ca="1">IFERROR(__xludf.DUMMYFUNCTION("GOOGLETRANSLATE(B1014,""es"",""en"")"),"Spacious")</f>
        <v>Spacious</v>
      </c>
      <c r="E1014" t="str">
        <f ca="1">IFERROR(__xludf.DUMMYFUNCTION("GOOGLETRANSLATE(C1014,""es"",""en"")"),"Wide, wide ,,,")</f>
        <v>Wide, wide ,,,</v>
      </c>
    </row>
    <row r="1015" spans="1:5" ht="13.2" x14ac:dyDescent="0.25">
      <c r="A1015" t="s">
        <v>2186</v>
      </c>
      <c r="B1015" t="s">
        <v>2187</v>
      </c>
      <c r="D1015" t="str">
        <f ca="1">IFERROR(__xludf.DUMMYFUNCTION("GOOGLETRANSLATE(B1015,""es"",""en"")"),"With me")</f>
        <v>With me</v>
      </c>
      <c r="E1015" t="str">
        <f ca="1">IFERROR(__xludf.DUMMYFUNCTION("GOOGLETRANSLATE(C1015,""es"",""en"")"),"#VALUE!")</f>
        <v>#VALUE!</v>
      </c>
    </row>
    <row r="1016" spans="1:5" ht="13.2" x14ac:dyDescent="0.25">
      <c r="A1016" t="s">
        <v>2188</v>
      </c>
      <c r="B1016" t="s">
        <v>2189</v>
      </c>
      <c r="C1016" t="s">
        <v>2190</v>
      </c>
      <c r="D1016" t="str">
        <f ca="1">IFERROR(__xludf.DUMMYFUNCTION("GOOGLETRANSLATE(B1016,""es"",""en"")"),"Empty")</f>
        <v>Empty</v>
      </c>
      <c r="E1016" t="str">
        <f ca="1">IFERROR(__xludf.DUMMYFUNCTION("GOOGLETRANSLATE(C1016,""es"",""en"")"),"Vacate, hollow ,,,,")</f>
        <v>Vacate, hollow ,,,,</v>
      </c>
    </row>
    <row r="1017" spans="1:5" ht="13.2" x14ac:dyDescent="0.25">
      <c r="A1017" t="s">
        <v>2191</v>
      </c>
      <c r="B1017" t="s">
        <v>2192</v>
      </c>
      <c r="D1017" t="str">
        <f ca="1">IFERROR(__xludf.DUMMYFUNCTION("GOOGLETRANSLATE(B1017,""es"",""en"")"),"Mother Earth that turns and advances")</f>
        <v>Mother Earth that turns and advances</v>
      </c>
      <c r="E1017" t="str">
        <f ca="1">IFERROR(__xludf.DUMMYFUNCTION("GOOGLETRANSLATE(C1017,""es"",""en"")"),"#VALUE!")</f>
        <v>#VALUE!</v>
      </c>
    </row>
    <row r="1018" spans="1:5" ht="13.2" x14ac:dyDescent="0.25">
      <c r="A1018" t="s">
        <v>2193</v>
      </c>
      <c r="B1018" t="s">
        <v>1480</v>
      </c>
      <c r="C1018" t="s">
        <v>2194</v>
      </c>
      <c r="D1018" t="str">
        <f ca="1">IFERROR(__xludf.DUMMYFUNCTION("GOOGLETRANSLATE(B1018,""es"",""en"")"),"Mother Earth")</f>
        <v>Mother Earth</v>
      </c>
      <c r="E1018" t="str">
        <f ca="1">IFERROR(__xludf.DUMMYFUNCTION("GOOGLETRANSLATE(C1018,""es"",""en"")"),"Divided into continents ,,,,")</f>
        <v>Divided into continents ,,,,</v>
      </c>
    </row>
    <row r="1019" spans="1:5" ht="13.2" x14ac:dyDescent="0.25">
      <c r="A1019" t="s">
        <v>2195</v>
      </c>
      <c r="B1019" t="s">
        <v>2196</v>
      </c>
      <c r="C1019" t="s">
        <v>2197</v>
      </c>
      <c r="D1019" t="str">
        <f ca="1">IFERROR(__xludf.DUMMYFUNCTION("GOOGLETRANSLATE(B1019,""es"",""en"")"),"Circle")</f>
        <v>Circle</v>
      </c>
      <c r="E1019" t="str">
        <f ca="1">IFERROR(__xludf.DUMMYFUNCTION("GOOGLETRANSLATE(C1019,""es"",""en"")"),"Round, , , ,")</f>
        <v>Round, , , ,</v>
      </c>
    </row>
    <row r="1020" spans="1:5" ht="13.2" x14ac:dyDescent="0.25">
      <c r="A1020" t="s">
        <v>2198</v>
      </c>
      <c r="B1020" t="s">
        <v>2199</v>
      </c>
      <c r="D1020" t="str">
        <f ca="1">IFERROR(__xludf.DUMMYFUNCTION("GOOGLETRANSLATE(B1020,""es"",""en"")"),"Round")</f>
        <v>Round</v>
      </c>
      <c r="E1020" t="str">
        <f ca="1">IFERROR(__xludf.DUMMYFUNCTION("GOOGLETRANSLATE(C1020,""es"",""en"")"),"#VALUE!")</f>
        <v>#VALUE!</v>
      </c>
    </row>
    <row r="1021" spans="1:5" ht="13.2" x14ac:dyDescent="0.25">
      <c r="A1021" t="s">
        <v>2200</v>
      </c>
      <c r="B1021" t="s">
        <v>2199</v>
      </c>
      <c r="D1021" t="str">
        <f ca="1">IFERROR(__xludf.DUMMYFUNCTION("GOOGLETRANSLATE(B1021,""es"",""en"")"),"Round")</f>
        <v>Round</v>
      </c>
      <c r="E1021" t="str">
        <f ca="1">IFERROR(__xludf.DUMMYFUNCTION("GOOGLETRANSLATE(C1021,""es"",""en"")"),"#VALUE!")</f>
        <v>#VALUE!</v>
      </c>
    </row>
    <row r="1022" spans="1:5" ht="13.2" x14ac:dyDescent="0.25">
      <c r="A1022" t="s">
        <v>2201</v>
      </c>
      <c r="B1022" t="s">
        <v>2196</v>
      </c>
      <c r="C1022" t="s">
        <v>2202</v>
      </c>
      <c r="D1022" t="str">
        <f ca="1">IFERROR(__xludf.DUMMYFUNCTION("GOOGLETRANSLATE(B1022,""es"",""en"")"),"Circle")</f>
        <v>Circle</v>
      </c>
      <c r="E1022" t="str">
        <f ca="1">IFERROR(__xludf.DUMMYFUNCTION("GOOGLETRANSLATE(C1022,""es"",""en"")"),"Round, circular ,,,,")</f>
        <v>Round, circular ,,,,</v>
      </c>
    </row>
    <row r="1023" spans="1:5" ht="13.2" x14ac:dyDescent="0.25">
      <c r="A1023" t="s">
        <v>2203</v>
      </c>
      <c r="B1023" t="s">
        <v>2204</v>
      </c>
      <c r="D1023" t="str">
        <f ca="1">IFERROR(__xludf.DUMMYFUNCTION("GOOGLETRANSLATE(B1023,""es"",""en"")"),"First woman")</f>
        <v>First woman</v>
      </c>
      <c r="E1023" t="str">
        <f ca="1">IFERROR(__xludf.DUMMYFUNCTION("GOOGLETRANSLATE(C1023,""es"",""en"")"),"#VALUE!")</f>
        <v>#VALUE!</v>
      </c>
    </row>
    <row r="1024" spans="1:5" ht="13.2" x14ac:dyDescent="0.25">
      <c r="A1024" t="s">
        <v>2205</v>
      </c>
      <c r="B1024" t="s">
        <v>2206</v>
      </c>
      <c r="D1024" t="str">
        <f ca="1">IFERROR(__xludf.DUMMYFUNCTION("GOOGLETRANSLATE(B1024,""es"",""en"")"),"Character that symbolizes evil")</f>
        <v>Character that symbolizes evil</v>
      </c>
      <c r="E1024" t="str">
        <f ca="1">IFERROR(__xludf.DUMMYFUNCTION("GOOGLETRANSLATE(C1024,""es"",""en"")"),"#VALUE!")</f>
        <v>#VALUE!</v>
      </c>
    </row>
    <row r="1025" spans="1:5" ht="13.2" x14ac:dyDescent="0.25">
      <c r="A1025" t="s">
        <v>2207</v>
      </c>
      <c r="B1025" t="s">
        <v>2206</v>
      </c>
      <c r="D1025" t="str">
        <f ca="1">IFERROR(__xludf.DUMMYFUNCTION("GOOGLETRANSLATE(B1025,""es"",""en"")"),"Character that symbolizes evil")</f>
        <v>Character that symbolizes evil</v>
      </c>
      <c r="E1025" t="str">
        <f ca="1">IFERROR(__xludf.DUMMYFUNCTION("GOOGLETRANSLATE(C1025,""es"",""en"")"),"#VALUE!")</f>
        <v>#VALUE!</v>
      </c>
    </row>
    <row r="1026" spans="1:5" ht="13.2" x14ac:dyDescent="0.25">
      <c r="A1026" t="s">
        <v>2208</v>
      </c>
      <c r="B1026" t="s">
        <v>2187</v>
      </c>
      <c r="D1026" t="str">
        <f ca="1">IFERROR(__xludf.DUMMYFUNCTION("GOOGLETRANSLATE(B1026,""es"",""en"")"),"With me")</f>
        <v>With me</v>
      </c>
      <c r="E1026" t="str">
        <f ca="1">IFERROR(__xludf.DUMMYFUNCTION("GOOGLETRANSLATE(C1026,""es"",""en"")"),"#VALUE!")</f>
        <v>#VALUE!</v>
      </c>
    </row>
    <row r="1027" spans="1:5" ht="13.2" x14ac:dyDescent="0.25">
      <c r="A1027" t="s">
        <v>2209</v>
      </c>
      <c r="B1027" t="s">
        <v>2210</v>
      </c>
      <c r="D1027" t="str">
        <f ca="1">IFERROR(__xludf.DUMMYFUNCTION("GOOGLETRANSLATE(B1027,""es"",""en"")"),"Cicada")</f>
        <v>Cicada</v>
      </c>
      <c r="E1027" t="str">
        <f ca="1">IFERROR(__xludf.DUMMYFUNCTION("GOOGLETRANSLATE(C1027,""es"",""en"")"),"#VALUE!")</f>
        <v>#VALUE!</v>
      </c>
    </row>
    <row r="1028" spans="1:5" ht="13.2" x14ac:dyDescent="0.25">
      <c r="A1028" t="s">
        <v>2211</v>
      </c>
      <c r="B1028" t="s">
        <v>2212</v>
      </c>
      <c r="D1028" t="str">
        <f ca="1">IFERROR(__xludf.DUMMYFUNCTION("GOOGLETRANSLATE(B1028,""es"",""en"")"),"April")</f>
        <v>April</v>
      </c>
      <c r="E1028" t="str">
        <f ca="1">IFERROR(__xludf.DUMMYFUNCTION("GOOGLETRANSLATE(C1028,""es"",""en"")"),"#VALUE!")</f>
        <v>#VALUE!</v>
      </c>
    </row>
    <row r="1029" spans="1:5" ht="13.2" x14ac:dyDescent="0.25">
      <c r="A1029" t="s">
        <v>2213</v>
      </c>
      <c r="B1029" t="s">
        <v>2214</v>
      </c>
      <c r="D1029" t="str">
        <f ca="1">IFERROR(__xludf.DUMMYFUNCTION("GOOGLETRANSLATE(B1029,""es"",""en"")"),"Only woman between brothers")</f>
        <v>Only woman between brothers</v>
      </c>
      <c r="E1029" t="str">
        <f ca="1">IFERROR(__xludf.DUMMYFUNCTION("GOOGLETRANSLATE(C1029,""es"",""en"")"),"#VALUE!")</f>
        <v>#VALUE!</v>
      </c>
    </row>
    <row r="1030" spans="1:5" ht="13.2" x14ac:dyDescent="0.25">
      <c r="A1030" t="s">
        <v>604</v>
      </c>
      <c r="B1030" t="s">
        <v>2215</v>
      </c>
      <c r="D1030" t="s">
        <v>2216</v>
      </c>
      <c r="E1030" t="str">
        <f ca="1">IFERROR(__xludf.DUMMYFUNCTION("GOOGLETRANSLATE(C1030,""es"",""en"")"),"#VALUE!")</f>
        <v>#VALUE!</v>
      </c>
    </row>
    <row r="1031" spans="1:5" ht="13.2" x14ac:dyDescent="0.25">
      <c r="A1031" t="s">
        <v>600</v>
      </c>
      <c r="B1031" t="s">
        <v>2217</v>
      </c>
      <c r="D1031" t="s">
        <v>2216</v>
      </c>
      <c r="E1031" t="str">
        <f ca="1">IFERROR(__xludf.DUMMYFUNCTION("GOOGLETRANSLATE(C1031,""es"",""en"")"),"#VALUE!")</f>
        <v>#VALUE!</v>
      </c>
    </row>
    <row r="1032" spans="1:5" ht="13.2" x14ac:dyDescent="0.25">
      <c r="A1032" t="s">
        <v>602</v>
      </c>
      <c r="B1032" t="s">
        <v>2215</v>
      </c>
      <c r="D1032" t="s">
        <v>2216</v>
      </c>
      <c r="E1032" t="str">
        <f ca="1">IFERROR(__xludf.DUMMYFUNCTION("GOOGLETRANSLATE(C1032,""es"",""en"")"),"#VALUE!")</f>
        <v>#VALUE!</v>
      </c>
    </row>
    <row r="1033" spans="1:5" ht="13.2" x14ac:dyDescent="0.25">
      <c r="A1033" t="s">
        <v>2218</v>
      </c>
      <c r="B1033" t="s">
        <v>2219</v>
      </c>
      <c r="D1033" t="str">
        <f ca="1">IFERROR(__xludf.DUMMYFUNCTION("GOOGLETRANSLATE(B1033,""es"",""en"")"),"Earmuff")</f>
        <v>Earmuff</v>
      </c>
      <c r="E1033" t="str">
        <f ca="1">IFERROR(__xludf.DUMMYFUNCTION("GOOGLETRANSLATE(C1033,""es"",""en"")"),"#VALUE!")</f>
        <v>#VALUE!</v>
      </c>
    </row>
    <row r="1034" spans="1:5" ht="13.2" x14ac:dyDescent="0.25">
      <c r="A1034" t="s">
        <v>2220</v>
      </c>
      <c r="B1034" t="s">
        <v>2221</v>
      </c>
      <c r="C1034" t="s">
        <v>2222</v>
      </c>
      <c r="D1034" t="str">
        <f ca="1">IFERROR(__xludf.DUMMYFUNCTION("GOOGLETRANSLATE(B1034,""es"",""en"")"),"Jeweler")</f>
        <v>Jeweler</v>
      </c>
      <c r="E1034" t="str">
        <f ca="1">IFERROR(__xludf.DUMMYFUNCTION("GOOGLETRANSLATE(C1034,""es"",""en"")"),"Goldsmith, silversmith ,,,,")</f>
        <v>Goldsmith, silversmith ,,,,</v>
      </c>
    </row>
    <row r="1035" spans="1:5" ht="13.2" x14ac:dyDescent="0.25">
      <c r="A1035" t="s">
        <v>2223</v>
      </c>
      <c r="B1035" t="s">
        <v>2221</v>
      </c>
      <c r="C1035" t="s">
        <v>2224</v>
      </c>
      <c r="D1035" t="str">
        <f ca="1">IFERROR(__xludf.DUMMYFUNCTION("GOOGLETRANSLATE(B1035,""es"",""en"")"),"Jeweler")</f>
        <v>Jeweler</v>
      </c>
      <c r="E1035" t="str">
        <f ca="1">IFERROR(__xludf.DUMMYFUNCTION("GOOGLETRANSLATE(C1035,""es"",""en"")"),"Goldsmith ,,,,")</f>
        <v>Goldsmith ,,,,</v>
      </c>
    </row>
    <row r="1036" spans="1:5" ht="13.2" x14ac:dyDescent="0.25">
      <c r="A1036" t="s">
        <v>2225</v>
      </c>
      <c r="B1036" t="s">
        <v>2226</v>
      </c>
      <c r="C1036" t="s">
        <v>2227</v>
      </c>
      <c r="D1036" t="str">
        <f ca="1">IFERROR(__xludf.DUMMYFUNCTION("GOOGLETRANSLATE(B1036,""es"",""en"")"),"Baby to Baby")</f>
        <v>Baby to Baby</v>
      </c>
      <c r="E1036" t="s">
        <v>2228</v>
      </c>
    </row>
    <row r="1037" spans="1:5" ht="13.2" x14ac:dyDescent="0.25">
      <c r="A1037" t="s">
        <v>2229</v>
      </c>
      <c r="B1037" t="s">
        <v>2230</v>
      </c>
      <c r="C1037" t="s">
        <v>2231</v>
      </c>
      <c r="D1037" t="str">
        <f ca="1">IFERROR(__xludf.DUMMYFUNCTION("GOOGLETRANSLATE(B1037,""es"",""en"")"),"My partner")</f>
        <v>My partner</v>
      </c>
      <c r="E1037" t="str">
        <f ca="1">IFERROR(__xludf.DUMMYFUNCTION("GOOGLETRANSLATE(C1037,""es"",""en"")"),"Consort, wife ,,,")</f>
        <v>Consort, wife ,,,</v>
      </c>
    </row>
    <row r="1038" spans="1:5" ht="13.2" x14ac:dyDescent="0.25">
      <c r="A1038" t="s">
        <v>2232</v>
      </c>
      <c r="B1038" t="s">
        <v>2233</v>
      </c>
      <c r="C1038" t="s">
        <v>2234</v>
      </c>
      <c r="D1038" t="str">
        <f ca="1">IFERROR(__xludf.DUMMYFUNCTION("GOOGLETRANSLATE(B1038,""es"",""en"")"),"Wife")</f>
        <v>Wife</v>
      </c>
      <c r="E1038" t="str">
        <f ca="1">IFERROR(__xludf.DUMMYFUNCTION("GOOGLETRANSLATE(C1038,""es"",""en"")"),"Women, , , ,")</f>
        <v>Women, , , ,</v>
      </c>
    </row>
    <row r="1039" spans="1:5" ht="13.2" x14ac:dyDescent="0.25">
      <c r="A1039" t="s">
        <v>2235</v>
      </c>
      <c r="B1039" t="s">
        <v>2233</v>
      </c>
      <c r="D1039" t="str">
        <f ca="1">IFERROR(__xludf.DUMMYFUNCTION("GOOGLETRANSLATE(B1039,""es"",""en"")"),"Wife")</f>
        <v>Wife</v>
      </c>
      <c r="E1039" t="str">
        <f ca="1">IFERROR(__xludf.DUMMYFUNCTION("GOOGLETRANSLATE(C1039,""es"",""en"")"),"#VALUE!")</f>
        <v>#VALUE!</v>
      </c>
    </row>
    <row r="1040" spans="1:5" ht="13.2" x14ac:dyDescent="0.25">
      <c r="A1040" t="s">
        <v>2236</v>
      </c>
      <c r="B1040" t="s">
        <v>2237</v>
      </c>
      <c r="C1040" t="s">
        <v>2238</v>
      </c>
      <c r="D1040" t="str">
        <f ca="1">IFERROR(__xludf.DUMMYFUNCTION("GOOGLETRANSLATE(B1040,""es"",""en"")"),"Effeminate")</f>
        <v>Effeminate</v>
      </c>
      <c r="E1040" t="str">
        <f ca="1">IFERROR(__xludf.DUMMYFUNCTION("GOOGLETRANSLATE(C1040,""es"",""en"")"),"Homosexual ,,,,")</f>
        <v>Homosexual ,,,,</v>
      </c>
    </row>
    <row r="1041" spans="1:5" ht="13.2" x14ac:dyDescent="0.25">
      <c r="A1041" t="s">
        <v>2239</v>
      </c>
      <c r="B1041" t="s">
        <v>2240</v>
      </c>
      <c r="C1041" t="s">
        <v>2241</v>
      </c>
      <c r="D1041" t="str">
        <f ca="1">IFERROR(__xludf.DUMMYFUNCTION("GOOGLETRANSLATE(B1041,""es"",""en"")"),"Increase")</f>
        <v>Increase</v>
      </c>
      <c r="E1041" t="str">
        <f ca="1">IFERROR(__xludf.DUMMYFUNCTION("GOOGLETRANSLATE(C1041,""es"",""en"")"),"Add, add ,,,")</f>
        <v>Add, add ,,,</v>
      </c>
    </row>
    <row r="1042" spans="1:5" ht="13.2" x14ac:dyDescent="0.25">
      <c r="A1042" t="s">
        <v>2242</v>
      </c>
      <c r="B1042" t="s">
        <v>2240</v>
      </c>
      <c r="C1042" t="s">
        <v>2241</v>
      </c>
      <c r="D1042" t="str">
        <f ca="1">IFERROR(__xludf.DUMMYFUNCTION("GOOGLETRANSLATE(B1042,""es"",""en"")"),"Increase")</f>
        <v>Increase</v>
      </c>
      <c r="E1042" t="str">
        <f ca="1">IFERROR(__xludf.DUMMYFUNCTION("GOOGLETRANSLATE(C1042,""es"",""en"")"),"Add, add ,,,")</f>
        <v>Add, add ,,,</v>
      </c>
    </row>
    <row r="1043" spans="1:5" ht="13.2" x14ac:dyDescent="0.25">
      <c r="A1043" t="s">
        <v>2243</v>
      </c>
      <c r="B1043" t="s">
        <v>2244</v>
      </c>
      <c r="C1043" t="s">
        <v>2245</v>
      </c>
      <c r="D1043" t="str">
        <f ca="1">IFERROR(__xludf.DUMMYFUNCTION("GOOGLETRANSLATE(B1043,""es"",""en"")"),"Flame")</f>
        <v>Flame</v>
      </c>
      <c r="E1043" t="str">
        <f ca="1">IFERROR(__xludf.DUMMYFUNCTION("GOOGLETRANSLATE(C1043,""es"",""en"")"),"Wave, shake ,,,")</f>
        <v>Wave, shake ,,,</v>
      </c>
    </row>
    <row r="1044" spans="1:5" ht="13.2" x14ac:dyDescent="0.25">
      <c r="A1044" t="s">
        <v>185</v>
      </c>
      <c r="B1044" t="s">
        <v>183</v>
      </c>
      <c r="D1044" t="str">
        <f ca="1">IFERROR(__xludf.DUMMYFUNCTION("GOOGLETRANSLATE(B1044,""es"",""en"")"),"Female sexual organ")</f>
        <v>Female sexual organ</v>
      </c>
      <c r="E1044" t="str">
        <f ca="1">IFERROR(__xludf.DUMMYFUNCTION("GOOGLETRANSLATE(C1044,""es"",""en"")"),"#VALUE!")</f>
        <v>#VALUE!</v>
      </c>
    </row>
    <row r="1045" spans="1:5" ht="13.2" x14ac:dyDescent="0.25">
      <c r="A1045" t="s">
        <v>2246</v>
      </c>
      <c r="B1045" t="s">
        <v>183</v>
      </c>
      <c r="D1045" t="str">
        <f ca="1">IFERROR(__xludf.DUMMYFUNCTION("GOOGLETRANSLATE(B1045,""es"",""en"")"),"Female sexual organ")</f>
        <v>Female sexual organ</v>
      </c>
      <c r="E1045" t="str">
        <f ca="1">IFERROR(__xludf.DUMMYFUNCTION("GOOGLETRANSLATE(C1045,""es"",""en"")"),"#VALUE!")</f>
        <v>#VALUE!</v>
      </c>
    </row>
    <row r="1046" spans="1:5" ht="13.2" x14ac:dyDescent="0.25">
      <c r="A1046" t="s">
        <v>2247</v>
      </c>
      <c r="B1046" t="s">
        <v>2248</v>
      </c>
      <c r="C1046" t="s">
        <v>2249</v>
      </c>
      <c r="D1046" t="s">
        <v>2250</v>
      </c>
      <c r="E1046" t="str">
        <f ca="1">IFERROR(__xludf.DUMMYFUNCTION("GOOGLETRANSLATE(C1046,""es"",""en"")"),"Meet with the woman ,,,,")</f>
        <v>Meet with the woman ,,,,</v>
      </c>
    </row>
    <row r="1047" spans="1:5" ht="13.2" x14ac:dyDescent="0.25">
      <c r="A1047" t="s">
        <v>2165</v>
      </c>
      <c r="B1047" t="s">
        <v>2163</v>
      </c>
      <c r="C1047" t="s">
        <v>2164</v>
      </c>
      <c r="D1047" t="str">
        <f ca="1">IFERROR(__xludf.DUMMYFUNCTION("GOOGLETRANSLATE(B1047,""es"",""en"")"),"Overthrow")</f>
        <v>Overthrow</v>
      </c>
      <c r="E1047" t="str">
        <f ca="1">IFERROR(__xludf.DUMMYFUNCTION("GOOGLETRANSLATE(C1047,""es"",""en"")"),"Make fall, , , ,")</f>
        <v>Make fall, , , ,</v>
      </c>
    </row>
    <row r="1048" spans="1:5" ht="13.2" x14ac:dyDescent="0.25">
      <c r="A1048" t="s">
        <v>2251</v>
      </c>
      <c r="B1048" t="s">
        <v>2252</v>
      </c>
      <c r="C1048" t="s">
        <v>2253</v>
      </c>
      <c r="D1048" t="str">
        <f ca="1">IFERROR(__xludf.DUMMYFUNCTION("GOOGLETRANSLATE(B1048,""es"",""en"")"),"Mine")</f>
        <v>Mine</v>
      </c>
      <c r="E1048" t="s">
        <v>2254</v>
      </c>
    </row>
    <row r="1049" spans="1:5" ht="13.2" x14ac:dyDescent="0.25">
      <c r="A1049" t="s">
        <v>2162</v>
      </c>
      <c r="B1049" t="s">
        <v>2163</v>
      </c>
      <c r="C1049" t="s">
        <v>2164</v>
      </c>
      <c r="D1049" t="str">
        <f ca="1">IFERROR(__xludf.DUMMYFUNCTION("GOOGLETRANSLATE(B1049,""es"",""en"")"),"Overthrow")</f>
        <v>Overthrow</v>
      </c>
      <c r="E1049" t="str">
        <f ca="1">IFERROR(__xludf.DUMMYFUNCTION("GOOGLETRANSLATE(C1049,""es"",""en"")"),"Make fall, , , ,")</f>
        <v>Make fall, , , ,</v>
      </c>
    </row>
    <row r="1050" spans="1:5" ht="13.2" x14ac:dyDescent="0.25">
      <c r="A1050" t="s">
        <v>2255</v>
      </c>
      <c r="B1050" t="s">
        <v>1556</v>
      </c>
      <c r="C1050" t="s">
        <v>2256</v>
      </c>
      <c r="D1050" t="str">
        <f ca="1">IFERROR(__xludf.DUMMYFUNCTION("GOOGLETRANSLATE(B1050,""es"",""en"")"),"Increase")</f>
        <v>Increase</v>
      </c>
      <c r="E1050" t="str">
        <f ca="1">IFERROR(__xludf.DUMMYFUNCTION("GOOGLETRANSLATE(C1050,""es"",""en"")"),"Ascend, , , ,")</f>
        <v>Ascend, , , ,</v>
      </c>
    </row>
    <row r="1051" spans="1:5" ht="13.2" x14ac:dyDescent="0.25">
      <c r="A1051" t="s">
        <v>2257</v>
      </c>
      <c r="B1051" t="s">
        <v>2258</v>
      </c>
      <c r="C1051" t="s">
        <v>2259</v>
      </c>
      <c r="D1051" t="str">
        <f ca="1">IFERROR(__xludf.DUMMYFUNCTION("GOOGLETRANSLATE(B1051,""es"",""en"")"),"Extend")</f>
        <v>Extend</v>
      </c>
      <c r="E1051" t="str">
        <f ca="1">IFERROR(__xludf.DUMMYFUNCTION("GOOGLETRANSLATE(C1051,""es"",""en"")"),"Disseminate, disseminate, multiply,")</f>
        <v>Disseminate, disseminate, multiply,</v>
      </c>
    </row>
    <row r="1052" spans="1:5" ht="13.2" x14ac:dyDescent="0.25">
      <c r="A1052" t="s">
        <v>2260</v>
      </c>
      <c r="B1052" t="s">
        <v>2258</v>
      </c>
      <c r="D1052" t="str">
        <f ca="1">IFERROR(__xludf.DUMMYFUNCTION("GOOGLETRANSLATE(B1052,""es"",""en"")"),"Extend")</f>
        <v>Extend</v>
      </c>
      <c r="E1052" t="str">
        <f ca="1">IFERROR(__xludf.DUMMYFUNCTION("GOOGLETRANSLATE(C1052,""es"",""en"")"),"#VALUE!")</f>
        <v>#VALUE!</v>
      </c>
    </row>
    <row r="1053" spans="1:5" ht="13.2" x14ac:dyDescent="0.25">
      <c r="A1053" t="s">
        <v>2261</v>
      </c>
      <c r="B1053" t="s">
        <v>2262</v>
      </c>
      <c r="C1053" t="s">
        <v>2263</v>
      </c>
      <c r="D1053" t="str">
        <f ca="1">IFERROR(__xludf.DUMMYFUNCTION("GOOGLETRANSLATE(B1053,""es"",""en"")"),"Move from the site")</f>
        <v>Move from the site</v>
      </c>
      <c r="E1053" t="str">
        <f ca="1">IFERROR(__xludf.DUMMYFUNCTION("GOOGLETRANSLATE(C1053,""es"",""en"")"),"Move, move ,,,,")</f>
        <v>Move, move ,,,,</v>
      </c>
    </row>
    <row r="1054" spans="1:5" ht="13.2" x14ac:dyDescent="0.25">
      <c r="A1054" t="s">
        <v>2264</v>
      </c>
      <c r="B1054" t="s">
        <v>2265</v>
      </c>
      <c r="C1054" t="s">
        <v>2266</v>
      </c>
      <c r="D1054" t="str">
        <f ca="1">IFERROR(__xludf.DUMMYFUNCTION("GOOGLETRANSLATE(B1054,""es"",""en"")"),"Meet")</f>
        <v>Meet</v>
      </c>
      <c r="E1054" t="str">
        <f ca="1">IFERROR(__xludf.DUMMYFUNCTION("GOOGLETRANSLATE(C1054,""es"",""en"")"),"Convene, pile up ,,,,")</f>
        <v>Convene, pile up ,,,,</v>
      </c>
    </row>
    <row r="1055" spans="1:5" ht="13.2" x14ac:dyDescent="0.25">
      <c r="A1055" t="s">
        <v>676</v>
      </c>
      <c r="B1055" t="s">
        <v>2267</v>
      </c>
      <c r="D1055" t="str">
        <f ca="1">IFERROR(__xludf.DUMMYFUNCTION("GOOGLETRANSLATE(B1055,""es"",""en"")"),"Congress House")</f>
        <v>Congress House</v>
      </c>
      <c r="E1055" t="str">
        <f ca="1">IFERROR(__xludf.DUMMYFUNCTION("GOOGLETRANSLATE(C1055,""es"",""en"")"),"#VALUE!")</f>
        <v>#VALUE!</v>
      </c>
    </row>
    <row r="1056" spans="1:5" ht="13.2" x14ac:dyDescent="0.25">
      <c r="A1056" t="s">
        <v>679</v>
      </c>
      <c r="B1056" t="s">
        <v>677</v>
      </c>
      <c r="D1056" t="str">
        <f ca="1">IFERROR(__xludf.DUMMYFUNCTION("GOOGLETRANSLATE(B1056,""es"",""en"")"),"Congress House")</f>
        <v>Congress House</v>
      </c>
      <c r="E1056" t="str">
        <f ca="1">IFERROR(__xludf.DUMMYFUNCTION("GOOGLETRANSLATE(C1056,""es"",""en"")"),"#VALUE!")</f>
        <v>#VALUE!</v>
      </c>
    </row>
    <row r="1057" spans="1:5" ht="13.2" x14ac:dyDescent="0.25">
      <c r="A1057" t="s">
        <v>684</v>
      </c>
      <c r="B1057" t="s">
        <v>2267</v>
      </c>
      <c r="D1057" t="str">
        <f ca="1">IFERROR(__xludf.DUMMYFUNCTION("GOOGLETRANSLATE(B1057,""es"",""en"")"),"Congress House")</f>
        <v>Congress House</v>
      </c>
      <c r="E1057" t="str">
        <f ca="1">IFERROR(__xludf.DUMMYFUNCTION("GOOGLETRANSLATE(C1057,""es"",""en"")"),"#VALUE!")</f>
        <v>#VALUE!</v>
      </c>
    </row>
    <row r="1058" spans="1:5" ht="13.2" x14ac:dyDescent="0.25">
      <c r="A1058" t="s">
        <v>236</v>
      </c>
      <c r="B1058" t="s">
        <v>43</v>
      </c>
      <c r="C1058" t="s">
        <v>2268</v>
      </c>
      <c r="D1058" t="str">
        <f ca="1">IFERROR(__xludf.DUMMYFUNCTION("GOOGLETRANSLATE(B1058,""es"",""en"")"),"Start")</f>
        <v>Start</v>
      </c>
      <c r="E1058" t="str">
        <f ca="1">IFERROR(__xludf.DUMMYFUNCTION("GOOGLETRANSLATE(C1058,""es"",""en"")"),"Beginning, introduction ,,,")</f>
        <v>Beginning, introduction ,,,</v>
      </c>
    </row>
    <row r="1059" spans="1:5" ht="13.2" x14ac:dyDescent="0.25">
      <c r="A1059" t="s">
        <v>2269</v>
      </c>
      <c r="B1059" t="s">
        <v>2252</v>
      </c>
      <c r="C1059" t="s">
        <v>2253</v>
      </c>
      <c r="D1059" t="str">
        <f ca="1">IFERROR(__xludf.DUMMYFUNCTION("GOOGLETRANSLATE(B1059,""es"",""en"")"),"Mine")</f>
        <v>Mine</v>
      </c>
      <c r="E1059" t="s">
        <v>2254</v>
      </c>
    </row>
    <row r="1060" spans="1:5" ht="13.2" x14ac:dyDescent="0.25">
      <c r="A1060" t="s">
        <v>2270</v>
      </c>
      <c r="B1060" t="s">
        <v>2271</v>
      </c>
      <c r="C1060" t="s">
        <v>2272</v>
      </c>
      <c r="D1060" t="str">
        <f ca="1">IFERROR(__xludf.DUMMYFUNCTION("GOOGLETRANSLATE(B1060,""es"",""en"")"),"Take out")</f>
        <v>Take out</v>
      </c>
      <c r="E1060" t="str">
        <f ca="1">IFERROR(__xludf.DUMMYFUNCTION("GOOGLETRANSLATE(C1060,""es"",""en"")"),"Hold a student ,,,,,")</f>
        <v>Hold a student ,,,,,</v>
      </c>
    </row>
    <row r="1061" spans="1:5" ht="13.2" x14ac:dyDescent="0.25">
      <c r="A1061" t="s">
        <v>2273</v>
      </c>
      <c r="B1061" t="s">
        <v>2271</v>
      </c>
      <c r="D1061" t="str">
        <f ca="1">IFERROR(__xludf.DUMMYFUNCTION("GOOGLETRANSLATE(B1061,""es"",""en"")"),"Take out")</f>
        <v>Take out</v>
      </c>
      <c r="E1061" t="str">
        <f ca="1">IFERROR(__xludf.DUMMYFUNCTION("GOOGLETRANSLATE(C1061,""es"",""en"")"),"#VALUE!")</f>
        <v>#VALUE!</v>
      </c>
    </row>
    <row r="1062" spans="1:5" ht="13.2" x14ac:dyDescent="0.25">
      <c r="A1062" t="s">
        <v>2274</v>
      </c>
      <c r="B1062" t="s">
        <v>2275</v>
      </c>
      <c r="C1062" t="s">
        <v>2276</v>
      </c>
      <c r="D1062" t="str">
        <f ca="1">IFERROR(__xludf.DUMMYFUNCTION("GOOGLETRANSLATE(B1062,""es"",""en"")"),"Drive away")</f>
        <v>Drive away</v>
      </c>
      <c r="E1062" t="str">
        <f ca="1">IFERROR(__xludf.DUMMYFUNCTION("GOOGLETRANSLATE(C1062,""es"",""en"")"),"Frighten, frightening, away,")</f>
        <v>Frighten, frightening, away,</v>
      </c>
    </row>
    <row r="1063" spans="1:5" ht="13.2" x14ac:dyDescent="0.25">
      <c r="A1063" t="s">
        <v>2277</v>
      </c>
      <c r="B1063" t="s">
        <v>2278</v>
      </c>
      <c r="C1063" t="s">
        <v>2279</v>
      </c>
      <c r="D1063" t="s">
        <v>2280</v>
      </c>
      <c r="E1063" t="str">
        <f ca="1">IFERROR(__xludf.DUMMYFUNCTION("GOOGLETRANSLATE(C1063,""es"",""en"")"),"Breastfeed ,,,,")</f>
        <v>Breastfeed ,,,,</v>
      </c>
    </row>
    <row r="1064" spans="1:5" ht="13.2" x14ac:dyDescent="0.25">
      <c r="A1064" t="s">
        <v>305</v>
      </c>
      <c r="B1064" t="s">
        <v>304</v>
      </c>
      <c r="D1064" t="str">
        <f ca="1">IFERROR(__xludf.DUMMYFUNCTION("GOOGLETRANSLATE(B1064,""es"",""en"")"),"Gold")</f>
        <v>Gold</v>
      </c>
      <c r="E1064" t="str">
        <f ca="1">IFERROR(__xludf.DUMMYFUNCTION("GOOGLETRANSLATE(C1064,""es"",""en"")"),"#VALUE!")</f>
        <v>#VALUE!</v>
      </c>
    </row>
    <row r="1065" spans="1:5" ht="13.2" x14ac:dyDescent="0.25">
      <c r="A1065" t="s">
        <v>306</v>
      </c>
      <c r="B1065" t="s">
        <v>304</v>
      </c>
      <c r="D1065" t="str">
        <f ca="1">IFERROR(__xludf.DUMMYFUNCTION("GOOGLETRANSLATE(B1065,""es"",""en"")"),"Gold")</f>
        <v>Gold</v>
      </c>
      <c r="E1065" t="str">
        <f ca="1">IFERROR(__xludf.DUMMYFUNCTION("GOOGLETRANSLATE(C1065,""es"",""en"")"),"#VALUE!")</f>
        <v>#VALUE!</v>
      </c>
    </row>
    <row r="1066" spans="1:5" ht="13.2" x14ac:dyDescent="0.25">
      <c r="A1066" t="s">
        <v>303</v>
      </c>
      <c r="B1066" t="s">
        <v>304</v>
      </c>
      <c r="D1066" t="str">
        <f ca="1">IFERROR(__xludf.DUMMYFUNCTION("GOOGLETRANSLATE(B1066,""es"",""en"")"),"Gold")</f>
        <v>Gold</v>
      </c>
      <c r="E1066" t="str">
        <f ca="1">IFERROR(__xludf.DUMMYFUNCTION("GOOGLETRANSLATE(C1066,""es"",""en"")"),"#VALUE!")</f>
        <v>#VALUE!</v>
      </c>
    </row>
    <row r="1067" spans="1:5" ht="13.2" x14ac:dyDescent="0.25">
      <c r="A1067" t="s">
        <v>2281</v>
      </c>
      <c r="B1067" t="s">
        <v>2282</v>
      </c>
      <c r="C1067" t="s">
        <v>2283</v>
      </c>
      <c r="D1067" t="str">
        <f ca="1">IFERROR(__xludf.DUMMYFUNCTION("GOOGLETRANSLATE(B1067,""es"",""en"")"),"Basket")</f>
        <v>Basket</v>
      </c>
      <c r="E1067" t="str">
        <f ca="1">IFERROR(__xludf.DUMMYFUNCTION("GOOGLETRANSLATE(C1067,""es"",""en"")"),"Basket, , , ,")</f>
        <v>Basket, , , ,</v>
      </c>
    </row>
    <row r="1068" spans="1:5" ht="13.2" x14ac:dyDescent="0.25">
      <c r="A1068" t="s">
        <v>2198</v>
      </c>
      <c r="B1068" t="s">
        <v>2199</v>
      </c>
      <c r="D1068" t="str">
        <f ca="1">IFERROR(__xludf.DUMMYFUNCTION("GOOGLETRANSLATE(B1068,""es"",""en"")"),"Round")</f>
        <v>Round</v>
      </c>
      <c r="E1068" t="str">
        <f ca="1">IFERROR(__xludf.DUMMYFUNCTION("GOOGLETRANSLATE(C1068,""es"",""en"")"),"#VALUE!")</f>
        <v>#VALUE!</v>
      </c>
    </row>
    <row r="1069" spans="1:5" ht="13.2" x14ac:dyDescent="0.25">
      <c r="A1069" t="s">
        <v>2200</v>
      </c>
      <c r="B1069" t="s">
        <v>2284</v>
      </c>
      <c r="D1069" t="str">
        <f ca="1">IFERROR(__xludf.DUMMYFUNCTION("GOOGLETRANSLATE(B1069,""es"",""en"")"),"Circular")</f>
        <v>Circular</v>
      </c>
      <c r="E1069" t="str">
        <f ca="1">IFERROR(__xludf.DUMMYFUNCTION("GOOGLETRANSLATE(C1069,""es"",""en"")"),"#VALUE!")</f>
        <v>#VALUE!</v>
      </c>
    </row>
    <row r="1070" spans="1:5" ht="13.2" x14ac:dyDescent="0.25">
      <c r="A1070" t="s">
        <v>2285</v>
      </c>
      <c r="B1070" t="s">
        <v>2286</v>
      </c>
      <c r="C1070" t="s">
        <v>2287</v>
      </c>
      <c r="D1070" t="str">
        <f ca="1">IFERROR(__xludf.DUMMYFUNCTION("GOOGLETRANSLATE(B1070,""es"",""en"")"),"Shrimp")</f>
        <v>Shrimp</v>
      </c>
      <c r="E1070" t="str">
        <f ca="1">IFERROR(__xludf.DUMMYFUNCTION("GOOGLETRANSLATE(C1070,""es"",""en"")"),"Crustaceo, in me, of me ,,")</f>
        <v>Crustaceo, in me, of me ,,</v>
      </c>
    </row>
    <row r="1071" spans="1:5" ht="13.2" x14ac:dyDescent="0.25">
      <c r="A1071" t="s">
        <v>2195</v>
      </c>
      <c r="B1071" t="s">
        <v>2199</v>
      </c>
      <c r="C1071" t="s">
        <v>2288</v>
      </c>
      <c r="D1071" t="str">
        <f ca="1">IFERROR(__xludf.DUMMYFUNCTION("GOOGLETRANSLATE(B1071,""es"",""en"")"),"Round")</f>
        <v>Round</v>
      </c>
      <c r="E1071" t="str">
        <f ca="1">IFERROR(__xludf.DUMMYFUNCTION("GOOGLETRANSLATE(C1071,""es"",""en"")"),"Circular ,,,,")</f>
        <v>Circular ,,,,</v>
      </c>
    </row>
    <row r="1072" spans="1:5" ht="13.2" x14ac:dyDescent="0.25">
      <c r="A1072" t="s">
        <v>2289</v>
      </c>
      <c r="B1072" t="s">
        <v>2290</v>
      </c>
      <c r="D1072" t="str">
        <f ca="1">IFERROR(__xludf.DUMMYFUNCTION("GOOGLETRANSLATE(B1072,""es"",""en"")"),"Rice")</f>
        <v>Rice</v>
      </c>
      <c r="E1072" t="str">
        <f ca="1">IFERROR(__xludf.DUMMYFUNCTION("GOOGLETRANSLATE(C1072,""es"",""en"")"),"#VALUE!")</f>
        <v>#VALUE!</v>
      </c>
    </row>
    <row r="1073" spans="1:5" ht="13.2" x14ac:dyDescent="0.25">
      <c r="A1073" t="s">
        <v>2291</v>
      </c>
      <c r="B1073" t="s">
        <v>2292</v>
      </c>
      <c r="D1073" t="str">
        <f ca="1">IFERROR(__xludf.DUMMYFUNCTION("GOOGLETRANSLATE(B1073,""es"",""en"")"),"Concolón")</f>
        <v>Concolón</v>
      </c>
      <c r="E1073" t="str">
        <f ca="1">IFERROR(__xludf.DUMMYFUNCTION("GOOGLETRANSLATE(C1073,""es"",""en"")"),"#VALUE!")</f>
        <v>#VALUE!</v>
      </c>
    </row>
    <row r="1074" spans="1:5" ht="13.2" x14ac:dyDescent="0.25">
      <c r="A1074" t="s">
        <v>2293</v>
      </c>
      <c r="B1074" t="s">
        <v>2292</v>
      </c>
      <c r="D1074" t="str">
        <f ca="1">IFERROR(__xludf.DUMMYFUNCTION("GOOGLETRANSLATE(B1074,""es"",""en"")"),"Concolón")</f>
        <v>Concolón</v>
      </c>
      <c r="E1074" t="str">
        <f ca="1">IFERROR(__xludf.DUMMYFUNCTION("GOOGLETRANSLATE(C1074,""es"",""en"")"),"#VALUE!")</f>
        <v>#VALUE!</v>
      </c>
    </row>
    <row r="1075" spans="1:5" ht="13.2" x14ac:dyDescent="0.25">
      <c r="A1075" t="s">
        <v>2294</v>
      </c>
      <c r="B1075" t="s">
        <v>2295</v>
      </c>
      <c r="D1075" t="str">
        <f ca="1">IFERROR(__xludf.DUMMYFUNCTION("GOOGLETRANSLATE(B1075,""es"",""en"")"),"Kitchen utensil to knead banana")</f>
        <v>Kitchen utensil to knead banana</v>
      </c>
      <c r="E1075" t="str">
        <f ca="1">IFERROR(__xludf.DUMMYFUNCTION("GOOGLETRANSLATE(C1075,""es"",""en"")"),"#VALUE!")</f>
        <v>#VALUE!</v>
      </c>
    </row>
    <row r="1076" spans="1:5" ht="13.2" x14ac:dyDescent="0.25">
      <c r="A1076" t="s">
        <v>1389</v>
      </c>
      <c r="B1076" t="s">
        <v>2296</v>
      </c>
      <c r="C1076" t="s">
        <v>1388</v>
      </c>
      <c r="D1076" t="s">
        <v>2297</v>
      </c>
      <c r="E1076" t="s">
        <v>2298</v>
      </c>
    </row>
    <row r="1077" spans="1:5" ht="13.2" x14ac:dyDescent="0.25">
      <c r="A1077" t="s">
        <v>2299</v>
      </c>
      <c r="B1077" t="s">
        <v>1387</v>
      </c>
      <c r="D1077" t="s">
        <v>2300</v>
      </c>
      <c r="E1077" t="str">
        <f ca="1">IFERROR(__xludf.DUMMYFUNCTION("GOOGLETRANSLATE(C1077,""es"",""en"")"),"#VALUE!")</f>
        <v>#VALUE!</v>
      </c>
    </row>
    <row r="1078" spans="1:5" ht="13.2" x14ac:dyDescent="0.25">
      <c r="A1078" t="s">
        <v>2301</v>
      </c>
      <c r="B1078" t="s">
        <v>2302</v>
      </c>
      <c r="C1078" t="s">
        <v>2303</v>
      </c>
      <c r="D1078" t="str">
        <f ca="1">IFERROR(__xludf.DUMMYFUNCTION("GOOGLETRANSLATE(B1078,""es"",""en"")"),"Reduce")</f>
        <v>Reduce</v>
      </c>
      <c r="E1078" t="str">
        <f ca="1">IFERROR(__xludf.DUMMYFUNCTION("GOOGLETRANSLATE(C1078,""es"",""en"")"),"Reduce, decrease ,,,")</f>
        <v>Reduce, decrease ,,,</v>
      </c>
    </row>
    <row r="1079" spans="1:5" ht="13.2" x14ac:dyDescent="0.25">
      <c r="A1079" t="s">
        <v>2304</v>
      </c>
      <c r="B1079" t="s">
        <v>2305</v>
      </c>
      <c r="C1079" t="s">
        <v>2306</v>
      </c>
      <c r="D1079" t="str">
        <f ca="1">IFERROR(__xludf.DUMMYFUNCTION("GOOGLETRANSLATE(B1079,""es"",""en"")"),"Sob")</f>
        <v>Sob</v>
      </c>
      <c r="E1079" t="str">
        <f ca="1">IFERROR(__xludf.DUMMYFUNCTION("GOOGLETRANSLATE(C1079,""es"",""en"")"),"Cry, Lloriquear ,,,,")</f>
        <v>Cry, Lloriquear ,,,,</v>
      </c>
    </row>
    <row r="1080" spans="1:5" ht="13.2" x14ac:dyDescent="0.25">
      <c r="A1080" t="s">
        <v>2307</v>
      </c>
      <c r="B1080" t="s">
        <v>2308</v>
      </c>
      <c r="C1080" t="s">
        <v>2309</v>
      </c>
      <c r="D1080" t="str">
        <f ca="1">IFERROR(__xludf.DUMMYFUNCTION("GOOGLETRANSLATE(B1080,""es"",""en"")"),"Guts")</f>
        <v>Guts</v>
      </c>
      <c r="E1080" t="str">
        <f ca="1">IFERROR(__xludf.DUMMYFUNCTION("GOOGLETRANSLATE(C1080,""es"",""en"")"),"Tonsils ,,,,")</f>
        <v>Tonsils ,,,,</v>
      </c>
    </row>
    <row r="1081" spans="1:5" ht="13.2" x14ac:dyDescent="0.25">
      <c r="A1081" t="s">
        <v>2310</v>
      </c>
      <c r="B1081" t="s">
        <v>2311</v>
      </c>
      <c r="C1081" t="s">
        <v>2312</v>
      </c>
      <c r="D1081" t="str">
        <f ca="1">IFERROR(__xludf.DUMMYFUNCTION("GOOGLETRANSLATE(B1081,""es"",""en"")"),"Sister in law")</f>
        <v>Sister in law</v>
      </c>
      <c r="E1081" t="str">
        <f ca="1">IFERROR(__xludf.DUMMYFUNCTION("GOOGLETRANSLATE(C1081,""es"",""en"")"),"Maradol sister ,,,,")</f>
        <v>Maradol sister ,,,,</v>
      </c>
    </row>
    <row r="1082" spans="1:5" ht="13.2" x14ac:dyDescent="0.25">
      <c r="A1082" t="s">
        <v>2313</v>
      </c>
      <c r="B1082" t="s">
        <v>2314</v>
      </c>
      <c r="D1082" t="str">
        <f ca="1">IFERROR(__xludf.DUMMYFUNCTION("GOOGLETRANSLATE(B1082,""es"",""en"")"),"Pineapple")</f>
        <v>Pineapple</v>
      </c>
      <c r="E1082" t="str">
        <f ca="1">IFERROR(__xludf.DUMMYFUNCTION("GOOGLETRANSLATE(C1082,""es"",""en"")"),"#VALUE!")</f>
        <v>#VALUE!</v>
      </c>
    </row>
    <row r="1083" spans="1:5" ht="13.2" x14ac:dyDescent="0.25">
      <c r="A1083" t="s">
        <v>2315</v>
      </c>
      <c r="B1083" t="s">
        <v>2316</v>
      </c>
      <c r="C1083" t="s">
        <v>2317</v>
      </c>
      <c r="D1083" t="str">
        <f ca="1">IFERROR(__xludf.DUMMYFUNCTION("GOOGLETRANSLATE(B1083,""es"",""en"")"),"Very sweet")</f>
        <v>Very sweet</v>
      </c>
      <c r="E1083" t="str">
        <f ca="1">IFERROR(__xludf.DUMMYFUNCTION("GOOGLETRANSLATE(C1083,""es"",""en"")"),"Sweet ,,,,")</f>
        <v>Sweet ,,,,</v>
      </c>
    </row>
    <row r="1084" spans="1:5" ht="13.2" x14ac:dyDescent="0.25">
      <c r="A1084" t="s">
        <v>2318</v>
      </c>
      <c r="B1084" t="s">
        <v>2319</v>
      </c>
      <c r="D1084" t="str">
        <f ca="1">IFERROR(__xludf.DUMMYFUNCTION("GOOGLETRANSLATE(B1084,""es"",""en"")"),"Pineapple juice")</f>
        <v>Pineapple juice</v>
      </c>
      <c r="E1084" t="str">
        <f ca="1">IFERROR(__xludf.DUMMYFUNCTION("GOOGLETRANSLATE(C1084,""es"",""en"")"),"#VALUE!")</f>
        <v>#VALUE!</v>
      </c>
    </row>
    <row r="1085" spans="1:5" ht="13.2" x14ac:dyDescent="0.25">
      <c r="A1085" t="s">
        <v>2320</v>
      </c>
      <c r="B1085" t="s">
        <v>2319</v>
      </c>
      <c r="D1085" t="str">
        <f ca="1">IFERROR(__xludf.DUMMYFUNCTION("GOOGLETRANSLATE(B1085,""es"",""en"")"),"Pineapple juice")</f>
        <v>Pineapple juice</v>
      </c>
      <c r="E1085" t="str">
        <f ca="1">IFERROR(__xludf.DUMMYFUNCTION("GOOGLETRANSLATE(C1085,""es"",""en"")"),"#VALUE!")</f>
        <v>#VALUE!</v>
      </c>
    </row>
    <row r="1086" spans="1:5" ht="13.2" x14ac:dyDescent="0.25">
      <c r="A1086" t="s">
        <v>2321</v>
      </c>
      <c r="B1086" t="s">
        <v>2322</v>
      </c>
      <c r="C1086" t="s">
        <v>2323</v>
      </c>
      <c r="D1086" t="str">
        <f ca="1">IFERROR(__xludf.DUMMYFUNCTION("GOOGLETRANSLATE(B1086,""es"",""en"")"),"Narrow")</f>
        <v>Narrow</v>
      </c>
      <c r="E1086" t="str">
        <f ca="1">IFERROR(__xludf.DUMMYFUNCTION("GOOGLETRANSLATE(C1086,""es"",""en"")"),"Narrow, tight ,,,")</f>
        <v>Narrow, tight ,,,</v>
      </c>
    </row>
    <row r="1087" spans="1:5" ht="13.2" x14ac:dyDescent="0.25">
      <c r="A1087" t="s">
        <v>2324</v>
      </c>
      <c r="B1087" t="s">
        <v>2325</v>
      </c>
      <c r="C1087" t="s">
        <v>2326</v>
      </c>
      <c r="D1087" t="s">
        <v>2327</v>
      </c>
      <c r="E1087" t="str">
        <f ca="1">IFERROR(__xludf.DUMMYFUNCTION("GOOGLETRANSLATE(C1087,""es"",""en"")"),"Primitive Platano ,,,,")</f>
        <v>Primitive Platano ,,,,</v>
      </c>
    </row>
    <row r="1088" spans="1:5" ht="13.2" x14ac:dyDescent="0.25">
      <c r="A1088" t="s">
        <v>2327</v>
      </c>
      <c r="B1088" t="s">
        <v>2328</v>
      </c>
      <c r="D1088" t="str">
        <f ca="1">IFERROR(__xludf.DUMMYFUNCTION("GOOGLETRANSLATE(B1088,""es"",""en"")"),"Sugar")</f>
        <v>Sugar</v>
      </c>
      <c r="E1088" t="str">
        <f ca="1">IFERROR(__xludf.DUMMYFUNCTION("GOOGLETRANSLATE(C1088,""es"",""en"")"),"#VALUE!")</f>
        <v>#VALUE!</v>
      </c>
    </row>
    <row r="1089" spans="1:5" ht="13.2" x14ac:dyDescent="0.25">
      <c r="A1089" t="s">
        <v>2329</v>
      </c>
      <c r="B1089" t="s">
        <v>2330</v>
      </c>
      <c r="D1089" t="str">
        <f ca="1">IFERROR(__xludf.DUMMYFUNCTION("GOOGLETRANSLATE(B1089,""es"",""en"")"),"Cool some due")</f>
        <v>Cool some due</v>
      </c>
      <c r="E1089" t="str">
        <f ca="1">IFERROR(__xludf.DUMMYFUNCTION("GOOGLETRANSLATE(C1089,""es"",""en"")"),"#VALUE!")</f>
        <v>#VALUE!</v>
      </c>
    </row>
    <row r="1090" spans="1:5" ht="13.2" x14ac:dyDescent="0.25">
      <c r="A1090" t="s">
        <v>2331</v>
      </c>
      <c r="B1090" t="s">
        <v>2332</v>
      </c>
      <c r="C1090" t="s">
        <v>2333</v>
      </c>
      <c r="D1090" t="str">
        <f ca="1">IFERROR(__xludf.DUMMYFUNCTION("GOOGLETRANSLATE(B1090,""es"",""en"")"),"To enlarge")</f>
        <v>To enlarge</v>
      </c>
      <c r="E1090" t="str">
        <f ca="1">IFERROR(__xludf.DUMMYFUNCTION("GOOGLETRANSLATE(C1090,""es"",""en"")"),"Prolong, , , ,")</f>
        <v>Prolong, , , ,</v>
      </c>
    </row>
    <row r="1091" spans="1:5" ht="13.2" x14ac:dyDescent="0.25">
      <c r="A1091" t="s">
        <v>2334</v>
      </c>
      <c r="B1091" t="s">
        <v>2335</v>
      </c>
      <c r="C1091" t="s">
        <v>2336</v>
      </c>
      <c r="D1091" t="str">
        <f ca="1">IFERROR(__xludf.DUMMYFUNCTION("GOOGLETRANSLATE(B1091,""es"",""en"")"),"Cancel")</f>
        <v>Cancel</v>
      </c>
      <c r="E1091" t="str">
        <f ca="1">IFERROR(__xludf.DUMMYFUNCTION("GOOGLETRANSLATE(C1091,""es"",""en"")"),"Deny, , , ,")</f>
        <v>Deny, , , ,</v>
      </c>
    </row>
    <row r="1092" spans="1:5" ht="13.2" x14ac:dyDescent="0.25">
      <c r="A1092" t="s">
        <v>2310</v>
      </c>
      <c r="B1092" t="s">
        <v>2311</v>
      </c>
      <c r="C1092" t="s">
        <v>2337</v>
      </c>
      <c r="D1092" t="str">
        <f ca="1">IFERROR(__xludf.DUMMYFUNCTION("GOOGLETRANSLATE(B1092,""es"",""en"")"),"Sister in law")</f>
        <v>Sister in law</v>
      </c>
      <c r="E1092" t="str">
        <f ca="1">IFERROR(__xludf.DUMMYFUNCTION("GOOGLETRANSLATE(C1092,""es"",""en"")"),"Sister of the husband ,,,,")</f>
        <v>Sister of the husband ,,,,</v>
      </c>
    </row>
    <row r="1093" spans="1:5" ht="13.2" x14ac:dyDescent="0.25">
      <c r="A1093" t="s">
        <v>2338</v>
      </c>
      <c r="B1093" t="s">
        <v>2339</v>
      </c>
      <c r="C1093" t="s">
        <v>2340</v>
      </c>
      <c r="D1093" t="str">
        <f ca="1">IFERROR(__xludf.DUMMYFUNCTION("GOOGLETRANSLATE(B1093,""es"",""en"")"),"Sharpen")</f>
        <v>Sharpen</v>
      </c>
      <c r="E1093" t="str">
        <f ca="1">IFERROR(__xludf.DUMMYFUNCTION("GOOGLETRANSLATE(C1093,""es"",""en"")"),"Sharpen, , , ,")</f>
        <v>Sharpen, , , ,</v>
      </c>
    </row>
    <row r="1094" spans="1:5" ht="13.2" x14ac:dyDescent="0.25">
      <c r="A1094" t="s">
        <v>2341</v>
      </c>
      <c r="B1094" t="s">
        <v>2342</v>
      </c>
      <c r="D1094" t="str">
        <f ca="1">IFERROR(__xludf.DUMMYFUNCTION("GOOGLETRANSLATE(B1094,""es"",""en"")"),"Wet")</f>
        <v>Wet</v>
      </c>
      <c r="E1094" t="str">
        <f ca="1">IFERROR(__xludf.DUMMYFUNCTION("GOOGLETRANSLATE(C1094,""es"",""en"")"),"#VALUE!")</f>
        <v>#VALUE!</v>
      </c>
    </row>
    <row r="1095" spans="1:5" ht="13.2" x14ac:dyDescent="0.25">
      <c r="A1095" t="s">
        <v>2343</v>
      </c>
      <c r="B1095" t="s">
        <v>2344</v>
      </c>
      <c r="D1095" t="str">
        <f ca="1">IFERROR(__xludf.DUMMYFUNCTION("GOOGLETRANSLATE(B1095,""es"",""en"")"),"Add more liquid")</f>
        <v>Add more liquid</v>
      </c>
      <c r="E1095" t="str">
        <f ca="1">IFERROR(__xludf.DUMMYFUNCTION("GOOGLETRANSLATE(C1095,""es"",""en"")"),"#VALUE!")</f>
        <v>#VALUE!</v>
      </c>
    </row>
    <row r="1096" spans="1:5" ht="13.2" x14ac:dyDescent="0.25">
      <c r="A1096" t="s">
        <v>2345</v>
      </c>
      <c r="B1096" t="s">
        <v>2346</v>
      </c>
      <c r="D1096" t="str">
        <f ca="1">IFERROR(__xludf.DUMMYFUNCTION("GOOGLETRANSLATE(B1096,""es"",""en"")"),"Add")</f>
        <v>Add</v>
      </c>
      <c r="E1096" t="str">
        <f ca="1">IFERROR(__xludf.DUMMYFUNCTION("GOOGLETRANSLATE(C1096,""es"",""en"")"),"#VALUE!")</f>
        <v>#VALUE!</v>
      </c>
    </row>
    <row r="1097" spans="1:5" ht="13.2" x14ac:dyDescent="0.25">
      <c r="A1097" t="s">
        <v>2347</v>
      </c>
      <c r="B1097" t="s">
        <v>2344</v>
      </c>
      <c r="D1097" t="str">
        <f ca="1">IFERROR(__xludf.DUMMYFUNCTION("GOOGLETRANSLATE(B1097,""es"",""en"")"),"Add more liquid")</f>
        <v>Add more liquid</v>
      </c>
      <c r="E1097" t="str">
        <f ca="1">IFERROR(__xludf.DUMMYFUNCTION("GOOGLETRANSLATE(C1097,""es"",""en"")"),"#VALUE!")</f>
        <v>#VALUE!</v>
      </c>
    </row>
    <row r="1098" spans="1:5" ht="13.2" x14ac:dyDescent="0.25">
      <c r="A1098" t="s">
        <v>2348</v>
      </c>
      <c r="B1098" t="s">
        <v>2349</v>
      </c>
      <c r="C1098" t="s">
        <v>2350</v>
      </c>
      <c r="D1098" t="str">
        <f ca="1">IFERROR(__xludf.DUMMYFUNCTION("GOOGLETRANSLATE(B1098,""es"",""en"")"),"Inform")</f>
        <v>Inform</v>
      </c>
      <c r="E1098" t="str">
        <f ca="1">IFERROR(__xludf.DUMMYFUNCTION("GOOGLETRANSLATE(C1098,""es"",""en"")"),"Warn, notify, announce,")</f>
        <v>Warn, notify, announce,</v>
      </c>
    </row>
    <row r="1099" spans="1:5" ht="13.2" x14ac:dyDescent="0.25">
      <c r="A1099" t="s">
        <v>2351</v>
      </c>
      <c r="B1099" t="s">
        <v>2352</v>
      </c>
      <c r="C1099" t="s">
        <v>2353</v>
      </c>
      <c r="D1099" t="str">
        <f ca="1">IFERROR(__xludf.DUMMYFUNCTION("GOOGLETRANSLATE(B1099,""es"",""en"")"),"Show")</f>
        <v>Show</v>
      </c>
      <c r="E1099" t="str">
        <f ca="1">IFERROR(__xludf.DUMMYFUNCTION("GOOGLETRANSLATE(C1099,""es"",""en"")"),"Manifest, express, expose,")</f>
        <v>Manifest, express, expose,</v>
      </c>
    </row>
    <row r="1100" spans="1:5" ht="13.2" x14ac:dyDescent="0.25">
      <c r="A1100" t="s">
        <v>2354</v>
      </c>
      <c r="B1100" t="s">
        <v>2352</v>
      </c>
      <c r="C1100" t="s">
        <v>2355</v>
      </c>
      <c r="D1100" t="str">
        <f ca="1">IFERROR(__xludf.DUMMYFUNCTION("GOOGLETRANSLATE(B1100,""es"",""en"")"),"Show")</f>
        <v>Show</v>
      </c>
      <c r="E1100" t="str">
        <f ca="1">IFERROR(__xludf.DUMMYFUNCTION("GOOGLETRANSLATE(C1100,""es"",""en"")"),"Expose, , , ,")</f>
        <v>Expose, , , ,</v>
      </c>
    </row>
    <row r="1101" spans="1:5" ht="13.2" x14ac:dyDescent="0.25">
      <c r="A1101" t="s">
        <v>2086</v>
      </c>
      <c r="B1101" t="s">
        <v>2087</v>
      </c>
      <c r="C1101" t="s">
        <v>2356</v>
      </c>
      <c r="D1101" t="str">
        <f ca="1">IFERROR(__xludf.DUMMYFUNCTION("GOOGLETRANSLATE(B1101,""es"",""en"")"),"Lose")</f>
        <v>Lose</v>
      </c>
      <c r="E1101" t="str">
        <f ca="1">IFERROR(__xludf.DUMMYFUNCTION("GOOGLETRANSLATE(C1101,""es"",""en"")"),"Miss ,,,,")</f>
        <v>Miss ,,,,</v>
      </c>
    </row>
    <row r="1102" spans="1:5" ht="13.2" x14ac:dyDescent="0.25">
      <c r="A1102" t="s">
        <v>1697</v>
      </c>
      <c r="B1102" t="s">
        <v>2087</v>
      </c>
      <c r="C1102" t="s">
        <v>2356</v>
      </c>
      <c r="D1102" t="str">
        <f ca="1">IFERROR(__xludf.DUMMYFUNCTION("GOOGLETRANSLATE(B1102,""es"",""en"")"),"Lose")</f>
        <v>Lose</v>
      </c>
      <c r="E1102" t="str">
        <f ca="1">IFERROR(__xludf.DUMMYFUNCTION("GOOGLETRANSLATE(C1102,""es"",""en"")"),"Miss ,,,,")</f>
        <v>Miss ,,,,</v>
      </c>
    </row>
    <row r="1103" spans="1:5" ht="13.2" x14ac:dyDescent="0.25">
      <c r="A1103" t="s">
        <v>2357</v>
      </c>
      <c r="B1103" t="s">
        <v>2358</v>
      </c>
      <c r="D1103" t="s">
        <v>2359</v>
      </c>
      <c r="E1103" t="str">
        <f ca="1">IFERROR(__xludf.DUMMYFUNCTION("GOOGLETRANSLATE(C1103,""es"",""en"")"),"#VALUE!")</f>
        <v>#VALUE!</v>
      </c>
    </row>
    <row r="1104" spans="1:5" ht="13.2" x14ac:dyDescent="0.25">
      <c r="A1104" t="s">
        <v>2360</v>
      </c>
      <c r="B1104" t="s">
        <v>2361</v>
      </c>
      <c r="D1104" t="str">
        <f ca="1">IFERROR(__xludf.DUMMYFUNCTION("GOOGLETRANSLATE(B1104,""es"",""en"")"),"Central")</f>
        <v>Central</v>
      </c>
      <c r="E1104" t="str">
        <f ca="1">IFERROR(__xludf.DUMMYFUNCTION("GOOGLETRANSLATE(C1104,""es"",""en"")"),"#VALUE!")</f>
        <v>#VALUE!</v>
      </c>
    </row>
    <row r="1105" spans="1:5" ht="13.2" x14ac:dyDescent="0.25">
      <c r="A1105" t="s">
        <v>1431</v>
      </c>
      <c r="B1105" t="s">
        <v>1429</v>
      </c>
      <c r="C1105" t="s">
        <v>1430</v>
      </c>
      <c r="D1105" t="str">
        <f ca="1">IFERROR(__xludf.DUMMYFUNCTION("GOOGLETRANSLATE(B1105,""es"",""en"")"),"Hello")</f>
        <v>Hello</v>
      </c>
      <c r="E1105" t="str">
        <f ca="1">IFERROR(__xludf.DUMMYFUNCTION("GOOGLETRANSLATE(C1105,""es"",""en"")"),"How are you, , , ,")</f>
        <v>How are you, , , ,</v>
      </c>
    </row>
    <row r="1106" spans="1:5" ht="13.2" x14ac:dyDescent="0.25">
      <c r="A1106" t="s">
        <v>2362</v>
      </c>
      <c r="B1106" t="s">
        <v>2363</v>
      </c>
      <c r="C1106" t="s">
        <v>2364</v>
      </c>
      <c r="D1106" t="str">
        <f ca="1">IFERROR(__xludf.DUMMYFUNCTION("GOOGLETRANSLATE(B1106,""es"",""en"")"),"Excrement")</f>
        <v>Excrement</v>
      </c>
      <c r="E1106" t="str">
        <f ca="1">IFERROR(__xludf.DUMMYFUNCTION("GOOGLETRANSLATE(C1106,""es"",""en"")"),"Feces, excrete, oxide ,,")</f>
        <v>Feces, excrete, oxide ,,</v>
      </c>
    </row>
    <row r="1107" spans="1:5" ht="13.2" x14ac:dyDescent="0.25">
      <c r="A1107" t="s">
        <v>2365</v>
      </c>
      <c r="B1107" t="s">
        <v>2366</v>
      </c>
      <c r="C1107" t="s">
        <v>2367</v>
      </c>
      <c r="D1107" t="str">
        <f ca="1">IFERROR(__xludf.DUMMYFUNCTION("GOOGLETRANSLATE(B1107,""es"",""en"")"),"Diarrhea")</f>
        <v>Diarrhea</v>
      </c>
      <c r="E1107" t="str">
        <f ca="1">IFERROR(__xludf.DUMMYFUNCTION("GOOGLETRANSLATE(C1107,""es"",""en"")"),"Liquid evacuations ,,,,")</f>
        <v>Liquid evacuations ,,,,</v>
      </c>
    </row>
    <row r="1108" spans="1:5" ht="13.2" x14ac:dyDescent="0.25">
      <c r="A1108" t="s">
        <v>2368</v>
      </c>
      <c r="B1108" t="s">
        <v>2366</v>
      </c>
      <c r="D1108" t="str">
        <f ca="1">IFERROR(__xludf.DUMMYFUNCTION("GOOGLETRANSLATE(B1108,""es"",""en"")"),"Diarrhea")</f>
        <v>Diarrhea</v>
      </c>
      <c r="E1108" t="str">
        <f ca="1">IFERROR(__xludf.DUMMYFUNCTION("GOOGLETRANSLATE(C1108,""es"",""en"")"),"#VALUE!")</f>
        <v>#VALUE!</v>
      </c>
    </row>
    <row r="1109" spans="1:5" ht="13.2" x14ac:dyDescent="0.25">
      <c r="A1109" t="s">
        <v>2369</v>
      </c>
      <c r="B1109" t="s">
        <v>2366</v>
      </c>
      <c r="D1109" t="str">
        <f ca="1">IFERROR(__xludf.DUMMYFUNCTION("GOOGLETRANSLATE(B1109,""es"",""en"")"),"Diarrhea")</f>
        <v>Diarrhea</v>
      </c>
      <c r="E1109" t="str">
        <f ca="1">IFERROR(__xludf.DUMMYFUNCTION("GOOGLETRANSLATE(C1109,""es"",""en"")"),"#VALUE!")</f>
        <v>#VALUE!</v>
      </c>
    </row>
    <row r="1110" spans="1:5" ht="13.2" x14ac:dyDescent="0.25">
      <c r="A1110" t="s">
        <v>2370</v>
      </c>
      <c r="B1110" t="s">
        <v>2371</v>
      </c>
      <c r="C1110" t="s">
        <v>2372</v>
      </c>
      <c r="D1110" t="str">
        <f ca="1">IFERROR(__xludf.DUMMYFUNCTION("GOOGLETRANSLATE(B1110,""es"",""en"")"),"Rust")</f>
        <v>Rust</v>
      </c>
      <c r="E1110" t="str">
        <f ca="1">IFERROR(__xludf.DUMMYFUNCTION("GOOGLETRANSLATE(C1110,""es"",""en"")"),"Run ,,,,,")</f>
        <v>Run ,,,,,</v>
      </c>
    </row>
    <row r="1111" spans="1:5" ht="13.2" x14ac:dyDescent="0.25">
      <c r="A1111" t="s">
        <v>2373</v>
      </c>
      <c r="B1111" t="s">
        <v>2374</v>
      </c>
      <c r="C1111" t="s">
        <v>2375</v>
      </c>
      <c r="D1111" t="str">
        <f ca="1">IFERROR(__xludf.DUMMYFUNCTION("GOOGLETRANSLATE(B1111,""es"",""en"")"),"Stomach")</f>
        <v>Stomach</v>
      </c>
      <c r="E1111" t="str">
        <f ca="1">IFERROR(__xludf.DUMMYFUNCTION("GOOGLETRANSLATE(C1111,""es"",""en"")"),"Belly, , , ,")</f>
        <v>Belly, , , ,</v>
      </c>
    </row>
    <row r="1112" spans="1:5" ht="13.2" x14ac:dyDescent="0.25">
      <c r="A1112" t="s">
        <v>2376</v>
      </c>
      <c r="B1112" t="s">
        <v>2374</v>
      </c>
      <c r="C1112" t="s">
        <v>2375</v>
      </c>
      <c r="D1112" t="str">
        <f ca="1">IFERROR(__xludf.DUMMYFUNCTION("GOOGLETRANSLATE(B1112,""es"",""en"")"),"Stomach")</f>
        <v>Stomach</v>
      </c>
      <c r="E1112" t="str">
        <f ca="1">IFERROR(__xludf.DUMMYFUNCTION("GOOGLETRANSLATE(C1112,""es"",""en"")"),"Belly, , , ,")</f>
        <v>Belly, , , ,</v>
      </c>
    </row>
    <row r="1113" spans="1:5" ht="13.2" x14ac:dyDescent="0.25">
      <c r="A1113" t="s">
        <v>2377</v>
      </c>
      <c r="B1113" t="s">
        <v>2374</v>
      </c>
      <c r="C1113" t="s">
        <v>2375</v>
      </c>
      <c r="D1113" t="str">
        <f ca="1">IFERROR(__xludf.DUMMYFUNCTION("GOOGLETRANSLATE(B1113,""es"",""en"")"),"Stomach")</f>
        <v>Stomach</v>
      </c>
      <c r="E1113" t="str">
        <f ca="1">IFERROR(__xludf.DUMMYFUNCTION("GOOGLETRANSLATE(C1113,""es"",""en"")"),"Belly, , , ,")</f>
        <v>Belly, , , ,</v>
      </c>
    </row>
    <row r="1114" spans="1:5" ht="13.2" x14ac:dyDescent="0.25">
      <c r="A1114" t="s">
        <v>2378</v>
      </c>
      <c r="B1114" t="s">
        <v>2379</v>
      </c>
      <c r="D1114" t="str">
        <f ca="1">IFERROR(__xludf.DUMMYFUNCTION("GOOGLETRANSLATE(B1114,""es"",""en"")"),"Firewood")</f>
        <v>Firewood</v>
      </c>
      <c r="E1114" t="str">
        <f ca="1">IFERROR(__xludf.DUMMYFUNCTION("GOOGLETRANSLATE(C1114,""es"",""en"")"),"#VALUE!")</f>
        <v>#VALUE!</v>
      </c>
    </row>
    <row r="1115" spans="1:5" ht="13.2" x14ac:dyDescent="0.25">
      <c r="A1115" t="s">
        <v>2380</v>
      </c>
      <c r="B1115" t="s">
        <v>2381</v>
      </c>
      <c r="C1115" t="s">
        <v>2382</v>
      </c>
      <c r="D1115" t="s">
        <v>2383</v>
      </c>
      <c r="E1115" t="str">
        <f ca="1">IFERROR(__xludf.DUMMYFUNCTION("GOOGLETRANSLATE(C1115,""es"",""en"")"),"Bush, , , ,")</f>
        <v>Bush, , , ,</v>
      </c>
    </row>
    <row r="1116" spans="1:5" ht="13.2" x14ac:dyDescent="0.25">
      <c r="A1116" t="s">
        <v>2384</v>
      </c>
      <c r="B1116" t="s">
        <v>1429</v>
      </c>
      <c r="C1116" t="s">
        <v>1430</v>
      </c>
      <c r="D1116" t="str">
        <f ca="1">IFERROR(__xludf.DUMMYFUNCTION("GOOGLETRANSLATE(B1116,""es"",""en"")"),"Hello")</f>
        <v>Hello</v>
      </c>
      <c r="E1116" t="str">
        <f ca="1">IFERROR(__xludf.DUMMYFUNCTION("GOOGLETRANSLATE(C1116,""es"",""en"")"),"How are you, , , ,")</f>
        <v>How are you, , , ,</v>
      </c>
    </row>
    <row r="1117" spans="1:5" ht="13.2" x14ac:dyDescent="0.25">
      <c r="A1117" t="s">
        <v>2385</v>
      </c>
      <c r="B1117" t="s">
        <v>2386</v>
      </c>
      <c r="D1117" t="str">
        <f ca="1">IFERROR(__xludf.DUMMYFUNCTION("GOOGLETRANSLATE(B1117,""es"",""en"")"),"Maternal sinus")</f>
        <v>Maternal sinus</v>
      </c>
      <c r="E1117" t="str">
        <f ca="1">IFERROR(__xludf.DUMMYFUNCTION("GOOGLETRANSLATE(C1117,""es"",""en"")"),"#VALUE!")</f>
        <v>#VALUE!</v>
      </c>
    </row>
    <row r="1118" spans="1:5" ht="13.2" x14ac:dyDescent="0.25">
      <c r="A1118" t="s">
        <v>2387</v>
      </c>
      <c r="B1118" t="s">
        <v>2388</v>
      </c>
      <c r="D1118" t="s">
        <v>2389</v>
      </c>
      <c r="E1118" t="str">
        <f ca="1">IFERROR(__xludf.DUMMYFUNCTION("GOOGLETRANSLATE(C1118,""es"",""en"")"),"#VALUE!")</f>
        <v>#VALUE!</v>
      </c>
    </row>
    <row r="1119" spans="1:5" ht="13.2" x14ac:dyDescent="0.25">
      <c r="A1119" t="s">
        <v>2390</v>
      </c>
      <c r="B1119" t="s">
        <v>2391</v>
      </c>
      <c r="D1119" t="str">
        <f ca="1">IFERROR(__xludf.DUMMYFUNCTION("GOOGLETRANSLATE(B1119,""es"",""en"")"),"Tree leaf")</f>
        <v>Tree leaf</v>
      </c>
      <c r="E1119" t="str">
        <f ca="1">IFERROR(__xludf.DUMMYFUNCTION("GOOGLETRANSLATE(C1119,""es"",""en"")"),"#VALUE!")</f>
        <v>#VALUE!</v>
      </c>
    </row>
    <row r="1120" spans="1:5" ht="13.2" x14ac:dyDescent="0.25">
      <c r="A1120" t="s">
        <v>2392</v>
      </c>
      <c r="B1120" t="s">
        <v>2393</v>
      </c>
      <c r="D1120" t="str">
        <f ca="1">IFERROR(__xludf.DUMMYFUNCTION("GOOGLETRANSLATE(B1120,""es"",""en"")"),"Bitter leaf tree")</f>
        <v>Bitter leaf tree</v>
      </c>
      <c r="E1120" t="str">
        <f ca="1">IFERROR(__xludf.DUMMYFUNCTION("GOOGLETRANSLATE(C1120,""es"",""en"")"),"#VALUE!")</f>
        <v>#VALUE!</v>
      </c>
    </row>
    <row r="1121" spans="1:5" ht="13.2" x14ac:dyDescent="0.25">
      <c r="A1121" t="s">
        <v>2394</v>
      </c>
      <c r="B1121" t="s">
        <v>2395</v>
      </c>
      <c r="D1121" t="str">
        <f ca="1">IFERROR(__xludf.DUMMYFUNCTION("GOOGLETRANSLATE(B1121,""es"",""en"")"),"Root of the tree")</f>
        <v>Root of the tree</v>
      </c>
      <c r="E1121" t="str">
        <f ca="1">IFERROR(__xludf.DUMMYFUNCTION("GOOGLETRANSLATE(C1121,""es"",""en"")"),"#VALUE!")</f>
        <v>#VALUE!</v>
      </c>
    </row>
    <row r="1122" spans="1:5" ht="13.2" x14ac:dyDescent="0.25">
      <c r="A1122" t="s">
        <v>2396</v>
      </c>
      <c r="B1122" t="s">
        <v>2397</v>
      </c>
      <c r="D1122" t="str">
        <f ca="1">IFERROR(__xludf.DUMMYFUNCTION("GOOGLETRANSLATE(B1122,""es"",""en"")"),"Plant root bud")</f>
        <v>Plant root bud</v>
      </c>
      <c r="E1122" t="str">
        <f ca="1">IFERROR(__xludf.DUMMYFUNCTION("GOOGLETRANSLATE(C1122,""es"",""en"")"),"#VALUE!")</f>
        <v>#VALUE!</v>
      </c>
    </row>
    <row r="1123" spans="1:5" ht="13.2" x14ac:dyDescent="0.25">
      <c r="A1123" t="s">
        <v>2398</v>
      </c>
      <c r="B1123" t="s">
        <v>1927</v>
      </c>
      <c r="C1123" t="s">
        <v>2399</v>
      </c>
      <c r="D1123" t="str">
        <f ca="1">IFERROR(__xludf.DUMMYFUNCTION("GOOGLETRANSLATE(B1123,""es"",""en"")"),"Young")</f>
        <v>Young</v>
      </c>
      <c r="E1123" t="str">
        <f ca="1">IFERROR(__xludf.DUMMYFUNCTION("GOOGLETRANSLATE(C1123,""es"",""en"")"),"Discussion, student ,,,,")</f>
        <v>Discussion, student ,,,,</v>
      </c>
    </row>
    <row r="1124" spans="1:5" ht="13.2" x14ac:dyDescent="0.25">
      <c r="A1124" t="s">
        <v>2400</v>
      </c>
      <c r="B1124" t="s">
        <v>2401</v>
      </c>
      <c r="C1124" t="s">
        <v>2402</v>
      </c>
      <c r="D1124" t="str">
        <f ca="1">IFERROR(__xludf.DUMMYFUNCTION("GOOGLETRANSLATE(B1124,""es"",""en"")"),"Left handed")</f>
        <v>Left handed</v>
      </c>
      <c r="E1124" t="str">
        <f ca="1">IFERROR(__xludf.DUMMYFUNCTION("GOOGLETRANSLATE(C1124,""es"",""en"")"),"Left, , , ,")</f>
        <v>Left, , , ,</v>
      </c>
    </row>
    <row r="1125" spans="1:5" ht="13.2" x14ac:dyDescent="0.25">
      <c r="A1125" t="s">
        <v>2403</v>
      </c>
      <c r="B1125" t="s">
        <v>2401</v>
      </c>
      <c r="C1125" t="s">
        <v>2402</v>
      </c>
      <c r="D1125" t="str">
        <f ca="1">IFERROR(__xludf.DUMMYFUNCTION("GOOGLETRANSLATE(B1125,""es"",""en"")"),"Left handed")</f>
        <v>Left handed</v>
      </c>
      <c r="E1125" t="str">
        <f ca="1">IFERROR(__xludf.DUMMYFUNCTION("GOOGLETRANSLATE(C1125,""es"",""en"")"),"Left, , , ,")</f>
        <v>Left, , , ,</v>
      </c>
    </row>
    <row r="1126" spans="1:5" ht="13.2" x14ac:dyDescent="0.25">
      <c r="A1126" t="s">
        <v>2404</v>
      </c>
      <c r="B1126" t="s">
        <v>2395</v>
      </c>
      <c r="D1126" t="str">
        <f ca="1">IFERROR(__xludf.DUMMYFUNCTION("GOOGLETRANSLATE(B1126,""es"",""en"")"),"Root of the tree")</f>
        <v>Root of the tree</v>
      </c>
      <c r="E1126" t="str">
        <f ca="1">IFERROR(__xludf.DUMMYFUNCTION("GOOGLETRANSLATE(C1126,""es"",""en"")"),"#VALUE!")</f>
        <v>#VALUE!</v>
      </c>
    </row>
    <row r="1127" spans="1:5" ht="13.2" x14ac:dyDescent="0.25">
      <c r="A1127" t="s">
        <v>2405</v>
      </c>
      <c r="B1127" t="s">
        <v>2406</v>
      </c>
      <c r="D1127" t="str">
        <f ca="1">IFERROR(__xludf.DUMMYFUNCTION("GOOGLETRANSLATE(B1127,""es"",""en"")"),"Step")</f>
        <v>Step</v>
      </c>
      <c r="E1127" t="str">
        <f ca="1">IFERROR(__xludf.DUMMYFUNCTION("GOOGLETRANSLATE(C1127,""es"",""en"")"),"#VALUE!")</f>
        <v>#VALUE!</v>
      </c>
    </row>
    <row r="1128" spans="1:5" ht="13.2" x14ac:dyDescent="0.25">
      <c r="A1128" t="s">
        <v>2394</v>
      </c>
      <c r="B1128" t="s">
        <v>2395</v>
      </c>
      <c r="D1128" t="str">
        <f ca="1">IFERROR(__xludf.DUMMYFUNCTION("GOOGLETRANSLATE(B1128,""es"",""en"")"),"Root of the tree")</f>
        <v>Root of the tree</v>
      </c>
      <c r="E1128" t="str">
        <f ca="1">IFERROR(__xludf.DUMMYFUNCTION("GOOGLETRANSLATE(C1128,""es"",""en"")"),"#VALUE!")</f>
        <v>#VALUE!</v>
      </c>
    </row>
    <row r="1129" spans="1:5" ht="13.2" x14ac:dyDescent="0.25">
      <c r="A1129" t="s">
        <v>2407</v>
      </c>
      <c r="B1129" t="s">
        <v>2408</v>
      </c>
      <c r="D1129" t="str">
        <f ca="1">IFERROR(__xludf.DUMMYFUNCTION("GOOGLETRANSLATE(B1129,""es"",""en"")"),"Tree bark")</f>
        <v>Tree bark</v>
      </c>
      <c r="E1129" t="str">
        <f ca="1">IFERROR(__xludf.DUMMYFUNCTION("GOOGLETRANSLATE(C1129,""es"",""en"")"),"#VALUE!")</f>
        <v>#VALUE!</v>
      </c>
    </row>
    <row r="1130" spans="1:5" ht="13.2" x14ac:dyDescent="0.25">
      <c r="A1130" t="s">
        <v>2409</v>
      </c>
      <c r="B1130" t="s">
        <v>2410</v>
      </c>
      <c r="D1130" t="str">
        <f ca="1">IFERROR(__xludf.DUMMYFUNCTION("GOOGLETRANSLATE(B1130,""es"",""en"")"),"Tree trunk")</f>
        <v>Tree trunk</v>
      </c>
      <c r="E1130" t="str">
        <f ca="1">IFERROR(__xludf.DUMMYFUNCTION("GOOGLETRANSLATE(C1130,""es"",""en"")"),"#VALUE!")</f>
        <v>#VALUE!</v>
      </c>
    </row>
    <row r="1131" spans="1:5" ht="13.2" x14ac:dyDescent="0.25">
      <c r="A1131" t="s">
        <v>2411</v>
      </c>
      <c r="B1131" t="s">
        <v>2410</v>
      </c>
      <c r="D1131" t="str">
        <f ca="1">IFERROR(__xludf.DUMMYFUNCTION("GOOGLETRANSLATE(B1131,""es"",""en"")"),"Tree trunk")</f>
        <v>Tree trunk</v>
      </c>
      <c r="E1131" t="str">
        <f ca="1">IFERROR(__xludf.DUMMYFUNCTION("GOOGLETRANSLATE(C1131,""es"",""en"")"),"#VALUE!")</f>
        <v>#VALUE!</v>
      </c>
    </row>
    <row r="1132" spans="1:5" ht="13.2" x14ac:dyDescent="0.25">
      <c r="A1132" t="s">
        <v>2412</v>
      </c>
      <c r="B1132" t="s">
        <v>2413</v>
      </c>
      <c r="C1132" t="s">
        <v>2414</v>
      </c>
      <c r="D1132" t="str">
        <f ca="1">IFERROR(__xludf.DUMMYFUNCTION("GOOGLETRANSLATE(B1132,""es"",""en"")"),"Forest")</f>
        <v>Forest</v>
      </c>
      <c r="E1132" t="str">
        <f ca="1">IFERROR(__xludf.DUMMYFUNCTION("GOOGLETRANSLATE(C1132,""es"",""en"")"),"Mount, jungle ,,,")</f>
        <v>Mount, jungle ,,,</v>
      </c>
    </row>
    <row r="1133" spans="1:5" ht="13.2" x14ac:dyDescent="0.25">
      <c r="A1133" t="s">
        <v>2415</v>
      </c>
      <c r="B1133" t="s">
        <v>2416</v>
      </c>
      <c r="D1133" t="str">
        <f ca="1">IFERROR(__xludf.DUMMYFUNCTION("GOOGLETRANSLATE(B1133,""es"",""en"")"),"Jagua")</f>
        <v>Jagua</v>
      </c>
      <c r="E1133" t="str">
        <f ca="1">IFERROR(__xludf.DUMMYFUNCTION("GOOGLETRANSLATE(C1133,""es"",""en"")"),"#VALUE!")</f>
        <v>#VALUE!</v>
      </c>
    </row>
    <row r="1134" spans="1:5" ht="13.2" x14ac:dyDescent="0.25">
      <c r="A1134" t="s">
        <v>2417</v>
      </c>
      <c r="B1134" t="s">
        <v>2416</v>
      </c>
      <c r="D1134" t="str">
        <f ca="1">IFERROR(__xludf.DUMMYFUNCTION("GOOGLETRANSLATE(B1134,""es"",""en"")"),"Jagua")</f>
        <v>Jagua</v>
      </c>
      <c r="E1134" t="str">
        <f ca="1">IFERROR(__xludf.DUMMYFUNCTION("GOOGLETRANSLATE(C1134,""es"",""en"")"),"#VALUE!")</f>
        <v>#VALUE!</v>
      </c>
    </row>
    <row r="1135" spans="1:5" ht="13.2" x14ac:dyDescent="0.25">
      <c r="A1135" t="s">
        <v>2418</v>
      </c>
      <c r="B1135" t="s">
        <v>2419</v>
      </c>
      <c r="C1135" t="s">
        <v>2420</v>
      </c>
      <c r="D1135" t="str">
        <f ca="1">IFERROR(__xludf.DUMMYFUNCTION("GOOGLETRANSLATE(B1135,""es"",""en"")"),"Love")</f>
        <v>Love</v>
      </c>
      <c r="E1135" t="str">
        <f ca="1">IFERROR(__xludf.DUMMYFUNCTION("GOOGLETRANSLATE(C1135,""es"",""en"")"),"Honey, affection ,,,,")</f>
        <v>Honey, affection ,,,,</v>
      </c>
    </row>
    <row r="1136" spans="1:5" ht="13.2" x14ac:dyDescent="0.25">
      <c r="A1136" t="s">
        <v>2421</v>
      </c>
      <c r="B1136" t="s">
        <v>2422</v>
      </c>
      <c r="C1136" t="s">
        <v>2423</v>
      </c>
      <c r="D1136" t="str">
        <f ca="1">IFERROR(__xludf.DUMMYFUNCTION("GOOGLETRANSLATE(B1136,""es"",""en"")"),"Letter")</f>
        <v>Letter</v>
      </c>
      <c r="E1136" t="str">
        <f ca="1">IFERROR(__xludf.DUMMYFUNCTION("GOOGLETRANSLATE(C1136,""es"",""en"")"),"Message, sheet, notebook ,,")</f>
        <v>Message, sheet, notebook ,,</v>
      </c>
    </row>
    <row r="1137" spans="1:5" ht="13.2" x14ac:dyDescent="0.25">
      <c r="A1137" t="s">
        <v>1449</v>
      </c>
      <c r="B1137" t="s">
        <v>2424</v>
      </c>
      <c r="C1137" t="s">
        <v>1448</v>
      </c>
      <c r="D1137" t="str">
        <f ca="1">IFERROR(__xludf.DUMMYFUNCTION("GOOGLETRANSLATE(B1137,""es"",""en"")"),"Chocolate")</f>
        <v>Chocolate</v>
      </c>
      <c r="E1137" t="str">
        <f ca="1">IFERROR(__xludf.DUMMYFUNCTION("GOOGLETRANSLATE(C1137,""es"",""en"")"),"Brown, , , ,")</f>
        <v>Brown, , , ,</v>
      </c>
    </row>
    <row r="1138" spans="1:5" ht="13.2" x14ac:dyDescent="0.25">
      <c r="A1138" t="s">
        <v>2425</v>
      </c>
      <c r="B1138" t="s">
        <v>2426</v>
      </c>
      <c r="D1138" t="str">
        <f ca="1">IFERROR(__xludf.DUMMYFUNCTION("GOOGLETRANSLATE(B1138,""es"",""en"")"),"Handwashing")</f>
        <v>Handwashing</v>
      </c>
      <c r="E1138" t="str">
        <f ca="1">IFERROR(__xludf.DUMMYFUNCTION("GOOGLETRANSLATE(C1138,""es"",""en"")"),"#VALUE!")</f>
        <v>#VALUE!</v>
      </c>
    </row>
    <row r="1139" spans="1:5" ht="13.2" x14ac:dyDescent="0.25">
      <c r="A1139" t="s">
        <v>1446</v>
      </c>
      <c r="B1139" t="s">
        <v>2424</v>
      </c>
      <c r="C1139" t="s">
        <v>1448</v>
      </c>
      <c r="D1139" t="str">
        <f ca="1">IFERROR(__xludf.DUMMYFUNCTION("GOOGLETRANSLATE(B1139,""es"",""en"")"),"Chocolate")</f>
        <v>Chocolate</v>
      </c>
      <c r="E1139" t="str">
        <f ca="1">IFERROR(__xludf.DUMMYFUNCTION("GOOGLETRANSLATE(C1139,""es"",""en"")"),"Brown, , , ,")</f>
        <v>Brown, , , ,</v>
      </c>
    </row>
    <row r="1140" spans="1:5" ht="13.2" x14ac:dyDescent="0.25">
      <c r="A1140" t="s">
        <v>2427</v>
      </c>
      <c r="B1140" t="s">
        <v>2428</v>
      </c>
      <c r="C1140" t="s">
        <v>2429</v>
      </c>
      <c r="D1140" t="str">
        <f ca="1">IFERROR(__xludf.DUMMYFUNCTION("GOOGLETRANSLATE(B1140,""es"",""en"")"),"Pencil")</f>
        <v>Pencil</v>
      </c>
      <c r="E1140" t="str">
        <f ca="1">IFERROR(__xludf.DUMMYFUNCTION("GOOGLETRANSLATE(C1140,""es"",""en"")"),"Pencil, , , ,")</f>
        <v>Pencil, , , ,</v>
      </c>
    </row>
    <row r="1141" spans="1:5" ht="13.2" x14ac:dyDescent="0.25">
      <c r="A1141" t="s">
        <v>2430</v>
      </c>
      <c r="B1141" t="s">
        <v>2431</v>
      </c>
      <c r="C1141" t="s">
        <v>2432</v>
      </c>
      <c r="D1141" t="str">
        <f ca="1">IFERROR(__xludf.DUMMYFUNCTION("GOOGLETRANSLATE(B1141,""es"",""en"")"),"Love")</f>
        <v>Love</v>
      </c>
      <c r="E1141" t="str">
        <f ca="1">IFERROR(__xludf.DUMMYFUNCTION("GOOGLETRANSLATE(C1141,""es"",""en"")"),"Fond ,,,,")</f>
        <v>Fond ,,,,</v>
      </c>
    </row>
    <row r="1142" spans="1:5" ht="13.2" x14ac:dyDescent="0.25">
      <c r="A1142" t="s">
        <v>2433</v>
      </c>
      <c r="B1142" t="s">
        <v>2434</v>
      </c>
      <c r="C1142" t="s">
        <v>2435</v>
      </c>
      <c r="D1142" t="str">
        <f ca="1">IFERROR(__xludf.DUMMYFUNCTION("GOOGLETRANSLATE(B1142,""es"",""en"")"),"Keep")</f>
        <v>Keep</v>
      </c>
      <c r="E1142" t="str">
        <f ca="1">IFERROR(__xludf.DUMMYFUNCTION("GOOGLETRANSLATE(C1142,""es"",""en"")"),"Save, keep, archive,")</f>
        <v>Save, keep, archive,</v>
      </c>
    </row>
    <row r="1143" spans="1:5" ht="13.2" x14ac:dyDescent="0.25">
      <c r="A1143" t="s">
        <v>2436</v>
      </c>
      <c r="B1143" t="s">
        <v>2437</v>
      </c>
      <c r="C1143" t="s">
        <v>2438</v>
      </c>
      <c r="D1143" t="str">
        <f ca="1">IFERROR(__xludf.DUMMYFUNCTION("GOOGLETRANSLATE(B1143,""es"",""en"")"),"Mistreat")</f>
        <v>Mistreat</v>
      </c>
      <c r="E1143" t="str">
        <f ca="1">IFERROR(__xludf.DUMMYFUNCTION("GOOGLETRANSLATE(C1143,""es"",""en"")"),"Damage, hurt ,,,,")</f>
        <v>Damage, hurt ,,,,</v>
      </c>
    </row>
    <row r="1144" spans="1:5" ht="13.2" x14ac:dyDescent="0.25">
      <c r="A1144" t="s">
        <v>2439</v>
      </c>
      <c r="B1144" t="s">
        <v>2440</v>
      </c>
      <c r="C1144" t="s">
        <v>2441</v>
      </c>
      <c r="D1144" t="str">
        <f ca="1">IFERROR(__xludf.DUMMYFUNCTION("GOOGLETRANSLATE(B1144,""es"",""en"")"),"ENAGUA")</f>
        <v>ENAGUA</v>
      </c>
      <c r="E1144" t="str">
        <f ca="1">IFERROR(__xludf.DUMMYFUNCTION("GOOGLETRANSLATE(C1144,""es"",""en"")"),"Blanket, , , ,")</f>
        <v>Blanket, , , ,</v>
      </c>
    </row>
    <row r="1145" spans="1:5" ht="13.2" x14ac:dyDescent="0.25">
      <c r="A1145" t="s">
        <v>2442</v>
      </c>
      <c r="B1145" t="s">
        <v>2443</v>
      </c>
      <c r="C1145" t="s">
        <v>2444</v>
      </c>
      <c r="D1145" t="str">
        <f ca="1">IFERROR(__xludf.DUMMYFUNCTION("GOOGLETRANSLATE(B1145,""es"",""en"")"),"There is no")</f>
        <v>There is no</v>
      </c>
      <c r="E1145" t="str">
        <f ca="1">IFERROR(__xludf.DUMMYFUNCTION("GOOGLETRANSLATE(C1145,""es"",""en"")"),"Nothing, zero ,,,")</f>
        <v>Nothing, zero ,,,</v>
      </c>
    </row>
    <row r="1146" spans="1:5" ht="13.2" x14ac:dyDescent="0.25">
      <c r="A1146" t="s">
        <v>2445</v>
      </c>
      <c r="B1146" t="s">
        <v>2446</v>
      </c>
      <c r="D1146" t="str">
        <f ca="1">IFERROR(__xludf.DUMMYFUNCTION("GOOGLETRANSLATE(B1146,""es"",""en"")"),"Lignum vitae")</f>
        <v>Lignum vitae</v>
      </c>
      <c r="E1146" t="str">
        <f ca="1">IFERROR(__xludf.DUMMYFUNCTION("GOOGLETRANSLATE(C1146,""es"",""en"")"),"#VALUE!")</f>
        <v>#VALUE!</v>
      </c>
    </row>
    <row r="1147" spans="1:5" ht="13.2" x14ac:dyDescent="0.25">
      <c r="A1147" t="s">
        <v>2447</v>
      </c>
      <c r="B1147" t="s">
        <v>2446</v>
      </c>
      <c r="D1147" t="str">
        <f ca="1">IFERROR(__xludf.DUMMYFUNCTION("GOOGLETRANSLATE(B1147,""es"",""en"")"),"Lignum vitae")</f>
        <v>Lignum vitae</v>
      </c>
      <c r="E1147" t="str">
        <f ca="1">IFERROR(__xludf.DUMMYFUNCTION("GOOGLETRANSLATE(C1147,""es"",""en"")"),"#VALUE!")</f>
        <v>#VALUE!</v>
      </c>
    </row>
    <row r="1148" spans="1:5" ht="13.2" x14ac:dyDescent="0.25">
      <c r="A1148" t="s">
        <v>2376</v>
      </c>
      <c r="B1148" t="s">
        <v>2374</v>
      </c>
      <c r="C1148" t="s">
        <v>2375</v>
      </c>
      <c r="D1148" t="str">
        <f ca="1">IFERROR(__xludf.DUMMYFUNCTION("GOOGLETRANSLATE(B1148,""es"",""en"")"),"Stomach")</f>
        <v>Stomach</v>
      </c>
      <c r="E1148" t="str">
        <f ca="1">IFERROR(__xludf.DUMMYFUNCTION("GOOGLETRANSLATE(C1148,""es"",""en"")"),"Belly, , , ,")</f>
        <v>Belly, , , ,</v>
      </c>
    </row>
    <row r="1149" spans="1:5" ht="13.2" x14ac:dyDescent="0.25">
      <c r="A1149" t="s">
        <v>2448</v>
      </c>
      <c r="B1149" t="s">
        <v>2449</v>
      </c>
      <c r="C1149" t="s">
        <v>2450</v>
      </c>
      <c r="D1149" t="s">
        <v>2451</v>
      </c>
      <c r="E1149" t="str">
        <f ca="1">IFERROR(__xludf.DUMMYFUNCTION("GOOGLETRANSLATE(C1149,""es"",""en"")"),"On my side ,,,,")</f>
        <v>On my side ,,,,</v>
      </c>
    </row>
    <row r="1150" spans="1:5" ht="13.2" x14ac:dyDescent="0.25">
      <c r="A1150" t="s">
        <v>2377</v>
      </c>
      <c r="B1150" t="s">
        <v>2374</v>
      </c>
      <c r="C1150" t="s">
        <v>2375</v>
      </c>
      <c r="D1150" t="str">
        <f ca="1">IFERROR(__xludf.DUMMYFUNCTION("GOOGLETRANSLATE(B1150,""es"",""en"")"),"Stomach")</f>
        <v>Stomach</v>
      </c>
      <c r="E1150" t="str">
        <f ca="1">IFERROR(__xludf.DUMMYFUNCTION("GOOGLETRANSLATE(C1150,""es"",""en"")"),"Belly, , , ,")</f>
        <v>Belly, , , ,</v>
      </c>
    </row>
    <row r="1151" spans="1:5" ht="13.2" x14ac:dyDescent="0.25">
      <c r="A1151" t="s">
        <v>2452</v>
      </c>
      <c r="B1151" t="s">
        <v>2453</v>
      </c>
      <c r="C1151" t="s">
        <v>2454</v>
      </c>
      <c r="D1151" t="str">
        <f ca="1">IFERROR(__xludf.DUMMYFUNCTION("GOOGLETRANSLATE(B1151,""es"",""en"")"),"Defecate")</f>
        <v>Defecate</v>
      </c>
      <c r="E1151" t="str">
        <f ca="1">IFERROR(__xludf.DUMMYFUNCTION("GOOGLETRANSLATE(C1151,""es"",""en"")"),"Excrete, depose ,,,")</f>
        <v>Excrete, depose ,,,</v>
      </c>
    </row>
    <row r="1152" spans="1:5" ht="13.2" x14ac:dyDescent="0.25">
      <c r="A1152" t="s">
        <v>2455</v>
      </c>
      <c r="B1152" t="s">
        <v>2453</v>
      </c>
      <c r="D1152" t="str">
        <f ca="1">IFERROR(__xludf.DUMMYFUNCTION("GOOGLETRANSLATE(B1152,""es"",""en"")"),"Defecate")</f>
        <v>Defecate</v>
      </c>
      <c r="E1152" t="str">
        <f ca="1">IFERROR(__xludf.DUMMYFUNCTION("GOOGLETRANSLATE(C1152,""es"",""en"")"),"#VALUE!")</f>
        <v>#VALUE!</v>
      </c>
    </row>
    <row r="1153" spans="1:5" ht="13.2" x14ac:dyDescent="0.25">
      <c r="A1153" t="s">
        <v>11</v>
      </c>
      <c r="B1153" t="s">
        <v>2453</v>
      </c>
      <c r="D1153" t="str">
        <f ca="1">IFERROR(__xludf.DUMMYFUNCTION("GOOGLETRANSLATE(B1153,""es"",""en"")"),"Defecate")</f>
        <v>Defecate</v>
      </c>
      <c r="E1153" t="str">
        <f ca="1">IFERROR(__xludf.DUMMYFUNCTION("GOOGLETRANSLATE(C1153,""es"",""en"")"),"#VALUE!")</f>
        <v>#VALUE!</v>
      </c>
    </row>
    <row r="1154" spans="1:5" ht="13.2" x14ac:dyDescent="0.25">
      <c r="A1154" t="s">
        <v>2456</v>
      </c>
      <c r="B1154" t="s">
        <v>2457</v>
      </c>
      <c r="D1154" t="str">
        <f ca="1">IFERROR(__xludf.DUMMYFUNCTION("GOOGLETRANSLATE(B1154,""es"",""en"")"),"Yesterday")</f>
        <v>Yesterday</v>
      </c>
      <c r="E1154" t="str">
        <f ca="1">IFERROR(__xludf.DUMMYFUNCTION("GOOGLETRANSLATE(C1154,""es"",""en"")"),"#VALUE!")</f>
        <v>#VALUE!</v>
      </c>
    </row>
    <row r="1155" spans="1:5" ht="13.2" x14ac:dyDescent="0.25">
      <c r="A1155" t="s">
        <v>785</v>
      </c>
      <c r="B1155" t="s">
        <v>783</v>
      </c>
      <c r="C1155" t="s">
        <v>2458</v>
      </c>
      <c r="D1155" t="str">
        <f ca="1">IFERROR(__xludf.DUMMYFUNCTION("GOOGLETRANSLATE(B1155,""es"",""en"")"),"Do")</f>
        <v>Do</v>
      </c>
      <c r="E1155" t="str">
        <f ca="1">IFERROR(__xludf.DUMMYFUNCTION("GOOGLETRANSLATE(C1155,""es"",""en"")"),"Perform, execute ,,,")</f>
        <v>Perform, execute ,,,</v>
      </c>
    </row>
    <row r="1156" spans="1:5" ht="13.2" x14ac:dyDescent="0.25">
      <c r="A1156" t="s">
        <v>782</v>
      </c>
      <c r="B1156" t="s">
        <v>783</v>
      </c>
      <c r="C1156" t="s">
        <v>2458</v>
      </c>
      <c r="D1156" t="str">
        <f ca="1">IFERROR(__xludf.DUMMYFUNCTION("GOOGLETRANSLATE(B1156,""es"",""en"")"),"Do")</f>
        <v>Do</v>
      </c>
      <c r="E1156" t="str">
        <f ca="1">IFERROR(__xludf.DUMMYFUNCTION("GOOGLETRANSLATE(C1156,""es"",""en"")"),"Perform, execute ,,,")</f>
        <v>Perform, execute ,,,</v>
      </c>
    </row>
    <row r="1157" spans="1:5" ht="13.2" x14ac:dyDescent="0.25">
      <c r="A1157" t="s">
        <v>912</v>
      </c>
      <c r="B1157" t="s">
        <v>910</v>
      </c>
      <c r="C1157" t="s">
        <v>2459</v>
      </c>
      <c r="D1157" t="str">
        <f ca="1">IFERROR(__xludf.DUMMYFUNCTION("GOOGLETRANSLATE(B1157,""es"",""en"")"),"Hate")</f>
        <v>Hate</v>
      </c>
      <c r="E1157" t="str">
        <f ca="1">IFERROR(__xludf.DUMMYFUNCTION("GOOGLETRANSLATE(C1157,""es"",""en"")"),"Repudiate ,,,,")</f>
        <v>Repudiate ,,,,</v>
      </c>
    </row>
    <row r="1158" spans="1:5" ht="13.2" x14ac:dyDescent="0.25">
      <c r="A1158" t="s">
        <v>909</v>
      </c>
      <c r="B1158" t="s">
        <v>910</v>
      </c>
      <c r="C1158" t="s">
        <v>2459</v>
      </c>
      <c r="D1158" t="str">
        <f ca="1">IFERROR(__xludf.DUMMYFUNCTION("GOOGLETRANSLATE(B1158,""es"",""en"")"),"Hate")</f>
        <v>Hate</v>
      </c>
      <c r="E1158" t="str">
        <f ca="1">IFERROR(__xludf.DUMMYFUNCTION("GOOGLETRANSLATE(C1158,""es"",""en"")"),"Repudiate ,,,,")</f>
        <v>Repudiate ,,,,</v>
      </c>
    </row>
    <row r="1159" spans="1:5" ht="13.2" x14ac:dyDescent="0.25">
      <c r="A1159" t="s">
        <v>2460</v>
      </c>
      <c r="B1159" t="s">
        <v>2461</v>
      </c>
      <c r="D1159" t="s">
        <v>2462</v>
      </c>
      <c r="E1159" t="str">
        <f ca="1">IFERROR(__xludf.DUMMYFUNCTION("GOOGLETRANSLATE(C1159,""es"",""en"")"),"#VALUE!")</f>
        <v>#VALUE!</v>
      </c>
    </row>
    <row r="1160" spans="1:5" ht="13.2" x14ac:dyDescent="0.25">
      <c r="A1160" t="s">
        <v>2463</v>
      </c>
      <c r="B1160" t="s">
        <v>2449</v>
      </c>
      <c r="C1160" t="s">
        <v>2450</v>
      </c>
      <c r="D1160" t="s">
        <v>2464</v>
      </c>
      <c r="E1160" t="str">
        <f ca="1">IFERROR(__xludf.DUMMYFUNCTION("GOOGLETRANSLATE(C1160,""es"",""en"")"),"On my side ,,,,")</f>
        <v>On my side ,,,,</v>
      </c>
    </row>
    <row r="1161" spans="1:5" ht="13.2" x14ac:dyDescent="0.25">
      <c r="A1161" t="s">
        <v>2465</v>
      </c>
      <c r="B1161" t="s">
        <v>2466</v>
      </c>
      <c r="D1161" t="str">
        <f ca="1">IFERROR(__xludf.DUMMYFUNCTION("GOOGLETRANSLATE(B1161,""es"",""en"")"),"Mother-in-law")</f>
        <v>Mother-in-law</v>
      </c>
      <c r="E1161" t="str">
        <f ca="1">IFERROR(__xludf.DUMMYFUNCTION("GOOGLETRANSLATE(C1161,""es"",""en"")"),"#VALUE!")</f>
        <v>#VALUE!</v>
      </c>
    </row>
    <row r="1162" spans="1:5" ht="13.2" x14ac:dyDescent="0.25">
      <c r="A1162" t="s">
        <v>2467</v>
      </c>
      <c r="B1162" t="s">
        <v>2466</v>
      </c>
      <c r="D1162" t="str">
        <f ca="1">IFERROR(__xludf.DUMMYFUNCTION("GOOGLETRANSLATE(B1162,""es"",""en"")"),"Mother-in-law")</f>
        <v>Mother-in-law</v>
      </c>
      <c r="E1162" t="str">
        <f ca="1">IFERROR(__xludf.DUMMYFUNCTION("GOOGLETRANSLATE(C1162,""es"",""en"")"),"#VALUE!")</f>
        <v>#VALUE!</v>
      </c>
    </row>
    <row r="1163" spans="1:5" ht="13.2" x14ac:dyDescent="0.25">
      <c r="A1163" t="s">
        <v>2468</v>
      </c>
      <c r="B1163" t="s">
        <v>2469</v>
      </c>
      <c r="D1163" t="str">
        <f ca="1">IFERROR(__xludf.DUMMYFUNCTION("GOOGLETRANSLATE(B1163,""es"",""en"")"),"Father -in -law or mother -in -law")</f>
        <v>Father -in -law or mother -in -law</v>
      </c>
      <c r="E1163" t="str">
        <f ca="1">IFERROR(__xludf.DUMMYFUNCTION("GOOGLETRANSLATE(C1163,""es"",""en"")"),"#VALUE!")</f>
        <v>#VALUE!</v>
      </c>
    </row>
    <row r="1164" spans="1:5" ht="13.2" x14ac:dyDescent="0.25">
      <c r="A1164" t="s">
        <v>2470</v>
      </c>
      <c r="B1164" t="s">
        <v>2471</v>
      </c>
      <c r="C1164" t="s">
        <v>2472</v>
      </c>
      <c r="D1164" t="str">
        <f ca="1">IFERROR(__xludf.DUMMYFUNCTION("GOOGLETRANSLATE(B1164,""es"",""en"")"),"To the")</f>
        <v>To the</v>
      </c>
      <c r="E1164" t="str">
        <f ca="1">IFERROR(__xludf.DUMMYFUNCTION("GOOGLETRANSLATE(C1164,""es"",""en"")"),"Fin ,,,,")</f>
        <v>Fin ,,,,</v>
      </c>
    </row>
    <row r="1165" spans="1:5" ht="13.2" x14ac:dyDescent="0.25">
      <c r="A1165" t="s">
        <v>2473</v>
      </c>
      <c r="B1165" t="s">
        <v>2474</v>
      </c>
      <c r="C1165" t="s">
        <v>2475</v>
      </c>
      <c r="D1165" t="str">
        <f ca="1">IFERROR(__xludf.DUMMYFUNCTION("GOOGLETRANSLATE(B1165,""es"",""en"")"),"Grid")</f>
        <v>Grid</v>
      </c>
      <c r="E1165" t="str">
        <f ca="1">IFERROR(__xludf.DUMMYFUNCTION("GOOGLETRANSLATE(C1165,""es"",""en"")"),"Mesh, , , ,")</f>
        <v>Mesh, , , ,</v>
      </c>
    </row>
    <row r="1166" spans="1:5" ht="13.2" x14ac:dyDescent="0.25">
      <c r="A1166" t="s">
        <v>2476</v>
      </c>
      <c r="B1166" t="s">
        <v>2477</v>
      </c>
      <c r="C1166" t="s">
        <v>2478</v>
      </c>
      <c r="D1166" t="str">
        <f ca="1">IFERROR(__xludf.DUMMYFUNCTION("GOOGLETRANSLATE(B1166,""es"",""en"")"),"Machucize")</f>
        <v>Machucize</v>
      </c>
      <c r="E1166" t="str">
        <f ca="1">IFERROR(__xludf.DUMMYFUNCTION("GOOGLETRANSLATE(C1166,""es"",""en"")"),"Bruise, be stolen ,,,,")</f>
        <v>Bruise, be stolen ,,,,</v>
      </c>
    </row>
    <row r="1167" spans="1:5" ht="13.2" x14ac:dyDescent="0.25">
      <c r="A1167" t="s">
        <v>2479</v>
      </c>
      <c r="B1167" t="s">
        <v>2480</v>
      </c>
      <c r="C1167" t="s">
        <v>2481</v>
      </c>
      <c r="D1167" t="str">
        <f ca="1">IFERROR(__xludf.DUMMYFUNCTION("GOOGLETRANSLATE(B1167,""es"",""en"")"),"Chew")</f>
        <v>Chew</v>
      </c>
      <c r="E1167" t="str">
        <f ca="1">IFERROR(__xludf.DUMMYFUNCTION("GOOGLETRANSLATE(C1167,""es"",""en"")"),"Chew ,,,,")</f>
        <v>Chew ,,,,</v>
      </c>
    </row>
    <row r="1168" spans="1:5" ht="13.2" x14ac:dyDescent="0.25">
      <c r="A1168" t="s">
        <v>2482</v>
      </c>
      <c r="B1168" t="s">
        <v>2483</v>
      </c>
      <c r="D1168" t="str">
        <f ca="1">IFERROR(__xludf.DUMMYFUNCTION("GOOGLETRANSLATE(B1168,""es"",""en"")"),"Arm")</f>
        <v>Arm</v>
      </c>
      <c r="E1168" t="str">
        <f ca="1">IFERROR(__xludf.DUMMYFUNCTION("GOOGLETRANSLATE(C1168,""es"",""en"")"),"#VALUE!")</f>
        <v>#VALUE!</v>
      </c>
    </row>
    <row r="1169" spans="1:5" ht="13.2" x14ac:dyDescent="0.25">
      <c r="A1169" t="s">
        <v>2484</v>
      </c>
      <c r="B1169" t="s">
        <v>2483</v>
      </c>
      <c r="D1169" t="str">
        <f ca="1">IFERROR(__xludf.DUMMYFUNCTION("GOOGLETRANSLATE(B1169,""es"",""en"")"),"Arm")</f>
        <v>Arm</v>
      </c>
      <c r="E1169" t="str">
        <f ca="1">IFERROR(__xludf.DUMMYFUNCTION("GOOGLETRANSLATE(C1169,""es"",""en"")"),"#VALUE!")</f>
        <v>#VALUE!</v>
      </c>
    </row>
    <row r="1170" spans="1:5" ht="13.2" x14ac:dyDescent="0.25">
      <c r="A1170" t="s">
        <v>2485</v>
      </c>
      <c r="B1170" t="s">
        <v>2483</v>
      </c>
      <c r="D1170" t="str">
        <f ca="1">IFERROR(__xludf.DUMMYFUNCTION("GOOGLETRANSLATE(B1170,""es"",""en"")"),"Arm")</f>
        <v>Arm</v>
      </c>
      <c r="E1170" t="str">
        <f ca="1">IFERROR(__xludf.DUMMYFUNCTION("GOOGLETRANSLATE(C1170,""es"",""en"")"),"#VALUE!")</f>
        <v>#VALUE!</v>
      </c>
    </row>
    <row r="1171" spans="1:5" ht="13.2" x14ac:dyDescent="0.25">
      <c r="A1171" t="s">
        <v>2486</v>
      </c>
      <c r="B1171" t="s">
        <v>2487</v>
      </c>
      <c r="D1171" t="str">
        <f ca="1">IFERROR(__xludf.DUMMYFUNCTION("GOOGLETRANSLATE(B1171,""es"",""en"")"),"Siren")</f>
        <v>Siren</v>
      </c>
      <c r="E1171" t="str">
        <f ca="1">IFERROR(__xludf.DUMMYFUNCTION("GOOGLETRANSLATE(C1171,""es"",""en"")"),"#VALUE!")</f>
        <v>#VALUE!</v>
      </c>
    </row>
    <row r="1172" spans="1:5" ht="13.2" x14ac:dyDescent="0.25">
      <c r="A1172" t="s">
        <v>2377</v>
      </c>
      <c r="B1172" t="s">
        <v>2374</v>
      </c>
      <c r="D1172" t="str">
        <f ca="1">IFERROR(__xludf.DUMMYFUNCTION("GOOGLETRANSLATE(B1172,""es"",""en"")"),"Stomach")</f>
        <v>Stomach</v>
      </c>
      <c r="E1172" t="str">
        <f ca="1">IFERROR(__xludf.DUMMYFUNCTION("GOOGLETRANSLATE(C1172,""es"",""en"")"),"#VALUE!")</f>
        <v>#VALUE!</v>
      </c>
    </row>
    <row r="1173" spans="1:5" ht="13.2" x14ac:dyDescent="0.25">
      <c r="A1173" t="s">
        <v>2488</v>
      </c>
      <c r="B1173" t="s">
        <v>2489</v>
      </c>
      <c r="D1173" t="str">
        <f ca="1">IFERROR(__xludf.DUMMYFUNCTION("GOOGLETRANSLATE(B1173,""es"",""en"")"),"Northwest wind")</f>
        <v>Northwest wind</v>
      </c>
      <c r="E1173" t="str">
        <f ca="1">IFERROR(__xludf.DUMMYFUNCTION("GOOGLETRANSLATE(C1173,""es"",""en"")"),"#VALUE!")</f>
        <v>#VALUE!</v>
      </c>
    </row>
    <row r="1174" spans="1:5" ht="13.2" x14ac:dyDescent="0.25">
      <c r="A1174" t="s">
        <v>2490</v>
      </c>
      <c r="B1174" t="s">
        <v>2491</v>
      </c>
      <c r="C1174" t="s">
        <v>2492</v>
      </c>
      <c r="D1174" t="str">
        <f ca="1">IFERROR(__xludf.DUMMYFUNCTION("GOOGLETRANSLATE(B1174,""es"",""en"")"),"Glutton")</f>
        <v>Glutton</v>
      </c>
      <c r="E1174" t="str">
        <f ca="1">IFERROR(__xludf.DUMMYFUNCTION("GOOGLETRANSLATE(C1174,""es"",""en"")"),"Insatiable, hungry ,,,,")</f>
        <v>Insatiable, hungry ,,,,</v>
      </c>
    </row>
    <row r="1175" spans="1:5" ht="13.2" x14ac:dyDescent="0.25">
      <c r="A1175" t="s">
        <v>2493</v>
      </c>
      <c r="B1175" t="s">
        <v>2494</v>
      </c>
      <c r="C1175" t="s">
        <v>2495</v>
      </c>
      <c r="D1175" t="s">
        <v>2496</v>
      </c>
      <c r="E1175" t="str">
        <f ca="1">IFERROR(__xludf.DUMMYFUNCTION("GOOGLETRANSLATE(C1175,""es"",""en"")"),"Community authority ,,,,")</f>
        <v>Community authority ,,,,</v>
      </c>
    </row>
    <row r="1176" spans="1:5" ht="13.2" x14ac:dyDescent="0.25">
      <c r="A1176" t="s">
        <v>2497</v>
      </c>
      <c r="B1176" t="s">
        <v>2498</v>
      </c>
      <c r="D1176" t="s">
        <v>2499</v>
      </c>
      <c r="E1176" t="str">
        <f ca="1">IFERROR(__xludf.DUMMYFUNCTION("GOOGLETRANSLATE(C1176,""es"",""en"")"),"#VALUE!")</f>
        <v>#VALUE!</v>
      </c>
    </row>
    <row r="1177" spans="1:5" ht="13.2" x14ac:dyDescent="0.25">
      <c r="A1177" t="s">
        <v>2500</v>
      </c>
      <c r="B1177" t="s">
        <v>2501</v>
      </c>
      <c r="C1177" t="s">
        <v>2502</v>
      </c>
      <c r="D1177" t="str">
        <f ca="1">IFERROR(__xludf.DUMMYFUNCTION("GOOGLETRANSLATE(B1177,""es"",""en"")"),"Hair")</f>
        <v>Hair</v>
      </c>
      <c r="E1177" t="str">
        <f ca="1">IFERROR(__xludf.DUMMYFUNCTION("GOOGLETRANSLATE(C1177,""es"",""en"")"),"Hair, , , ,")</f>
        <v>Hair, , , ,</v>
      </c>
    </row>
    <row r="1178" spans="1:5" ht="13.2" x14ac:dyDescent="0.25">
      <c r="A1178" t="s">
        <v>2503</v>
      </c>
      <c r="B1178" t="s">
        <v>2504</v>
      </c>
      <c r="D1178" t="str">
        <f ca="1">IFERROR(__xludf.DUMMYFUNCTION("GOOGLETRANSLATE(B1178,""es"",""en"")"),"With all the root")</f>
        <v>With all the root</v>
      </c>
      <c r="E1178" t="str">
        <f ca="1">IFERROR(__xludf.DUMMYFUNCTION("GOOGLETRANSLATE(C1178,""es"",""en"")"),"#VALUE!")</f>
        <v>#VALUE!</v>
      </c>
    </row>
    <row r="1179" spans="1:5" ht="13.2" x14ac:dyDescent="0.25">
      <c r="A1179" t="s">
        <v>2505</v>
      </c>
      <c r="B1179" t="s">
        <v>2504</v>
      </c>
      <c r="D1179" t="str">
        <f ca="1">IFERROR(__xludf.DUMMYFUNCTION("GOOGLETRANSLATE(B1179,""es"",""en"")"),"With all the root")</f>
        <v>With all the root</v>
      </c>
      <c r="E1179" t="str">
        <f ca="1">IFERROR(__xludf.DUMMYFUNCTION("GOOGLETRANSLATE(C1179,""es"",""en"")"),"#VALUE!")</f>
        <v>#VALUE!</v>
      </c>
    </row>
    <row r="1180" spans="1:5" ht="13.2" x14ac:dyDescent="0.25">
      <c r="A1180" t="s">
        <v>2506</v>
      </c>
      <c r="B1180" t="s">
        <v>2504</v>
      </c>
      <c r="D1180" t="str">
        <f ca="1">IFERROR(__xludf.DUMMYFUNCTION("GOOGLETRANSLATE(B1180,""es"",""en"")"),"With all the root")</f>
        <v>With all the root</v>
      </c>
      <c r="E1180" t="str">
        <f ca="1">IFERROR(__xludf.DUMMYFUNCTION("GOOGLETRANSLATE(C1180,""es"",""en"")"),"#VALUE!")</f>
        <v>#VALUE!</v>
      </c>
    </row>
    <row r="1181" spans="1:5" ht="13.2" x14ac:dyDescent="0.25">
      <c r="A1181" t="s">
        <v>1840</v>
      </c>
      <c r="B1181" t="s">
        <v>1689</v>
      </c>
      <c r="C1181" t="s">
        <v>1690</v>
      </c>
      <c r="D1181" t="str">
        <f ca="1">IFERROR(__xludf.DUMMYFUNCTION("GOOGLETRANSLATE(B1181,""es"",""en"")"),"Cane")</f>
        <v>Cane</v>
      </c>
      <c r="E1181" t="str">
        <f ca="1">IFERROR(__xludf.DUMMYFUNCTION("GOOGLETRANSLATE(C1181,""es"",""en"")"),"White hair, , , ,")</f>
        <v>White hair, , , ,</v>
      </c>
    </row>
    <row r="1182" spans="1:5" ht="13.2" x14ac:dyDescent="0.25">
      <c r="A1182" t="s">
        <v>2507</v>
      </c>
      <c r="B1182" t="s">
        <v>2508</v>
      </c>
      <c r="C1182" t="s">
        <v>2509</v>
      </c>
      <c r="D1182" t="str">
        <f ca="1">IFERROR(__xludf.DUMMYFUNCTION("GOOGLETRANSLATE(B1182,""es"",""en"")"),"Wrapped")</f>
        <v>Wrapped</v>
      </c>
      <c r="E1182" t="str">
        <f ca="1">IFERROR(__xludf.DUMMYFUNCTION("GOOGLETRANSLATE(C1182,""es"",""en"")"),"Refers to medication or food ,,,,,")</f>
        <v>Refers to medication or food ,,,,,</v>
      </c>
    </row>
    <row r="1183" spans="1:5" ht="13.2" x14ac:dyDescent="0.25">
      <c r="A1183" t="s">
        <v>1688</v>
      </c>
      <c r="B1183" t="s">
        <v>2510</v>
      </c>
      <c r="D1183" t="str">
        <f ca="1">IFERROR(__xludf.DUMMYFUNCTION("GOOGLETRANSLATE(B1183,""es"",""en"")"),"White hair")</f>
        <v>White hair</v>
      </c>
      <c r="E1183" t="str">
        <f ca="1">IFERROR(__xludf.DUMMYFUNCTION("GOOGLETRANSLATE(C1183,""es"",""en"")"),"#VALUE!")</f>
        <v>#VALUE!</v>
      </c>
    </row>
    <row r="1184" spans="1:5" ht="13.2" x14ac:dyDescent="0.25">
      <c r="A1184" t="s">
        <v>2511</v>
      </c>
      <c r="B1184" t="s">
        <v>2512</v>
      </c>
      <c r="D1184" t="str">
        <f ca="1">IFERROR(__xludf.DUMMYFUNCTION("GOOGLETRANSLATE(B1184,""es"",""en"")"),"Father-in-law")</f>
        <v>Father-in-law</v>
      </c>
      <c r="E1184" t="str">
        <f ca="1">IFERROR(__xludf.DUMMYFUNCTION("GOOGLETRANSLATE(C1184,""es"",""en"")"),"#VALUE!")</f>
        <v>#VALUE!</v>
      </c>
    </row>
    <row r="1185" spans="1:5" ht="13.2" x14ac:dyDescent="0.25">
      <c r="A1185" t="s">
        <v>2513</v>
      </c>
      <c r="B1185" t="s">
        <v>2512</v>
      </c>
      <c r="D1185" t="str">
        <f ca="1">IFERROR(__xludf.DUMMYFUNCTION("GOOGLETRANSLATE(B1185,""es"",""en"")"),"Father-in-law")</f>
        <v>Father-in-law</v>
      </c>
      <c r="E1185" t="str">
        <f ca="1">IFERROR(__xludf.DUMMYFUNCTION("GOOGLETRANSLATE(C1185,""es"",""en"")"),"#VALUE!")</f>
        <v>#VALUE!</v>
      </c>
    </row>
    <row r="1186" spans="1:5" ht="13.2" x14ac:dyDescent="0.25">
      <c r="A1186" t="s">
        <v>2514</v>
      </c>
      <c r="B1186" t="s">
        <v>2515</v>
      </c>
      <c r="C1186" t="s">
        <v>2516</v>
      </c>
      <c r="D1186" t="str">
        <f ca="1">IFERROR(__xludf.DUMMYFUNCTION("GOOGLETRANSLATE(B1186,""es"",""en"")"),"Coat")</f>
        <v>Coat</v>
      </c>
      <c r="E1186" t="str">
        <f ca="1">IFERROR(__xludf.DUMMYFUNCTION("GOOGLETRANSLATE(C1186,""es"",""en"")"),"Bag, , , ,")</f>
        <v>Bag, , , ,</v>
      </c>
    </row>
    <row r="1187" spans="1:5" ht="13.2" x14ac:dyDescent="0.25">
      <c r="A1187" t="s">
        <v>2517</v>
      </c>
      <c r="B1187" t="s">
        <v>2518</v>
      </c>
      <c r="D1187" t="str">
        <f ca="1">IFERROR(__xludf.DUMMYFUNCTION("GOOGLETRANSLATE(B1187,""es"",""en"")"),"Kingfisher")</f>
        <v>Kingfisher</v>
      </c>
      <c r="E1187" t="str">
        <f ca="1">IFERROR(__xludf.DUMMYFUNCTION("GOOGLETRANSLATE(C1187,""es"",""en"")"),"#VALUE!")</f>
        <v>#VALUE!</v>
      </c>
    </row>
    <row r="1188" spans="1:5" ht="13.2" x14ac:dyDescent="0.25">
      <c r="A1188" t="s">
        <v>2519</v>
      </c>
      <c r="B1188" t="s">
        <v>2520</v>
      </c>
      <c r="D1188" t="str">
        <f ca="1">IFERROR(__xludf.DUMMYFUNCTION("GOOGLETRANSLATE(B1188,""es"",""en"")"),"Hip")</f>
        <v>Hip</v>
      </c>
      <c r="E1188" t="str">
        <f ca="1">IFERROR(__xludf.DUMMYFUNCTION("GOOGLETRANSLATE(C1188,""es"",""en"")"),"#VALUE!")</f>
        <v>#VALUE!</v>
      </c>
    </row>
    <row r="1189" spans="1:5" ht="13.2" x14ac:dyDescent="0.25">
      <c r="A1189" t="s">
        <v>2521</v>
      </c>
      <c r="B1189" t="s">
        <v>2520</v>
      </c>
      <c r="D1189" t="str">
        <f ca="1">IFERROR(__xludf.DUMMYFUNCTION("GOOGLETRANSLATE(B1189,""es"",""en"")"),"Hip")</f>
        <v>Hip</v>
      </c>
      <c r="E1189" t="str">
        <f ca="1">IFERROR(__xludf.DUMMYFUNCTION("GOOGLETRANSLATE(C1189,""es"",""en"")"),"#VALUE!")</f>
        <v>#VALUE!</v>
      </c>
    </row>
    <row r="1190" spans="1:5" ht="13.2" x14ac:dyDescent="0.25">
      <c r="A1190" t="s">
        <v>2522</v>
      </c>
      <c r="B1190" t="s">
        <v>2523</v>
      </c>
      <c r="D1190" t="str">
        <f ca="1">IFERROR(__xludf.DUMMYFUNCTION("GOOGLETRANSLATE(B1190,""es"",""en"")"),"Bruise")</f>
        <v>Bruise</v>
      </c>
      <c r="E1190" t="str">
        <f ca="1">IFERROR(__xludf.DUMMYFUNCTION("GOOGLETRANSLATE(C1190,""es"",""en"")"),"#VALUE!")</f>
        <v>#VALUE!</v>
      </c>
    </row>
    <row r="1191" spans="1:5" ht="13.2" x14ac:dyDescent="0.25">
      <c r="A1191" t="s">
        <v>2524</v>
      </c>
      <c r="B1191" t="s">
        <v>2525</v>
      </c>
      <c r="D1191" t="str">
        <f ca="1">IFERROR(__xludf.DUMMYFUNCTION("GOOGLETRANSLATE(B1191,""es"",""en"")"),"River clam")</f>
        <v>River clam</v>
      </c>
      <c r="E1191" t="str">
        <f ca="1">IFERROR(__xludf.DUMMYFUNCTION("GOOGLETRANSLATE(C1191,""es"",""en"")"),"#VALUE!")</f>
        <v>#VALUE!</v>
      </c>
    </row>
    <row r="1192" spans="1:5" ht="13.2" x14ac:dyDescent="0.25">
      <c r="A1192" t="s">
        <v>2526</v>
      </c>
      <c r="B1192" t="s">
        <v>2527</v>
      </c>
      <c r="C1192" t="s">
        <v>2528</v>
      </c>
      <c r="D1192" t="str">
        <f ca="1">IFERROR(__xludf.DUMMYFUNCTION("GOOGLETRANSLATE(B1192,""es"",""en"")"),"Honeycomb")</f>
        <v>Honeycomb</v>
      </c>
      <c r="E1192" t="str">
        <f ca="1">IFERROR(__xludf.DUMMYFUNCTION("GOOGLETRANSLATE(C1192,""es"",""en"")"),"Sabanilla ,,,,")</f>
        <v>Sabanilla ,,,,</v>
      </c>
    </row>
    <row r="1193" spans="1:5" ht="13.2" x14ac:dyDescent="0.25">
      <c r="A1193" t="s">
        <v>2529</v>
      </c>
      <c r="B1193" t="s">
        <v>2508</v>
      </c>
      <c r="D1193" t="str">
        <f ca="1">IFERROR(__xludf.DUMMYFUNCTION("GOOGLETRANSLATE(B1193,""es"",""en"")"),"Wrapped")</f>
        <v>Wrapped</v>
      </c>
      <c r="E1193" t="str">
        <f ca="1">IFERROR(__xludf.DUMMYFUNCTION("GOOGLETRANSLATE(C1193,""es"",""en"")"),"#VALUE!")</f>
        <v>#VALUE!</v>
      </c>
    </row>
    <row r="1194" spans="1:5" ht="13.2" x14ac:dyDescent="0.25">
      <c r="A1194" t="s">
        <v>2530</v>
      </c>
      <c r="B1194" t="s">
        <v>2531</v>
      </c>
      <c r="D1194" t="str">
        <f ca="1">IFERROR(__xludf.DUMMYFUNCTION("GOOGLETRANSLATE(B1194,""es"",""en"")"),"Termite")</f>
        <v>Termite</v>
      </c>
      <c r="E1194" t="str">
        <f ca="1">IFERROR(__xludf.DUMMYFUNCTION("GOOGLETRANSLATE(C1194,""es"",""en"")"),"#VALUE!")</f>
        <v>#VALUE!</v>
      </c>
    </row>
    <row r="1195" spans="1:5" ht="13.2" x14ac:dyDescent="0.25">
      <c r="A1195" t="s">
        <v>2532</v>
      </c>
      <c r="B1195" t="s">
        <v>2533</v>
      </c>
      <c r="C1195" t="s">
        <v>2534</v>
      </c>
      <c r="D1195" t="str">
        <f ca="1">IFERROR(__xludf.DUMMYFUNCTION("GOOGLETRANSLATE(B1195,""es"",""en"")"),"Intestine")</f>
        <v>Intestine</v>
      </c>
      <c r="E1195" t="str">
        <f ca="1">IFERROR(__xludf.DUMMYFUNCTION("GOOGLETRANSLATE(C1195,""es"",""en"")"),"Entrails, viscera ,,,")</f>
        <v>Entrails, viscera ,,,</v>
      </c>
    </row>
    <row r="1196" spans="1:5" ht="13.2" x14ac:dyDescent="0.25">
      <c r="A1196" t="s">
        <v>828</v>
      </c>
      <c r="B1196" t="s">
        <v>827</v>
      </c>
      <c r="D1196" t="str">
        <f ca="1">IFERROR(__xludf.DUMMYFUNCTION("GOOGLETRANSLATE(B1196,""es"",""en"")"),"When")</f>
        <v>When</v>
      </c>
      <c r="E1196" t="str">
        <f ca="1">IFERROR(__xludf.DUMMYFUNCTION("GOOGLETRANSLATE(C1196,""es"",""en"")"),"#VALUE!")</f>
        <v>#VALUE!</v>
      </c>
    </row>
    <row r="1197" spans="1:5" ht="13.2" x14ac:dyDescent="0.25">
      <c r="A1197" t="s">
        <v>826</v>
      </c>
      <c r="B1197" t="s">
        <v>827</v>
      </c>
      <c r="D1197" t="str">
        <f ca="1">IFERROR(__xludf.DUMMYFUNCTION("GOOGLETRANSLATE(B1197,""es"",""en"")"),"When")</f>
        <v>When</v>
      </c>
      <c r="E1197" t="str">
        <f ca="1">IFERROR(__xludf.DUMMYFUNCTION("GOOGLETRANSLATE(C1197,""es"",""en"")"),"#VALUE!")</f>
        <v>#VALUE!</v>
      </c>
    </row>
    <row r="1198" spans="1:5" ht="13.2" x14ac:dyDescent="0.25">
      <c r="A1198" t="s">
        <v>828</v>
      </c>
      <c r="B1198" t="s">
        <v>2535</v>
      </c>
      <c r="D1198" t="str">
        <f ca="1">IFERROR(__xludf.DUMMYFUNCTION("GOOGLETRANSLATE(B1198,""es"",""en"")"),"Meat")</f>
        <v>Meat</v>
      </c>
      <c r="E1198" t="str">
        <f ca="1">IFERROR(__xludf.DUMMYFUNCTION("GOOGLETRANSLATE(C1198,""es"",""en"")"),"#VALUE!")</f>
        <v>#VALUE!</v>
      </c>
    </row>
    <row r="1199" spans="1:5" ht="13.2" x14ac:dyDescent="0.25">
      <c r="A1199" t="s">
        <v>2536</v>
      </c>
      <c r="B1199" t="s">
        <v>2537</v>
      </c>
      <c r="C1199" t="s">
        <v>2538</v>
      </c>
      <c r="D1199" t="str">
        <f ca="1">IFERROR(__xludf.DUMMYFUNCTION("GOOGLETRANSLATE(B1199,""es"",""en"")"),"Delay")</f>
        <v>Delay</v>
      </c>
      <c r="E1199" t="str">
        <f ca="1">IFERROR(__xludf.DUMMYFUNCTION("GOOGLETRANSLATE(C1199,""es"",""en"")"),"Forers, manifest, appear,")</f>
        <v>Forers, manifest, appear,</v>
      </c>
    </row>
    <row r="1200" spans="1:5" ht="13.2" x14ac:dyDescent="0.25">
      <c r="A1200" t="s">
        <v>2539</v>
      </c>
      <c r="B1200" t="s">
        <v>2233</v>
      </c>
      <c r="C1200" t="s">
        <v>2540</v>
      </c>
      <c r="D1200" t="str">
        <f ca="1">IFERROR(__xludf.DUMMYFUNCTION("GOOGLETRANSLATE(B1200,""es"",""en"")"),"Wife")</f>
        <v>Wife</v>
      </c>
      <c r="E1200" t="str">
        <f ca="1">IFERROR(__xludf.DUMMYFUNCTION("GOOGLETRANSLATE(C1200,""es"",""en"")")," Woman of, , , ,")</f>
        <v xml:space="preserve"> Woman of, , , ,</v>
      </c>
    </row>
    <row r="1201" spans="1:5" ht="13.2" x14ac:dyDescent="0.25">
      <c r="A1201" t="s">
        <v>2232</v>
      </c>
      <c r="B1201" t="s">
        <v>2233</v>
      </c>
      <c r="C1201" t="s">
        <v>2234</v>
      </c>
      <c r="D1201" t="str">
        <f ca="1">IFERROR(__xludf.DUMMYFUNCTION("GOOGLETRANSLATE(B1201,""es"",""en"")"),"Wife")</f>
        <v>Wife</v>
      </c>
      <c r="E1201" t="str">
        <f ca="1">IFERROR(__xludf.DUMMYFUNCTION("GOOGLETRANSLATE(C1201,""es"",""en"")"),"Women, , , ,")</f>
        <v>Women, , , ,</v>
      </c>
    </row>
    <row r="1202" spans="1:5" ht="13.2" x14ac:dyDescent="0.25">
      <c r="A1202" t="s">
        <v>2541</v>
      </c>
      <c r="B1202" t="s">
        <v>2542</v>
      </c>
      <c r="D1202" t="str">
        <f ca="1">IFERROR(__xludf.DUMMYFUNCTION("GOOGLETRANSLATE(B1202,""es"",""en"")"),"Variety of Tucán")</f>
        <v>Variety of Tucán</v>
      </c>
      <c r="E1202" t="str">
        <f ca="1">IFERROR(__xludf.DUMMYFUNCTION("GOOGLETRANSLATE(C1202,""es"",""en"")"),"#VALUE!")</f>
        <v>#VALUE!</v>
      </c>
    </row>
    <row r="1203" spans="1:5" ht="13.2" x14ac:dyDescent="0.25">
      <c r="A1203" t="s">
        <v>2543</v>
      </c>
      <c r="B1203" t="s">
        <v>2542</v>
      </c>
      <c r="D1203" t="str">
        <f ca="1">IFERROR(__xludf.DUMMYFUNCTION("GOOGLETRANSLATE(B1203,""es"",""en"")"),"Variety of Tucán")</f>
        <v>Variety of Tucán</v>
      </c>
      <c r="E1203" t="str">
        <f ca="1">IFERROR(__xludf.DUMMYFUNCTION("GOOGLETRANSLATE(C1203,""es"",""en"")"),"#VALUE!")</f>
        <v>#VALUE!</v>
      </c>
    </row>
    <row r="1204" spans="1:5" ht="13.2" x14ac:dyDescent="0.25">
      <c r="A1204" t="s">
        <v>2544</v>
      </c>
      <c r="B1204" t="s">
        <v>2545</v>
      </c>
      <c r="D1204" t="str">
        <f ca="1">IFERROR(__xludf.DUMMYFUNCTION("GOOGLETRANSLATE(B1204,""es"",""en"")"),"Wrap")</f>
        <v>Wrap</v>
      </c>
      <c r="E1204" t="str">
        <f ca="1">IFERROR(__xludf.DUMMYFUNCTION("GOOGLETRANSLATE(C1204,""es"",""en"")"),"#VALUE!")</f>
        <v>#VALUE!</v>
      </c>
    </row>
    <row r="1205" spans="1:5" ht="13.2" x14ac:dyDescent="0.25">
      <c r="A1205" t="s">
        <v>2546</v>
      </c>
      <c r="B1205" t="s">
        <v>2547</v>
      </c>
      <c r="D1205" t="str">
        <f ca="1">IFERROR(__xludf.DUMMYFUNCTION("GOOGLETRANSLATE(B1205,""es"",""en"")"),"Bejuco")</f>
        <v>Bejuco</v>
      </c>
      <c r="E1205" t="str">
        <f ca="1">IFERROR(__xludf.DUMMYFUNCTION("GOOGLETRANSLATE(C1205,""es"",""en"")"),"#VALUE!")</f>
        <v>#VALUE!</v>
      </c>
    </row>
    <row r="1206" spans="1:5" ht="13.2" x14ac:dyDescent="0.25">
      <c r="A1206" t="s">
        <v>2548</v>
      </c>
      <c r="B1206" t="s">
        <v>2549</v>
      </c>
      <c r="C1206" t="s">
        <v>2550</v>
      </c>
      <c r="D1206" t="str">
        <f ca="1">IFERROR(__xludf.DUMMYFUNCTION("GOOGLETRANSLATE(B1206,""es"",""en"")"),"Paste")</f>
        <v>Paste</v>
      </c>
      <c r="E1206" t="str">
        <f ca="1">IFERROR(__xludf.DUMMYFUNCTION("GOOGLETRANSLATE(C1206,""es"",""en"")"),"Hit, , , ,")</f>
        <v>Hit, , , ,</v>
      </c>
    </row>
    <row r="1207" spans="1:5" ht="13.2" x14ac:dyDescent="0.25">
      <c r="A1207" t="s">
        <v>2551</v>
      </c>
      <c r="B1207" t="s">
        <v>2552</v>
      </c>
      <c r="D1207" t="str">
        <f ca="1">IFERROR(__xludf.DUMMYFUNCTION("GOOGLETRANSLATE(B1207,""es"",""en"")"),"Waist")</f>
        <v>Waist</v>
      </c>
      <c r="E1207" t="str">
        <f ca="1">IFERROR(__xludf.DUMMYFUNCTION("GOOGLETRANSLATE(C1207,""es"",""en"")"),"#VALUE!")</f>
        <v>#VALUE!</v>
      </c>
    </row>
    <row r="1208" spans="1:5" ht="13.2" x14ac:dyDescent="0.25">
      <c r="A1208" t="s">
        <v>2553</v>
      </c>
      <c r="B1208" t="s">
        <v>2554</v>
      </c>
      <c r="D1208" t="str">
        <f ca="1">IFERROR(__xludf.DUMMYFUNCTION("GOOGLETRANSLATE(B1208,""es"",""en"")"),"Year")</f>
        <v>Year</v>
      </c>
      <c r="E1208" t="str">
        <f ca="1">IFERROR(__xludf.DUMMYFUNCTION("GOOGLETRANSLATE(C1208,""es"",""en"")"),"#VALUE!")</f>
        <v>#VALUE!</v>
      </c>
    </row>
    <row r="1209" spans="1:5" ht="13.2" x14ac:dyDescent="0.25">
      <c r="A1209" t="s">
        <v>2555</v>
      </c>
      <c r="B1209" t="s">
        <v>2554</v>
      </c>
      <c r="D1209" t="str">
        <f ca="1">IFERROR(__xludf.DUMMYFUNCTION("GOOGLETRANSLATE(B1209,""es"",""en"")"),"Year")</f>
        <v>Year</v>
      </c>
      <c r="E1209" t="str">
        <f ca="1">IFERROR(__xludf.DUMMYFUNCTION("GOOGLETRANSLATE(C1209,""es"",""en"")"),"#VALUE!")</f>
        <v>#VALUE!</v>
      </c>
    </row>
    <row r="1210" spans="1:5" ht="13.2" x14ac:dyDescent="0.25">
      <c r="A1210" t="s">
        <v>2556</v>
      </c>
      <c r="B1210" t="s">
        <v>2557</v>
      </c>
      <c r="D1210" t="str">
        <f ca="1">IFERROR(__xludf.DUMMYFUNCTION("GOOGLETRANSLATE(B1210,""es"",""en"")"),"Tasteless")</f>
        <v>Tasteless</v>
      </c>
      <c r="E1210" t="str">
        <f ca="1">IFERROR(__xludf.DUMMYFUNCTION("GOOGLETRANSLATE(C1210,""es"",""en"")"),"#VALUE!")</f>
        <v>#VALUE!</v>
      </c>
    </row>
    <row r="1211" spans="1:5" ht="13.2" x14ac:dyDescent="0.25">
      <c r="A1211" t="s">
        <v>2558</v>
      </c>
      <c r="B1211" t="s">
        <v>2557</v>
      </c>
      <c r="C1211" t="s">
        <v>2559</v>
      </c>
      <c r="D1211" t="str">
        <f ca="1">IFERROR(__xludf.DUMMYFUNCTION("GOOGLETRANSLATE(B1211,""es"",""en"")"),"Tasteless")</f>
        <v>Tasteless</v>
      </c>
      <c r="E1211" t="str">
        <f ca="1">IFERROR(__xludf.DUMMYFUNCTION("GOOGLETRANSLATE(C1211,""es"",""en"")"),"Unbalanced ,,,,")</f>
        <v>Unbalanced ,,,,</v>
      </c>
    </row>
    <row r="1212" spans="1:5" ht="13.2" x14ac:dyDescent="0.25">
      <c r="A1212" t="s">
        <v>2560</v>
      </c>
      <c r="B1212" t="s">
        <v>2561</v>
      </c>
      <c r="D1212" t="str">
        <f ca="1">IFERROR(__xludf.DUMMYFUNCTION("GOOGLETRANSLATE(B1212,""es"",""en"")"),"Bring to one")</f>
        <v>Bring to one</v>
      </c>
      <c r="E1212" t="str">
        <f ca="1">IFERROR(__xludf.DUMMYFUNCTION("GOOGLETRANSLATE(C1212,""es"",""en"")"),"#VALUE!")</f>
        <v>#VALUE!</v>
      </c>
    </row>
    <row r="1213" spans="1:5" ht="13.2" x14ac:dyDescent="0.25">
      <c r="A1213" t="s">
        <v>2562</v>
      </c>
      <c r="B1213" t="s">
        <v>2563</v>
      </c>
      <c r="C1213" t="s">
        <v>2564</v>
      </c>
      <c r="D1213" t="str">
        <f ca="1">IFERROR(__xludf.DUMMYFUNCTION("GOOGLETRANSLATE(B1213,""es"",""en"")"),"Carry")</f>
        <v>Carry</v>
      </c>
      <c r="E1213" t="str">
        <f ca="1">IFERROR(__xludf.DUMMYFUNCTION("GOOGLETRANSLATE(C1213,""es"",""en"")"),"Transport ,,,,")</f>
        <v>Transport ,,,,</v>
      </c>
    </row>
    <row r="1214" spans="1:5" ht="13.2" x14ac:dyDescent="0.25">
      <c r="A1214" t="s">
        <v>2565</v>
      </c>
      <c r="B1214" t="s">
        <v>2566</v>
      </c>
      <c r="C1214" t="s">
        <v>2567</v>
      </c>
      <c r="D1214" t="str">
        <f ca="1">IFERROR(__xludf.DUMMYFUNCTION("GOOGLETRANSLATE(B1214,""es"",""en"")"),"Late")</f>
        <v>Late</v>
      </c>
      <c r="E1214" t="str">
        <f ca="1">IFERROR(__xludf.DUMMYFUNCTION("GOOGLETRANSLATE(C1214,""es"",""en"")"),"In the afternoon, , , ,")</f>
        <v>In the afternoon, , , ,</v>
      </c>
    </row>
    <row r="1215" spans="1:5" ht="13.2" x14ac:dyDescent="0.25">
      <c r="A1215" t="s">
        <v>2568</v>
      </c>
      <c r="B1215" t="s">
        <v>2209</v>
      </c>
      <c r="D1215" t="str">
        <f ca="1">IFERROR(__xludf.DUMMYFUNCTION("GOOGLETRANSLATE(B1215,""es"",""en"")"),"Smell")</f>
        <v>Smell</v>
      </c>
      <c r="E1215" t="str">
        <f ca="1">IFERROR(__xludf.DUMMYFUNCTION("GOOGLETRANSLATE(C1215,""es"",""en"")"),"#VALUE!")</f>
        <v>#VALUE!</v>
      </c>
    </row>
    <row r="1216" spans="1:5" ht="13.2" x14ac:dyDescent="0.25">
      <c r="A1216" t="s">
        <v>2569</v>
      </c>
      <c r="B1216" t="s">
        <v>2570</v>
      </c>
      <c r="D1216" t="str">
        <f ca="1">IFERROR(__xludf.DUMMYFUNCTION("GOOGLETRANSLATE(B1216,""es"",""en"")"),"Blue")</f>
        <v>Blue</v>
      </c>
      <c r="E1216" t="str">
        <f ca="1">IFERROR(__xludf.DUMMYFUNCTION("GOOGLETRANSLATE(C1216,""es"",""en"")"),"#VALUE!")</f>
        <v>#VALUE!</v>
      </c>
    </row>
    <row r="1217" spans="1:5" ht="13.2" x14ac:dyDescent="0.25">
      <c r="A1217" t="s">
        <v>2571</v>
      </c>
      <c r="B1217" t="s">
        <v>2566</v>
      </c>
      <c r="C1217" t="s">
        <v>2567</v>
      </c>
      <c r="D1217" t="str">
        <f ca="1">IFERROR(__xludf.DUMMYFUNCTION("GOOGLETRANSLATE(B1217,""es"",""en"")"),"Late")</f>
        <v>Late</v>
      </c>
      <c r="E1217" t="str">
        <f ca="1">IFERROR(__xludf.DUMMYFUNCTION("GOOGLETRANSLATE(C1217,""es"",""en"")"),"In the afternoon, , , ,")</f>
        <v>In the afternoon, , , ,</v>
      </c>
    </row>
    <row r="1218" spans="1:5" ht="13.2" x14ac:dyDescent="0.25">
      <c r="A1218" t="s">
        <v>2572</v>
      </c>
      <c r="B1218" t="s">
        <v>2573</v>
      </c>
      <c r="C1218" t="s">
        <v>1663</v>
      </c>
      <c r="D1218" t="s">
        <v>2574</v>
      </c>
      <c r="E1218" t="str">
        <f ca="1">IFERROR(__xludf.DUMMYFUNCTION("GOOGLETRANSLATE(C1218,""es"",""en"")"),"When darkening ,,,,")</f>
        <v>When darkening ,,,,</v>
      </c>
    </row>
    <row r="1219" spans="1:5" ht="13.2" x14ac:dyDescent="0.25">
      <c r="A1219" t="s">
        <v>2575</v>
      </c>
      <c r="B1219" t="s">
        <v>2576</v>
      </c>
      <c r="C1219" t="s">
        <v>2577</v>
      </c>
      <c r="D1219" t="str">
        <f ca="1">IFERROR(__xludf.DUMMYFUNCTION("GOOGLETRANSLATE(B1219,""es"",""en"")"),"Fin")</f>
        <v>Fin</v>
      </c>
      <c r="E1219" t="str">
        <f ca="1">IFERROR(__xludf.DUMMYFUNCTION("GOOGLETRANSLATE(C1219,""es"",""en"")"),"Seed ,,,,")</f>
        <v>Seed ,,,,</v>
      </c>
    </row>
    <row r="1220" spans="1:5" ht="13.2" x14ac:dyDescent="0.25">
      <c r="A1220" t="s">
        <v>2578</v>
      </c>
      <c r="B1220" t="s">
        <v>2579</v>
      </c>
      <c r="C1220" t="s">
        <v>2580</v>
      </c>
      <c r="D1220" t="str">
        <f ca="1">IFERROR(__xludf.DUMMYFUNCTION("GOOGLETRANSLATE(B1220,""es"",""en"")"),"Carry")</f>
        <v>Carry</v>
      </c>
      <c r="E1220" t="str">
        <f ca="1">IFERROR(__xludf.DUMMYFUNCTION("GOOGLETRANSLATE(C1220,""es"",""en"")"),"Load, guide, rule ,,")</f>
        <v>Load, guide, rule ,,</v>
      </c>
    </row>
    <row r="1221" spans="1:5" ht="13.2" x14ac:dyDescent="0.25">
      <c r="A1221" t="s">
        <v>2581</v>
      </c>
      <c r="B1221" t="s">
        <v>2582</v>
      </c>
      <c r="C1221" t="s">
        <v>2583</v>
      </c>
      <c r="D1221" t="str">
        <f ca="1">IFERROR(__xludf.DUMMYFUNCTION("GOOGLETRANSLATE(B1221,""es"",""en"")"),"Match")</f>
        <v>Match</v>
      </c>
      <c r="E1221" t="str">
        <f ca="1">IFERROR(__xludf.DUMMYFUNCTION("GOOGLETRANSLATE(C1221,""es"",""en"")"),"C mat ,,,,")</f>
        <v>C mat ,,,,</v>
      </c>
    </row>
    <row r="1222" spans="1:5" ht="13.2" x14ac:dyDescent="0.25">
      <c r="A1222" t="s">
        <v>2584</v>
      </c>
      <c r="B1222" t="s">
        <v>2582</v>
      </c>
      <c r="D1222" t="str">
        <f ca="1">IFERROR(__xludf.DUMMYFUNCTION("GOOGLETRANSLATE(B1222,""es"",""en"")"),"Match")</f>
        <v>Match</v>
      </c>
      <c r="E1222" t="str">
        <f ca="1">IFERROR(__xludf.DUMMYFUNCTION("GOOGLETRANSLATE(C1222,""es"",""en"")"),"#VALUE!")</f>
        <v>#VALUE!</v>
      </c>
    </row>
    <row r="1223" spans="1:5" ht="13.2" x14ac:dyDescent="0.25">
      <c r="A1223" t="s">
        <v>2585</v>
      </c>
      <c r="B1223" t="s">
        <v>2586</v>
      </c>
      <c r="C1223" t="s">
        <v>2587</v>
      </c>
      <c r="D1223" t="str">
        <f ca="1">IFERROR(__xludf.DUMMYFUNCTION("GOOGLETRANSLATE(B1223,""es"",""en"")"),"Sailor")</f>
        <v>Sailor</v>
      </c>
      <c r="E1223" t="str">
        <f ca="1">IFERROR(__xludf.DUMMYFUNCTION("GOOGLETRANSLATE(C1223,""es"",""en"")"),"Navigator ,,,,")</f>
        <v>Navigator ,,,,</v>
      </c>
    </row>
    <row r="1224" spans="1:5" ht="13.2" x14ac:dyDescent="0.25">
      <c r="A1224" t="s">
        <v>2588</v>
      </c>
      <c r="B1224" t="s">
        <v>2589</v>
      </c>
      <c r="C1224" t="s">
        <v>2590</v>
      </c>
      <c r="D1224" t="str">
        <f ca="1">IFERROR(__xludf.DUMMYFUNCTION("GOOGLETRANSLATE(B1224,""es"",""en"")"),"Strong")</f>
        <v>Strong</v>
      </c>
      <c r="E1224" t="str">
        <f ca="1">IFERROR(__xludf.DUMMYFUNCTION("GOOGLETRANSLATE(C1224,""es"",""en"")"),"Hard, solid, solid,")</f>
        <v>Hard, solid, solid,</v>
      </c>
    </row>
    <row r="1225" spans="1:5" ht="13.2" x14ac:dyDescent="0.25">
      <c r="A1225" t="s">
        <v>2591</v>
      </c>
      <c r="B1225" t="s">
        <v>2589</v>
      </c>
      <c r="C1225" t="s">
        <v>2590</v>
      </c>
      <c r="D1225" t="str">
        <f ca="1">IFERROR(__xludf.DUMMYFUNCTION("GOOGLETRANSLATE(B1225,""es"",""en"")"),"Strong")</f>
        <v>Strong</v>
      </c>
      <c r="E1225" t="str">
        <f ca="1">IFERROR(__xludf.DUMMYFUNCTION("GOOGLETRANSLATE(C1225,""es"",""en"")"),"Hard, solid, solid,")</f>
        <v>Hard, solid, solid,</v>
      </c>
    </row>
    <row r="1226" spans="1:5" ht="13.2" x14ac:dyDescent="0.25">
      <c r="A1226" t="s">
        <v>2592</v>
      </c>
      <c r="B1226" t="s">
        <v>2593</v>
      </c>
      <c r="C1226" t="s">
        <v>2594</v>
      </c>
      <c r="D1226" t="str">
        <f ca="1">IFERROR(__xludf.DUMMYFUNCTION("GOOGLETRANSLATE(B1226,""es"",""en"")"),"Smaller size")</f>
        <v>Smaller size</v>
      </c>
      <c r="E1226" t="str">
        <f ca="1">IFERROR(__xludf.DUMMYFUNCTION("GOOGLETRANSLATE(C1226,""es"",""en"")"),"Not so small ,,,,")</f>
        <v>Not so small ,,,,</v>
      </c>
    </row>
    <row r="1227" spans="1:5" ht="13.2" x14ac:dyDescent="0.25">
      <c r="A1227" t="s">
        <v>2595</v>
      </c>
      <c r="B1227" t="s">
        <v>2596</v>
      </c>
      <c r="D1227" t="str">
        <f ca="1">IFERROR(__xludf.DUMMYFUNCTION("GOOGLETRANSLATE(B1227,""es"",""en"")"),"Fan the fire")</f>
        <v>Fan the fire</v>
      </c>
      <c r="E1227" t="str">
        <f ca="1">IFERROR(__xludf.DUMMYFUNCTION("GOOGLETRANSLATE(C1227,""es"",""en"")"),"#VALUE!")</f>
        <v>#VALUE!</v>
      </c>
    </row>
    <row r="1228" spans="1:5" ht="13.2" x14ac:dyDescent="0.25">
      <c r="A1228" t="s">
        <v>2597</v>
      </c>
      <c r="B1228" t="s">
        <v>2598</v>
      </c>
      <c r="C1228" t="s">
        <v>2594</v>
      </c>
      <c r="D1228" t="str">
        <f ca="1">IFERROR(__xludf.DUMMYFUNCTION("GOOGLETRANSLATE(B1228,""es"",""en"")"),"Small size")</f>
        <v>Small size</v>
      </c>
      <c r="E1228" t="str">
        <f ca="1">IFERROR(__xludf.DUMMYFUNCTION("GOOGLETRANSLATE(C1228,""es"",""en"")"),"Not so small ,,,,")</f>
        <v>Not so small ,,,,</v>
      </c>
    </row>
    <row r="1229" spans="1:5" ht="13.2" x14ac:dyDescent="0.25">
      <c r="A1229" t="s">
        <v>2599</v>
      </c>
      <c r="B1229" t="s">
        <v>2598</v>
      </c>
      <c r="D1229" t="str">
        <f ca="1">IFERROR(__xludf.DUMMYFUNCTION("GOOGLETRANSLATE(B1229,""es"",""en"")"),"Small size")</f>
        <v>Small size</v>
      </c>
      <c r="E1229" t="str">
        <f ca="1">IFERROR(__xludf.DUMMYFUNCTION("GOOGLETRANSLATE(C1229,""es"",""en"")"),"#VALUE!")</f>
        <v>#VALUE!</v>
      </c>
    </row>
    <row r="1230" spans="1:5" ht="13.2" x14ac:dyDescent="0.25">
      <c r="A1230" t="s">
        <v>2600</v>
      </c>
      <c r="B1230" t="s">
        <v>2601</v>
      </c>
      <c r="C1230" t="s">
        <v>2602</v>
      </c>
      <c r="D1230" t="str">
        <f ca="1">IFERROR(__xludf.DUMMYFUNCTION("GOOGLETRANSLATE(B1230,""es"",""en"")"),"Armpit")</f>
        <v>Armpit</v>
      </c>
      <c r="E1230" t="s">
        <v>2603</v>
      </c>
    </row>
    <row r="1231" spans="1:5" ht="13.2" x14ac:dyDescent="0.25">
      <c r="A1231" t="s">
        <v>2604</v>
      </c>
      <c r="B1231" t="s">
        <v>2605</v>
      </c>
      <c r="C1231" t="s">
        <v>2606</v>
      </c>
      <c r="D1231" t="str">
        <f ca="1">IFERROR(__xludf.DUMMYFUNCTION("GOOGLETRANSLATE(B1231,""es"",""en"")"),"Old")</f>
        <v>Old</v>
      </c>
      <c r="E1231" t="str">
        <f ca="1">IFERROR(__xludf.DUMMYFUNCTION("GOOGLETRANSLATE(C1231,""es"",""en"")"),"Older, ancestors ,,,,")</f>
        <v>Older, ancestors ,,,,</v>
      </c>
    </row>
    <row r="1232" spans="1:5" ht="13.2" x14ac:dyDescent="0.25">
      <c r="A1232" t="s">
        <v>2607</v>
      </c>
      <c r="B1232" t="s">
        <v>2608</v>
      </c>
      <c r="C1232" t="s">
        <v>2609</v>
      </c>
      <c r="D1232" t="str">
        <f ca="1">IFERROR(__xludf.DUMMYFUNCTION("GOOGLETRANSLATE(B1232,""es"",""en"")"),"Old")</f>
        <v>Old</v>
      </c>
      <c r="E1232" t="str">
        <f ca="1">IFERROR(__xludf.DUMMYFUNCTION("GOOGLETRANSLATE(C1232,""es"",""en"")"),"Greater, , , ,")</f>
        <v>Greater, , , ,</v>
      </c>
    </row>
    <row r="1233" spans="1:5" ht="13.2" x14ac:dyDescent="0.25">
      <c r="A1233" t="s">
        <v>2610</v>
      </c>
      <c r="B1233" t="s">
        <v>2611</v>
      </c>
      <c r="D1233" t="str">
        <f ca="1">IFERROR(__xludf.DUMMYFUNCTION("GOOGLETRANSLATE(B1233,""es"",""en"")"),"Puberty step")</f>
        <v>Puberty step</v>
      </c>
      <c r="E1233" t="str">
        <f ca="1">IFERROR(__xludf.DUMMYFUNCTION("GOOGLETRANSLATE(C1233,""es"",""en"")"),"#VALUE!")</f>
        <v>#VALUE!</v>
      </c>
    </row>
    <row r="1234" spans="1:5" ht="13.2" x14ac:dyDescent="0.25">
      <c r="A1234" t="s">
        <v>2612</v>
      </c>
      <c r="B1234" t="s">
        <v>2611</v>
      </c>
      <c r="D1234" t="str">
        <f ca="1">IFERROR(__xludf.DUMMYFUNCTION("GOOGLETRANSLATE(B1234,""es"",""en"")"),"Puberty step")</f>
        <v>Puberty step</v>
      </c>
      <c r="E1234" t="str">
        <f ca="1">IFERROR(__xludf.DUMMYFUNCTION("GOOGLETRANSLATE(C1234,""es"",""en"")"),"#VALUE!")</f>
        <v>#VALUE!</v>
      </c>
    </row>
    <row r="1235" spans="1:5" ht="13.2" x14ac:dyDescent="0.25">
      <c r="A1235" t="s">
        <v>2613</v>
      </c>
      <c r="B1235" t="s">
        <v>2614</v>
      </c>
      <c r="C1235" t="s">
        <v>2615</v>
      </c>
      <c r="D1235" t="str">
        <f ca="1">IFERROR(__xludf.DUMMYFUNCTION("GOOGLETRANSLATE(B1235,""es"",""en"")"),"Grasshopper")</f>
        <v>Grasshopper</v>
      </c>
      <c r="E1235" t="str">
        <f ca="1">IFERROR(__xludf.DUMMYFUNCTION("GOOGLETRANSLATE(C1235,""es"",""en"")"),"Insect, cricket ,,,,")</f>
        <v>Insect, cricket ,,,,</v>
      </c>
    </row>
    <row r="1236" spans="1:5" ht="13.2" x14ac:dyDescent="0.25">
      <c r="A1236" t="s">
        <v>2616</v>
      </c>
      <c r="B1236" t="s">
        <v>2617</v>
      </c>
      <c r="D1236" t="str">
        <f ca="1">IFERROR(__xludf.DUMMYFUNCTION("GOOGLETRANSLATE(B1236,""es"",""en"")"),"Cocoa")</f>
        <v>Cocoa</v>
      </c>
      <c r="E1236" t="str">
        <f ca="1">IFERROR(__xludf.DUMMYFUNCTION("GOOGLETRANSLATE(C1236,""es"",""en"")"),"#VALUE!")</f>
        <v>#VALUE!</v>
      </c>
    </row>
    <row r="1237" spans="1:5" ht="13.2" x14ac:dyDescent="0.25">
      <c r="A1237" t="s">
        <v>2618</v>
      </c>
      <c r="B1237" t="s">
        <v>2619</v>
      </c>
      <c r="C1237" t="s">
        <v>2620</v>
      </c>
      <c r="D1237" t="str">
        <f ca="1">IFERROR(__xludf.DUMMYFUNCTION("GOOGLETRANSLATE(B1237,""es"",""en"")"),"Niece")</f>
        <v>Niece</v>
      </c>
      <c r="E1237" t="str">
        <f ca="1">IFERROR(__xludf.DUMMYFUNCTION("GOOGLETRANSLATE(C1237,""es"",""en"")"),"Cocoa ,,,,")</f>
        <v>Cocoa ,,,,</v>
      </c>
    </row>
    <row r="1238" spans="1:5" ht="13.2" x14ac:dyDescent="0.25">
      <c r="A1238" t="s">
        <v>2621</v>
      </c>
      <c r="B1238" t="s">
        <v>2622</v>
      </c>
      <c r="C1238" t="s">
        <v>2623</v>
      </c>
      <c r="D1238" t="str">
        <f ca="1">IFERROR(__xludf.DUMMYFUNCTION("GOOGLETRANSLATE(B1238,""es"",""en"")"),"Work")</f>
        <v>Work</v>
      </c>
      <c r="E1238" t="str">
        <f ca="1">IFERROR(__xludf.DUMMYFUNCTION("GOOGLETRANSLATE(C1238,""es"",""en"")"),"To get, work ,,,,")</f>
        <v>To get, work ,,,,</v>
      </c>
    </row>
    <row r="1239" spans="1:5" ht="13.2" x14ac:dyDescent="0.25">
      <c r="A1239" t="s">
        <v>2624</v>
      </c>
      <c r="B1239" t="s">
        <v>2625</v>
      </c>
      <c r="C1239" t="s">
        <v>2626</v>
      </c>
      <c r="D1239" t="str">
        <f ca="1">IFERROR(__xludf.DUMMYFUNCTION("GOOGLETRANSLATE(B1239,""es"",""en"")"),"Brazier")</f>
        <v>Brazier</v>
      </c>
      <c r="E1239" t="str">
        <f ca="1">IFERROR(__xludf.DUMMYFUNCTION("GOOGLETRANSLATE(C1239,""es"",""en"")"),"Clay container ,,,,")</f>
        <v>Clay container ,,,,</v>
      </c>
    </row>
    <row r="1240" spans="1:5" ht="13.2" x14ac:dyDescent="0.25">
      <c r="A1240" t="s">
        <v>2627</v>
      </c>
      <c r="B1240" t="s">
        <v>2628</v>
      </c>
      <c r="D1240" t="str">
        <f ca="1">IFERROR(__xludf.DUMMYFUNCTION("GOOGLETRANSLATE(B1240,""es"",""en"")"),"Clay brazier")</f>
        <v>Clay brazier</v>
      </c>
      <c r="E1240" t="str">
        <f ca="1">IFERROR(__xludf.DUMMYFUNCTION("GOOGLETRANSLATE(C1240,""es"",""en"")"),"#VALUE!")</f>
        <v>#VALUE!</v>
      </c>
    </row>
    <row r="1241" spans="1:5" ht="13.2" x14ac:dyDescent="0.25">
      <c r="A1241" t="s">
        <v>2629</v>
      </c>
      <c r="B1241" t="s">
        <v>2630</v>
      </c>
      <c r="C1241" t="s">
        <v>2631</v>
      </c>
      <c r="D1241" t="str">
        <f ca="1">IFERROR(__xludf.DUMMYFUNCTION("GOOGLETRANSLATE(B1241,""es"",""en"")"),"Billy goat")</f>
        <v>Billy goat</v>
      </c>
      <c r="E1241" t="str">
        <f ca="1">IFERROR(__xludf.DUMMYFUNCTION("GOOGLETRANSLATE(C1241,""es"",""en"")"),"Goat, , , ,")</f>
        <v>Goat, , , ,</v>
      </c>
    </row>
    <row r="1242" spans="1:5" ht="13.2" x14ac:dyDescent="0.25">
      <c r="A1242" t="s">
        <v>2632</v>
      </c>
      <c r="B1242" t="s">
        <v>2633</v>
      </c>
      <c r="C1242" t="s">
        <v>2634</v>
      </c>
      <c r="D1242" t="str">
        <f ca="1">IFERROR(__xludf.DUMMYFUNCTION("GOOGLETRANSLATE(B1242,""es"",""en"")"),"Blonde")</f>
        <v>Blonde</v>
      </c>
      <c r="E1242" t="str">
        <f ca="1">IFERROR(__xludf.DUMMYFUNCTION("GOOGLETRANSLATE(C1242,""es"",""en"")"),"Woman of light color ,,,,,")</f>
        <v>Woman of light color ,,,,,</v>
      </c>
    </row>
    <row r="1243" spans="1:5" ht="13.2" x14ac:dyDescent="0.25">
      <c r="A1243" t="s">
        <v>2635</v>
      </c>
      <c r="B1243" t="s">
        <v>2636</v>
      </c>
      <c r="C1243" t="s">
        <v>2637</v>
      </c>
      <c r="D1243" t="str">
        <f ca="1">IFERROR(__xludf.DUMMYFUNCTION("GOOGLETRANSLATE(B1243,""es"",""en"")"),"Blond")</f>
        <v>Blond</v>
      </c>
      <c r="E1243" t="str">
        <f ca="1">IFERROR(__xludf.DUMMYFUNCTION("GOOGLETRANSLATE(C1243,""es"",""en"")"),"Light color male ,,,,,")</f>
        <v>Light color male ,,,,,</v>
      </c>
    </row>
    <row r="1244" spans="1:5" ht="13.2" x14ac:dyDescent="0.25">
      <c r="A1244" t="s">
        <v>2638</v>
      </c>
      <c r="B1244" t="s">
        <v>2639</v>
      </c>
      <c r="D1244" t="str">
        <f ca="1">IFERROR(__xludf.DUMMYFUNCTION("GOOGLETRANSLATE(B1244,""es"",""en"")"),"White")</f>
        <v>White</v>
      </c>
      <c r="E1244" t="str">
        <f ca="1">IFERROR(__xludf.DUMMYFUNCTION("GOOGLETRANSLATE(C1244,""es"",""en"")"),"#VALUE!")</f>
        <v>#VALUE!</v>
      </c>
    </row>
    <row r="1245" spans="1:5" ht="13.2" x14ac:dyDescent="0.25">
      <c r="A1245" t="s">
        <v>224</v>
      </c>
      <c r="B1245" t="s">
        <v>222</v>
      </c>
      <c r="C1245" t="s">
        <v>2640</v>
      </c>
      <c r="D1245" t="str">
        <f ca="1">IFERROR(__xludf.DUMMYFUNCTION("GOOGLETRANSLATE(B1245,""es"",""en"")"),"Dark")</f>
        <v>Dark</v>
      </c>
      <c r="E1245" t="str">
        <f ca="1">IFERROR(__xludf.DUMMYFUNCTION("GOOGLETRANSLATE(C1245,""es"",""en"")"),"TOSCO, BLACK ,,,")</f>
        <v>TOSCO, BLACK ,,,</v>
      </c>
    </row>
    <row r="1246" spans="1:5" ht="13.2" x14ac:dyDescent="0.25">
      <c r="A1246" t="s">
        <v>2641</v>
      </c>
      <c r="B1246" t="s">
        <v>222</v>
      </c>
      <c r="C1246" t="s">
        <v>2642</v>
      </c>
      <c r="D1246" t="str">
        <f ca="1">IFERROR(__xludf.DUMMYFUNCTION("GOOGLETRANSLATE(B1246,""es"",""en"")"),"Dark")</f>
        <v>Dark</v>
      </c>
      <c r="E1246" t="str">
        <f ca="1">IFERROR(__xludf.DUMMYFUNCTION("GOOGLETRANSLATE(C1246,""es"",""en"")"),"Fosco, Black ,,,,")</f>
        <v>Fosco, Black ,,,,</v>
      </c>
    </row>
    <row r="1247" spans="1:5" ht="13.2" x14ac:dyDescent="0.25">
      <c r="A1247" t="s">
        <v>2643</v>
      </c>
      <c r="B1247" t="s">
        <v>2644</v>
      </c>
      <c r="D1247" t="str">
        <f ca="1">IFERROR(__xludf.DUMMYFUNCTION("GOOGLETRANSLATE(B1247,""es"",""en"")"),"Beetle")</f>
        <v>Beetle</v>
      </c>
      <c r="E1247" t="str">
        <f ca="1">IFERROR(__xludf.DUMMYFUNCTION("GOOGLETRANSLATE(C1247,""es"",""en"")"),"#VALUE!")</f>
        <v>#VALUE!</v>
      </c>
    </row>
    <row r="1248" spans="1:5" ht="13.2" x14ac:dyDescent="0.25">
      <c r="A1248" t="s">
        <v>2417</v>
      </c>
      <c r="B1248" t="s">
        <v>2416</v>
      </c>
      <c r="D1248" t="str">
        <f ca="1">IFERROR(__xludf.DUMMYFUNCTION("GOOGLETRANSLATE(B1248,""es"",""en"")"),"Jagua")</f>
        <v>Jagua</v>
      </c>
      <c r="E1248" t="str">
        <f ca="1">IFERROR(__xludf.DUMMYFUNCTION("GOOGLETRANSLATE(C1248,""es"",""en"")"),"#VALUE!")</f>
        <v>#VALUE!</v>
      </c>
    </row>
    <row r="1249" spans="1:5" ht="13.2" x14ac:dyDescent="0.25">
      <c r="A1249" t="s">
        <v>2645</v>
      </c>
      <c r="B1249" t="s">
        <v>2646</v>
      </c>
      <c r="C1249" t="s">
        <v>2647</v>
      </c>
      <c r="D1249" t="str">
        <f ca="1">IFERROR(__xludf.DUMMYFUNCTION("GOOGLETRANSLATE(B1249,""es"",""en"")"),"Secretly")</f>
        <v>Secretly</v>
      </c>
      <c r="E1249" t="s">
        <v>2648</v>
      </c>
    </row>
    <row r="1250" spans="1:5" ht="13.2" x14ac:dyDescent="0.25">
      <c r="A1250" t="s">
        <v>2415</v>
      </c>
      <c r="B1250" t="s">
        <v>2416</v>
      </c>
      <c r="D1250" t="str">
        <f ca="1">IFERROR(__xludf.DUMMYFUNCTION("GOOGLETRANSLATE(B1250,""es"",""en"")"),"Jagua")</f>
        <v>Jagua</v>
      </c>
      <c r="E1250" t="str">
        <f ca="1">IFERROR(__xludf.DUMMYFUNCTION("GOOGLETRANSLATE(C1250,""es"",""en"")"),"#VALUE!")</f>
        <v>#VALUE!</v>
      </c>
    </row>
    <row r="1251" spans="1:5" ht="13.2" x14ac:dyDescent="0.25">
      <c r="A1251" t="s">
        <v>2649</v>
      </c>
      <c r="B1251" t="s">
        <v>2650</v>
      </c>
      <c r="C1251" t="s">
        <v>2651</v>
      </c>
      <c r="D1251" t="str">
        <f ca="1">IFERROR(__xludf.DUMMYFUNCTION("GOOGLETRANSLATE(B1251,""es"",""en"")"),"Black")</f>
        <v>Black</v>
      </c>
      <c r="E1251" t="s">
        <v>2652</v>
      </c>
    </row>
    <row r="1252" spans="1:5" ht="13.2" x14ac:dyDescent="0.25">
      <c r="A1252" t="s">
        <v>2653</v>
      </c>
      <c r="B1252" t="s">
        <v>2654</v>
      </c>
      <c r="D1252" t="str">
        <f ca="1">IFERROR(__xludf.DUMMYFUNCTION("GOOGLETRANSLATE(B1252,""es"",""en"")"),"Ant")</f>
        <v>Ant</v>
      </c>
      <c r="E1252" t="str">
        <f ca="1">IFERROR(__xludf.DUMMYFUNCTION("GOOGLETRANSLATE(C1252,""es"",""en"")"),"#VALUE!")</f>
        <v>#VALUE!</v>
      </c>
    </row>
    <row r="1253" spans="1:5" ht="13.2" x14ac:dyDescent="0.25">
      <c r="A1253" t="s">
        <v>2655</v>
      </c>
      <c r="B1253" t="s">
        <v>2656</v>
      </c>
      <c r="C1253" t="s">
        <v>2657</v>
      </c>
      <c r="D1253" t="str">
        <f ca="1">IFERROR(__xludf.DUMMYFUNCTION("GOOGLETRANSLATE(B1253,""es"",""en"")"),"Sit down")</f>
        <v>Sit down</v>
      </c>
      <c r="E1253" t="s">
        <v>2658</v>
      </c>
    </row>
    <row r="1254" spans="1:5" ht="13.2" x14ac:dyDescent="0.25">
      <c r="A1254" t="s">
        <v>2659</v>
      </c>
      <c r="B1254" t="s">
        <v>2660</v>
      </c>
      <c r="C1254" t="s">
        <v>2661</v>
      </c>
      <c r="D1254" t="str">
        <f ca="1">IFERROR(__xludf.DUMMYFUNCTION("GOOGLETRANSLATE(B1254,""es"",""en"")"),"Hair")</f>
        <v>Hair</v>
      </c>
      <c r="E1254" t="str">
        <f ca="1">IFERROR(__xludf.DUMMYFUNCTION("GOOGLETRANSLATE(C1254,""es"",""en"")"),"Beard, hair ,,,")</f>
        <v>Beard, hair ,,,</v>
      </c>
    </row>
    <row r="1255" spans="1:5" ht="13.2" x14ac:dyDescent="0.25">
      <c r="A1255" t="s">
        <v>2662</v>
      </c>
      <c r="B1255" t="s">
        <v>2660</v>
      </c>
      <c r="C1255" t="s">
        <v>2663</v>
      </c>
      <c r="D1255" t="str">
        <f ca="1">IFERROR(__xludf.DUMMYFUNCTION("GOOGLETRANSLATE(B1255,""es"",""en"")"),"Hair")</f>
        <v>Hair</v>
      </c>
      <c r="E1255" t="str">
        <f ca="1">IFERROR(__xludf.DUMMYFUNCTION("GOOGLETRANSLATE(C1255,""es"",""en"")"),"beard, hair ,,,")</f>
        <v>beard, hair ,,,</v>
      </c>
    </row>
    <row r="1256" spans="1:5" ht="13.2" x14ac:dyDescent="0.25">
      <c r="A1256" t="s">
        <v>2664</v>
      </c>
      <c r="B1256" t="s">
        <v>2660</v>
      </c>
      <c r="C1256" t="s">
        <v>2661</v>
      </c>
      <c r="D1256" t="str">
        <f ca="1">IFERROR(__xludf.DUMMYFUNCTION("GOOGLETRANSLATE(B1256,""es"",""en"")"),"Hair")</f>
        <v>Hair</v>
      </c>
      <c r="E1256" t="str">
        <f ca="1">IFERROR(__xludf.DUMMYFUNCTION("GOOGLETRANSLATE(C1256,""es"",""en"")"),"Beard, hair ,,,")</f>
        <v>Beard, hair ,,,</v>
      </c>
    </row>
    <row r="1257" spans="1:5" ht="13.2" x14ac:dyDescent="0.25">
      <c r="A1257" t="s">
        <v>2665</v>
      </c>
      <c r="B1257" t="s">
        <v>2666</v>
      </c>
      <c r="C1257" t="s">
        <v>2667</v>
      </c>
      <c r="D1257" t="str">
        <f ca="1">IFERROR(__xludf.DUMMYFUNCTION("GOOGLETRANSLATE(B1257,""es"",""en"")"),"Bearded fish")</f>
        <v>Bearded fish</v>
      </c>
      <c r="E1257" t="str">
        <f ca="1">IFERROR(__xludf.DUMMYFUNCTION("GOOGLETRANSLATE(C1257,""es"",""en"")"),"Barbon, bearded ,,,,")</f>
        <v>Barbon, bearded ,,,,</v>
      </c>
    </row>
    <row r="1258" spans="1:5" ht="13.2" x14ac:dyDescent="0.25">
      <c r="A1258" t="s">
        <v>2668</v>
      </c>
      <c r="B1258" t="s">
        <v>2669</v>
      </c>
      <c r="D1258" t="str">
        <f ca="1">IFERROR(__xludf.DUMMYFUNCTION("GOOGLETRANSLATE(B1258,""es"",""en"")"),"Cigarette")</f>
        <v>Cigarette</v>
      </c>
      <c r="E1258" t="str">
        <f ca="1">IFERROR(__xludf.DUMMYFUNCTION("GOOGLETRANSLATE(C1258,""es"",""en"")"),"#VALUE!")</f>
        <v>#VALUE!</v>
      </c>
    </row>
    <row r="1259" spans="1:5" ht="13.2" x14ac:dyDescent="0.25">
      <c r="A1259" t="s">
        <v>2670</v>
      </c>
      <c r="B1259" t="s">
        <v>2671</v>
      </c>
      <c r="C1259" t="s">
        <v>2672</v>
      </c>
      <c r="D1259" t="str">
        <f ca="1">IFERROR(__xludf.DUMMYFUNCTION("GOOGLETRANSLATE(B1259,""es"",""en"")"),"Feel")</f>
        <v>Feel</v>
      </c>
      <c r="E1259" t="str">
        <f ca="1">IFERROR(__xludf.DUMMYFUNCTION("GOOGLETRANSLATE(C1259,""es"",""en"")"),"Take a seat, perch ,,,,")</f>
        <v>Take a seat, perch ,,,,</v>
      </c>
    </row>
    <row r="1260" spans="1:5" ht="13.2" x14ac:dyDescent="0.25">
      <c r="A1260" t="s">
        <v>2673</v>
      </c>
      <c r="B1260" t="s">
        <v>2646</v>
      </c>
      <c r="C1260" t="s">
        <v>2674</v>
      </c>
      <c r="D1260" t="str">
        <f ca="1">IFERROR(__xludf.DUMMYFUNCTION("GOOGLETRANSLATE(B1260,""es"",""en"")"),"Secretly")</f>
        <v>Secretly</v>
      </c>
      <c r="E1260" t="str">
        <f ca="1">IFERROR(__xludf.DUMMYFUNCTION("GOOGLETRANSLATE(C1260,""es"",""en"")"),"Behind ,,,,,")</f>
        <v>Behind ,,,,,</v>
      </c>
    </row>
    <row r="1261" spans="1:5" ht="13.2" x14ac:dyDescent="0.25">
      <c r="A1261" t="s">
        <v>2675</v>
      </c>
      <c r="B1261" t="s">
        <v>2676</v>
      </c>
      <c r="C1261" t="s">
        <v>2677</v>
      </c>
      <c r="D1261" t="str">
        <f ca="1">IFERROR(__xludf.DUMMYFUNCTION("GOOGLETRANSLATE(B1261,""es"",""en"")"),"Peck")</f>
        <v>Peck</v>
      </c>
      <c r="E1261" t="s">
        <v>2678</v>
      </c>
    </row>
    <row r="1262" spans="1:5" ht="13.2" x14ac:dyDescent="0.25">
      <c r="A1262" t="s">
        <v>2679</v>
      </c>
      <c r="B1262" t="s">
        <v>2680</v>
      </c>
      <c r="C1262" t="s">
        <v>2681</v>
      </c>
      <c r="D1262" t="str">
        <f ca="1">IFERROR(__xludf.DUMMYFUNCTION("GOOGLETRANSLATE(B1262,""es"",""en"")"),"Cut")</f>
        <v>Cut</v>
      </c>
      <c r="E1262" t="str">
        <f ca="1">IFERROR(__xludf.DUMMYFUNCTION("GOOGLETRANSLATE(C1262,""es"",""en"")"),"Section, crush, leave,")</f>
        <v>Section, crush, leave,</v>
      </c>
    </row>
    <row r="1263" spans="1:5" ht="13.2" x14ac:dyDescent="0.25">
      <c r="A1263" t="s">
        <v>2682</v>
      </c>
      <c r="B1263" t="s">
        <v>2683</v>
      </c>
      <c r="C1263" t="s">
        <v>2684</v>
      </c>
      <c r="D1263" t="str">
        <f ca="1">IFERROR(__xludf.DUMMYFUNCTION("GOOGLETRANSLATE(B1263,""es"",""en"")"),"Back down")</f>
        <v>Back down</v>
      </c>
      <c r="E1263" t="str">
        <f ca="1">IFERROR(__xludf.DUMMYFUNCTION("GOOGLETRANSLATE(C1263,""es"",""en"")"),"Go back, back ,,,,")</f>
        <v>Go back, back ,,,,</v>
      </c>
    </row>
    <row r="1264" spans="1:5" ht="13.2" x14ac:dyDescent="0.25">
      <c r="A1264" t="s">
        <v>2685</v>
      </c>
      <c r="B1264" t="s">
        <v>1391</v>
      </c>
      <c r="C1264" t="s">
        <v>2686</v>
      </c>
      <c r="D1264" t="str">
        <f ca="1">IFERROR(__xludf.DUMMYFUNCTION("GOOGLETRANSLATE(B1264,""es"",""en"")"),"Brief")</f>
        <v>Brief</v>
      </c>
      <c r="E1264" t="str">
        <f ca="1">IFERROR(__xludf.DUMMYFUNCTION("GOOGLETRANSLATE(C1264,""es"",""en"")"),"Little, not much ,,,")</f>
        <v>Little, not much ,,,</v>
      </c>
    </row>
    <row r="1265" spans="1:5" ht="13.2" x14ac:dyDescent="0.25">
      <c r="A1265" t="s">
        <v>2687</v>
      </c>
      <c r="B1265" t="s">
        <v>2688</v>
      </c>
      <c r="C1265" t="s">
        <v>2689</v>
      </c>
      <c r="D1265" t="str">
        <f ca="1">IFERROR(__xludf.DUMMYFUNCTION("GOOGLETRANSLATE(B1265,""es"",""en"")"),"Brief rest")</f>
        <v>Brief rest</v>
      </c>
      <c r="E1265" t="str">
        <f ca="1">IFERROR(__xludf.DUMMYFUNCTION("GOOGLETRANSLATE(C1265,""es"",""en"")"),"Coma sign ,,,,")</f>
        <v>Coma sign ,,,,</v>
      </c>
    </row>
    <row r="1266" spans="1:5" ht="13.2" x14ac:dyDescent="0.25">
      <c r="A1266" t="s">
        <v>2690</v>
      </c>
      <c r="B1266" t="s">
        <v>2691</v>
      </c>
      <c r="C1266" t="s">
        <v>2692</v>
      </c>
      <c r="D1266" t="str">
        <f ca="1">IFERROR(__xludf.DUMMYFUNCTION("GOOGLETRANSLATE(B1266,""es"",""en"")"),"Bird")</f>
        <v>Bird</v>
      </c>
      <c r="E1266" t="str">
        <f ca="1">IFERROR(__xludf.DUMMYFUNCTION("GOOGLETRANSLATE(C1266,""es"",""en"")"),"Bird, secretary, interpreter,")</f>
        <v>Bird, secretary, interpreter,</v>
      </c>
    </row>
    <row r="1267" spans="1:5" ht="13.2" x14ac:dyDescent="0.25">
      <c r="A1267" t="s">
        <v>2693</v>
      </c>
      <c r="B1267" t="s">
        <v>2694</v>
      </c>
      <c r="D1267" t="str">
        <f ca="1">IFERROR(__xludf.DUMMYFUNCTION("GOOGLETRANSLATE(B1267,""es"",""en"")"),"Canary")</f>
        <v>Canary</v>
      </c>
      <c r="E1267" t="str">
        <f ca="1">IFERROR(__xludf.DUMMYFUNCTION("GOOGLETRANSLATE(C1267,""es"",""en"")"),"#VALUE!")</f>
        <v>#VALUE!</v>
      </c>
    </row>
    <row r="1268" spans="1:5" ht="13.2" x14ac:dyDescent="0.25">
      <c r="A1268" t="s">
        <v>1743</v>
      </c>
      <c r="B1268" t="s">
        <v>1767</v>
      </c>
      <c r="C1268" t="s">
        <v>2695</v>
      </c>
      <c r="D1268" t="str">
        <f ca="1">IFERROR(__xludf.DUMMYFUNCTION("GOOGLETRANSLATE(B1268,""es"",""en"")"),"Talingo")</f>
        <v>Talingo</v>
      </c>
      <c r="E1268" t="str">
        <f ca="1">IFERROR(__xludf.DUMMYFUNCTION("GOOGLETRANSLATE(C1268,""es"",""en"")"),"Changamé ,,,,")</f>
        <v>Changamé ,,,,</v>
      </c>
    </row>
    <row r="1269" spans="1:5" ht="13.2" x14ac:dyDescent="0.25">
      <c r="A1269" t="s">
        <v>1766</v>
      </c>
      <c r="B1269" t="s">
        <v>1767</v>
      </c>
      <c r="D1269" t="str">
        <f ca="1">IFERROR(__xludf.DUMMYFUNCTION("GOOGLETRANSLATE(B1269,""es"",""en"")"),"Talingo")</f>
        <v>Talingo</v>
      </c>
      <c r="E1269" t="str">
        <f ca="1">IFERROR(__xludf.DUMMYFUNCTION("GOOGLETRANSLATE(C1269,""es"",""en"")"),"#VALUE!")</f>
        <v>#VALUE!</v>
      </c>
    </row>
    <row r="1270" spans="1:5" ht="13.2" x14ac:dyDescent="0.25">
      <c r="A1270" t="s">
        <v>1692</v>
      </c>
      <c r="B1270" t="s">
        <v>1767</v>
      </c>
      <c r="D1270" t="str">
        <f ca="1">IFERROR(__xludf.DUMMYFUNCTION("GOOGLETRANSLATE(B1270,""es"",""en"")"),"Talingo")</f>
        <v>Talingo</v>
      </c>
      <c r="E1270" t="str">
        <f ca="1">IFERROR(__xludf.DUMMYFUNCTION("GOOGLETRANSLATE(C1270,""es"",""en"")"),"#VALUE!")</f>
        <v>#VALUE!</v>
      </c>
    </row>
    <row r="1271" spans="1:5" ht="13.2" x14ac:dyDescent="0.25">
      <c r="A1271" t="s">
        <v>2696</v>
      </c>
      <c r="B1271" t="s">
        <v>2646</v>
      </c>
      <c r="C1271" t="s">
        <v>2674</v>
      </c>
      <c r="D1271" t="str">
        <f ca="1">IFERROR(__xludf.DUMMYFUNCTION("GOOGLETRANSLATE(B1271,""es"",""en"")"),"Secretly")</f>
        <v>Secretly</v>
      </c>
      <c r="E1271" t="str">
        <f ca="1">IFERROR(__xludf.DUMMYFUNCTION("GOOGLETRANSLATE(C1271,""es"",""en"")"),"Behind ,,,,,")</f>
        <v>Behind ,,,,,</v>
      </c>
    </row>
    <row r="1272" spans="1:5" ht="13.2" x14ac:dyDescent="0.25">
      <c r="A1272" t="s">
        <v>1716</v>
      </c>
      <c r="B1272" t="s">
        <v>1767</v>
      </c>
      <c r="D1272" t="str">
        <f ca="1">IFERROR(__xludf.DUMMYFUNCTION("GOOGLETRANSLATE(B1272,""es"",""en"")"),"Talingo")</f>
        <v>Talingo</v>
      </c>
      <c r="E1272" t="str">
        <f ca="1">IFERROR(__xludf.DUMMYFUNCTION("GOOGLETRANSLATE(C1272,""es"",""en"")"),"#VALUE!")</f>
        <v>#VALUE!</v>
      </c>
    </row>
    <row r="1273" spans="1:5" ht="13.2" x14ac:dyDescent="0.25">
      <c r="A1273" t="s">
        <v>2697</v>
      </c>
      <c r="B1273" t="s">
        <v>2698</v>
      </c>
      <c r="D1273" t="str">
        <f ca="1">IFERROR(__xludf.DUMMYFUNCTION("GOOGLETRANSLATE(B1273,""es"",""en"")"),"Pavón")</f>
        <v>Pavón</v>
      </c>
      <c r="E1273" t="str">
        <f ca="1">IFERROR(__xludf.DUMMYFUNCTION("GOOGLETRANSLATE(C1273,""es"",""en"")"),"#VALUE!")</f>
        <v>#VALUE!</v>
      </c>
    </row>
    <row r="1274" spans="1:5" ht="13.2" x14ac:dyDescent="0.25">
      <c r="A1274" t="s">
        <v>2699</v>
      </c>
      <c r="B1274" t="s">
        <v>2700</v>
      </c>
      <c r="C1274" t="s">
        <v>2701</v>
      </c>
      <c r="D1274" t="str">
        <f ca="1">IFERROR(__xludf.DUMMYFUNCTION("GOOGLETRANSLATE(B1274,""es"",""en"")"),"Arrow")</f>
        <v>Arrow</v>
      </c>
      <c r="E1274" t="str">
        <f ca="1">IFERROR(__xludf.DUMMYFUNCTION("GOOGLETRANSLATE(C1274,""es"",""en"")"),"Dardo ,,,,")</f>
        <v>Dardo ,,,,</v>
      </c>
    </row>
    <row r="1275" spans="1:5" ht="13.2" x14ac:dyDescent="0.25">
      <c r="A1275" t="s">
        <v>2702</v>
      </c>
      <c r="B1275" t="s">
        <v>2703</v>
      </c>
      <c r="C1275" t="s">
        <v>2704</v>
      </c>
      <c r="D1275" t="str">
        <f ca="1">IFERROR(__xludf.DUMMYFUNCTION("GOOGLETRANSLATE(B1275,""es"",""en"")"),"Basket")</f>
        <v>Basket</v>
      </c>
      <c r="E1275" t="str">
        <f ca="1">IFERROR(__xludf.DUMMYFUNCTION("GOOGLETRANSLATE(C1275,""es"",""en"")"),"Large basket ,,,,")</f>
        <v>Large basket ,,,,</v>
      </c>
    </row>
    <row r="1276" spans="1:5" ht="13.2" x14ac:dyDescent="0.25">
      <c r="A1276" t="s">
        <v>2705</v>
      </c>
      <c r="B1276" t="s">
        <v>2706</v>
      </c>
      <c r="D1276" t="str">
        <f ca="1">IFERROR(__xludf.DUMMYFUNCTION("GOOGLETRANSLATE(B1276,""es"",""en"")"),"Asthma")</f>
        <v>Asthma</v>
      </c>
      <c r="E1276" t="str">
        <f ca="1">IFERROR(__xludf.DUMMYFUNCTION("GOOGLETRANSLATE(C1276,""es"",""en"")"),"#VALUE!")</f>
        <v>#VALUE!</v>
      </c>
    </row>
    <row r="1277" spans="1:5" ht="13.2" x14ac:dyDescent="0.25">
      <c r="A1277" t="s">
        <v>277</v>
      </c>
      <c r="B1277" t="s">
        <v>2706</v>
      </c>
      <c r="D1277" t="str">
        <f ca="1">IFERROR(__xludf.DUMMYFUNCTION("GOOGLETRANSLATE(B1277,""es"",""en"")"),"Asthma")</f>
        <v>Asthma</v>
      </c>
      <c r="E1277" t="str">
        <f ca="1">IFERROR(__xludf.DUMMYFUNCTION("GOOGLETRANSLATE(C1277,""es"",""en"")"),"#VALUE!")</f>
        <v>#VALUE!</v>
      </c>
    </row>
    <row r="1278" spans="1:5" ht="13.2" x14ac:dyDescent="0.25">
      <c r="A1278" t="s">
        <v>2707</v>
      </c>
      <c r="B1278" t="s">
        <v>2706</v>
      </c>
      <c r="D1278" t="str">
        <f ca="1">IFERROR(__xludf.DUMMYFUNCTION("GOOGLETRANSLATE(B1278,""es"",""en"")"),"Asthma")</f>
        <v>Asthma</v>
      </c>
      <c r="E1278" t="str">
        <f ca="1">IFERROR(__xludf.DUMMYFUNCTION("GOOGLETRANSLATE(C1278,""es"",""en"")"),"#VALUE!")</f>
        <v>#VALUE!</v>
      </c>
    </row>
    <row r="1279" spans="1:5" ht="13.2" x14ac:dyDescent="0.25">
      <c r="A1279" t="s">
        <v>2708</v>
      </c>
      <c r="B1279" t="s">
        <v>2709</v>
      </c>
      <c r="D1279" t="str">
        <f ca="1">IFERROR(__xludf.DUMMYFUNCTION("GOOGLETRANSLATE(B1279,""es"",""en"")"),"Knot")</f>
        <v>Knot</v>
      </c>
      <c r="E1279" t="str">
        <f ca="1">IFERROR(__xludf.DUMMYFUNCTION("GOOGLETRANSLATE(C1279,""es"",""en"")"),"#VALUE!")</f>
        <v>#VALUE!</v>
      </c>
    </row>
    <row r="1280" spans="1:5" ht="13.2" x14ac:dyDescent="0.25">
      <c r="A1280" t="s">
        <v>2710</v>
      </c>
      <c r="B1280" t="s">
        <v>2711</v>
      </c>
      <c r="D1280" t="str">
        <f ca="1">IFERROR(__xludf.DUMMYFUNCTION("GOOGLETRANSLATE(B1280,""es"",""en"")"),"Belly button")</f>
        <v>Belly button</v>
      </c>
      <c r="E1280" t="str">
        <f ca="1">IFERROR(__xludf.DUMMYFUNCTION("GOOGLETRANSLATE(C1280,""es"",""en"")"),"#VALUE!")</f>
        <v>#VALUE!</v>
      </c>
    </row>
    <row r="1281" spans="1:5" ht="13.2" x14ac:dyDescent="0.25">
      <c r="A1281" t="s">
        <v>2712</v>
      </c>
      <c r="B1281" t="s">
        <v>2713</v>
      </c>
      <c r="C1281" t="s">
        <v>1832</v>
      </c>
      <c r="D1281" t="str">
        <f ca="1">IFERROR(__xludf.DUMMYFUNCTION("GOOGLETRANSLATE(B1281,""es"",""en"")"),"Was")</f>
        <v>Was</v>
      </c>
      <c r="E1281" t="str">
        <f ca="1">IFERROR(__xludf.DUMMYFUNCTION("GOOGLETRANSLATE(C1281,""es"",""en"")"),"Came, , , ,")</f>
        <v>Came, , , ,</v>
      </c>
    </row>
    <row r="1282" spans="1:5" ht="13.2" x14ac:dyDescent="0.25">
      <c r="A1282" t="s">
        <v>2714</v>
      </c>
      <c r="B1282" t="s">
        <v>2715</v>
      </c>
      <c r="C1282" t="s">
        <v>2716</v>
      </c>
      <c r="D1282" t="str">
        <f ca="1">IFERROR(__xludf.DUMMYFUNCTION("GOOGLETRANSLATE(B1282,""es"",""en"")"),"Pig")</f>
        <v>Pig</v>
      </c>
      <c r="E1282" t="str">
        <f ca="1">IFERROR(__xludf.DUMMYFUNCTION("GOOGLETRANSLATE(C1282,""es"",""en"")"),"Pig, , , ,")</f>
        <v>Pig, , , ,</v>
      </c>
    </row>
    <row r="1283" spans="1:5" ht="13.2" x14ac:dyDescent="0.25">
      <c r="A1283" t="s">
        <v>2717</v>
      </c>
      <c r="B1283" t="s">
        <v>2718</v>
      </c>
      <c r="C1283" t="s">
        <v>2719</v>
      </c>
      <c r="D1283" t="str">
        <f ca="1">IFERROR(__xludf.DUMMYFUNCTION("GOOGLETRANSLATE(B1283,""es"",""en"")"),"Ham")</f>
        <v>Ham</v>
      </c>
      <c r="E1283" t="str">
        <f ca="1">IFERROR(__xludf.DUMMYFUNCTION("GOOGLETRANSLATE(C1283,""es"",""en"")"),"Pork leg ,,,,")</f>
        <v>Pork leg ,,,,</v>
      </c>
    </row>
    <row r="1284" spans="1:5" ht="13.2" x14ac:dyDescent="0.25">
      <c r="A1284" t="s">
        <v>2720</v>
      </c>
      <c r="B1284" t="s">
        <v>2721</v>
      </c>
      <c r="C1284" t="s">
        <v>2722</v>
      </c>
      <c r="D1284" t="str">
        <f ca="1">IFERROR(__xludf.DUMMYFUNCTION("GOOGLETRANSLATE(B1284,""es"",""en"")"),"Pigsty")</f>
        <v>Pigsty</v>
      </c>
      <c r="E1284" t="str">
        <f ca="1">IFERROR(__xludf.DUMMYFUNCTION("GOOGLETRANSLATE(C1284,""es"",""en"")"),"Chiquero ,,,,")</f>
        <v>Chiquero ,,,,</v>
      </c>
    </row>
    <row r="1285" spans="1:5" ht="13.2" x14ac:dyDescent="0.25">
      <c r="A1285" t="s">
        <v>2723</v>
      </c>
      <c r="B1285" t="s">
        <v>2721</v>
      </c>
      <c r="D1285" t="str">
        <f ca="1">IFERROR(__xludf.DUMMYFUNCTION("GOOGLETRANSLATE(B1285,""es"",""en"")"),"Pigsty")</f>
        <v>Pigsty</v>
      </c>
      <c r="E1285" t="str">
        <f ca="1">IFERROR(__xludf.DUMMYFUNCTION("GOOGLETRANSLATE(C1285,""es"",""en"")"),"#VALUE!")</f>
        <v>#VALUE!</v>
      </c>
    </row>
    <row r="1286" spans="1:5" ht="13.2" x14ac:dyDescent="0.25">
      <c r="A1286" t="s">
        <v>2724</v>
      </c>
      <c r="B1286" t="s">
        <v>617</v>
      </c>
      <c r="C1286" t="s">
        <v>2725</v>
      </c>
      <c r="D1286" t="str">
        <f ca="1">IFERROR(__xludf.DUMMYFUNCTION("GOOGLETRANSLATE(B1286,""es"",""en"")"),"Fat")</f>
        <v>Fat</v>
      </c>
      <c r="E1286" t="str">
        <f ca="1">IFERROR(__xludf.DUMMYFUNCTION("GOOGLETRANSLATE(C1286,""es"",""en"")"),"Matencea de Puerco ,,,,")</f>
        <v>Matencea de Puerco ,,,,</v>
      </c>
    </row>
    <row r="1287" spans="1:5" ht="13.2" x14ac:dyDescent="0.25">
      <c r="A1287" t="s">
        <v>2726</v>
      </c>
      <c r="B1287" t="s">
        <v>2727</v>
      </c>
      <c r="D1287" t="str">
        <f ca="1">IFERROR(__xludf.DUMMYFUNCTION("GOOGLETRANSLATE(B1287,""es"",""en"")"),"Woodpecker")</f>
        <v>Woodpecker</v>
      </c>
      <c r="E1287" t="str">
        <f ca="1">IFERROR(__xludf.DUMMYFUNCTION("GOOGLETRANSLATE(C1287,""es"",""en"")"),"#VALUE!")</f>
        <v>#VALUE!</v>
      </c>
    </row>
    <row r="1288" spans="1:5" ht="13.2" x14ac:dyDescent="0.25">
      <c r="A1288" t="s">
        <v>2728</v>
      </c>
      <c r="B1288" t="s">
        <v>2729</v>
      </c>
      <c r="C1288" t="s">
        <v>2730</v>
      </c>
      <c r="D1288" t="str">
        <f ca="1">IFERROR(__xludf.DUMMYFUNCTION("GOOGLETRANSLATE(B1288,""es"",""en"")"),"Wrinkled")</f>
        <v>Wrinkled</v>
      </c>
      <c r="E1288" t="str">
        <f ca="1">IFERROR(__xludf.DUMMYFUNCTION("GOOGLETRANSLATE(C1288,""es"",""en"")"),"Ajado ,,,,")</f>
        <v>Ajado ,,,,</v>
      </c>
    </row>
    <row r="1289" spans="1:5" ht="13.2" x14ac:dyDescent="0.25">
      <c r="A1289" t="s">
        <v>2731</v>
      </c>
      <c r="B1289" t="s">
        <v>2729</v>
      </c>
      <c r="C1289" t="s">
        <v>2730</v>
      </c>
      <c r="D1289" t="str">
        <f ca="1">IFERROR(__xludf.DUMMYFUNCTION("GOOGLETRANSLATE(B1289,""es"",""en"")"),"Wrinkled")</f>
        <v>Wrinkled</v>
      </c>
      <c r="E1289" t="str">
        <f ca="1">IFERROR(__xludf.DUMMYFUNCTION("GOOGLETRANSLATE(C1289,""es"",""en"")"),"Ajado ,,,,")</f>
        <v>Ajado ,,,,</v>
      </c>
    </row>
    <row r="1290" spans="1:5" ht="13.2" x14ac:dyDescent="0.25">
      <c r="A1290" t="s">
        <v>2732</v>
      </c>
      <c r="B1290" t="s">
        <v>2729</v>
      </c>
      <c r="C1290" t="s">
        <v>2730</v>
      </c>
      <c r="D1290" t="str">
        <f ca="1">IFERROR(__xludf.DUMMYFUNCTION("GOOGLETRANSLATE(B1290,""es"",""en"")"),"Wrinkled")</f>
        <v>Wrinkled</v>
      </c>
      <c r="E1290" t="str">
        <f ca="1">IFERROR(__xludf.DUMMYFUNCTION("GOOGLETRANSLATE(C1290,""es"",""en"")"),"Ajado ,,,,")</f>
        <v>Ajado ,,,,</v>
      </c>
    </row>
    <row r="1291" spans="1:5" ht="13.2" x14ac:dyDescent="0.25">
      <c r="A1291" t="s">
        <v>2733</v>
      </c>
      <c r="B1291" t="s">
        <v>2734</v>
      </c>
      <c r="D1291" t="str">
        <f ca="1">IFERROR(__xludf.DUMMYFUNCTION("GOOGLETRANSLATE(B1291,""es"",""en"")"),"Alcoholic beverage")</f>
        <v>Alcoholic beverage</v>
      </c>
      <c r="E1291" t="str">
        <f ca="1">IFERROR(__xludf.DUMMYFUNCTION("GOOGLETRANSLATE(C1291,""es"",""en"")"),"#VALUE!")</f>
        <v>#VALUE!</v>
      </c>
    </row>
    <row r="1292" spans="1:5" ht="13.2" x14ac:dyDescent="0.25">
      <c r="A1292" t="s">
        <v>2735</v>
      </c>
      <c r="B1292" t="s">
        <v>2736</v>
      </c>
      <c r="C1292" t="s">
        <v>2737</v>
      </c>
      <c r="D1292" t="str">
        <f ca="1">IFERROR(__xludf.DUMMYFUNCTION("GOOGLETRANSLATE(B1292,""es"",""en"")"),"Daughter")</f>
        <v>Daughter</v>
      </c>
      <c r="E1292" t="str">
        <f ca="1">IFERROR(__xludf.DUMMYFUNCTION("GOOGLETRANSLATE(C1292,""es"",""en"")")," Past puberty period ,,,,")</f>
        <v xml:space="preserve"> Past puberty period ,,,,</v>
      </c>
    </row>
    <row r="1293" spans="1:5" ht="13.2" x14ac:dyDescent="0.25">
      <c r="A1293" t="s">
        <v>2738</v>
      </c>
      <c r="B1293" t="s">
        <v>2739</v>
      </c>
      <c r="C1293" t="s">
        <v>2740</v>
      </c>
      <c r="D1293" t="str">
        <f ca="1">IFERROR(__xludf.DUMMYFUNCTION("GOOGLETRANSLATE(B1293,""es"",""en"")"),"Build")</f>
        <v>Build</v>
      </c>
      <c r="E1293" t="s">
        <v>2741</v>
      </c>
    </row>
    <row r="1294" spans="1:5" ht="13.2" x14ac:dyDescent="0.25">
      <c r="A1294" t="s">
        <v>2742</v>
      </c>
      <c r="B1294" t="s">
        <v>2743</v>
      </c>
      <c r="C1294" t="s">
        <v>2744</v>
      </c>
      <c r="D1294" t="str">
        <f ca="1">IFERROR(__xludf.DUMMYFUNCTION("GOOGLETRANSLATE(B1294,""es"",""en"")"),"Surplus")</f>
        <v>Surplus</v>
      </c>
      <c r="E1294" t="s">
        <v>2745</v>
      </c>
    </row>
    <row r="1295" spans="1:5" ht="13.2" x14ac:dyDescent="0.25">
      <c r="A1295" t="s">
        <v>509</v>
      </c>
      <c r="B1295" t="s">
        <v>507</v>
      </c>
      <c r="C1295" t="s">
        <v>508</v>
      </c>
      <c r="D1295" t="str">
        <f ca="1">IFERROR(__xludf.DUMMYFUNCTION("GOOGLETRANSLATE(B1295,""es"",""en"")"),"Chopped")</f>
        <v>Chopped</v>
      </c>
      <c r="E1295" t="str">
        <f ca="1">IFERROR(__xludf.DUMMYFUNCTION("GOOGLETRANSLATE(C1295,""es"",""en"")"),"Scrape, lacerated ,,,,")</f>
        <v>Scrape, lacerated ,,,,</v>
      </c>
    </row>
    <row r="1296" spans="1:5" ht="13.2" x14ac:dyDescent="0.25">
      <c r="A1296" t="s">
        <v>2746</v>
      </c>
      <c r="B1296" t="s">
        <v>507</v>
      </c>
      <c r="C1296" t="s">
        <v>2747</v>
      </c>
      <c r="D1296" t="str">
        <f ca="1">IFERROR(__xludf.DUMMYFUNCTION("GOOGLETRANSLATE(B1296,""es"",""en"")"),"Chopped")</f>
        <v>Chopped</v>
      </c>
      <c r="E1296" t="str">
        <f ca="1">IFERROR(__xludf.DUMMYFUNCTION("GOOGLETRANSLATE(C1296,""es"",""en"")"),"Scraped off, , , ,")</f>
        <v>Scraped off, , , ,</v>
      </c>
    </row>
    <row r="1297" spans="1:5" ht="13.2" x14ac:dyDescent="0.25">
      <c r="A1297" t="s">
        <v>2748</v>
      </c>
      <c r="B1297" t="s">
        <v>2749</v>
      </c>
      <c r="D1297" t="str">
        <f ca="1">IFERROR(__xludf.DUMMYFUNCTION("GOOGLETRANSLATE(B1297,""es"",""en"")"),"Kitchen")</f>
        <v>Kitchen</v>
      </c>
      <c r="E1297" t="str">
        <f ca="1">IFERROR(__xludf.DUMMYFUNCTION("GOOGLETRANSLATE(C1297,""es"",""en"")"),"#VALUE!")</f>
        <v>#VALUE!</v>
      </c>
    </row>
    <row r="1298" spans="1:5" ht="13.2" x14ac:dyDescent="0.25">
      <c r="A1298" t="s">
        <v>2750</v>
      </c>
      <c r="B1298" t="s">
        <v>2751</v>
      </c>
      <c r="D1298" t="str">
        <f ca="1">IFERROR(__xludf.DUMMYFUNCTION("GOOGLETRANSLATE(B1298,""es"",""en"")"),"Altize the fire")</f>
        <v>Altize the fire</v>
      </c>
      <c r="E1298" t="str">
        <f ca="1">IFERROR(__xludf.DUMMYFUNCTION("GOOGLETRANSLATE(C1298,""es"",""en"")"),"#VALUE!")</f>
        <v>#VALUE!</v>
      </c>
    </row>
    <row r="1299" spans="1:5" ht="13.2" x14ac:dyDescent="0.25">
      <c r="A1299" t="s">
        <v>1942</v>
      </c>
      <c r="B1299" t="s">
        <v>2752</v>
      </c>
      <c r="D1299" t="str">
        <f ca="1">IFERROR(__xludf.DUMMYFUNCTION("GOOGLETRANSLATE(B1299,""es"",""en"")"),"Atize fire")</f>
        <v>Atize fire</v>
      </c>
      <c r="E1299" t="str">
        <f ca="1">IFERROR(__xludf.DUMMYFUNCTION("GOOGLETRANSLATE(C1299,""es"",""en"")"),"#VALUE!")</f>
        <v>#VALUE!</v>
      </c>
    </row>
    <row r="1300" spans="1:5" ht="13.2" x14ac:dyDescent="0.25">
      <c r="A1300" t="s">
        <v>2753</v>
      </c>
      <c r="B1300" t="s">
        <v>2754</v>
      </c>
      <c r="C1300" t="s">
        <v>2755</v>
      </c>
      <c r="D1300" t="str">
        <f ca="1">IFERROR(__xludf.DUMMYFUNCTION("GOOGLETRANSLATE(B1300,""es"",""en"")"),"Say")</f>
        <v>Say</v>
      </c>
      <c r="E1300" t="str">
        <f ca="1">IFERROR(__xludf.DUMMYFUNCTION("GOOGLETRANSLATE(C1300,""es"",""en"")"),"Manifest, communicate, express,")</f>
        <v>Manifest, communicate, express,</v>
      </c>
    </row>
    <row r="1301" spans="1:5" ht="13.2" x14ac:dyDescent="0.25">
      <c r="A1301" t="s">
        <v>2756</v>
      </c>
      <c r="B1301" t="s">
        <v>2754</v>
      </c>
      <c r="C1301" t="s">
        <v>2757</v>
      </c>
      <c r="D1301" t="str">
        <f ca="1">IFERROR(__xludf.DUMMYFUNCTION("GOOGLETRANSLATE(B1301,""es"",""en"")"),"Say")</f>
        <v>Say</v>
      </c>
      <c r="E1301" t="str">
        <f ca="1">IFERROR(__xludf.DUMMYFUNCTION("GOOGLETRANSLATE(C1301,""es"",""en"")"),"To pronounce, , , ,")</f>
        <v>To pronounce, , , ,</v>
      </c>
    </row>
    <row r="1302" spans="1:5" ht="13.2" x14ac:dyDescent="0.25">
      <c r="A1302" t="s">
        <v>2758</v>
      </c>
      <c r="B1302" t="s">
        <v>2759</v>
      </c>
      <c r="D1302" t="str">
        <f ca="1">IFERROR(__xludf.DUMMYFUNCTION("GOOGLETRANSLATE(B1302,""es"",""en"")"),"Open")</f>
        <v>Open</v>
      </c>
      <c r="E1302" t="str">
        <f ca="1">IFERROR(__xludf.DUMMYFUNCTION("GOOGLETRANSLATE(C1302,""es"",""en"")"),"#VALUE!")</f>
        <v>#VALUE!</v>
      </c>
    </row>
    <row r="1303" spans="1:5" ht="13.2" x14ac:dyDescent="0.25">
      <c r="A1303" t="s">
        <v>2760</v>
      </c>
      <c r="B1303" t="s">
        <v>2761</v>
      </c>
      <c r="C1303" t="s">
        <v>2762</v>
      </c>
      <c r="D1303" t="str">
        <f ca="1">IFERROR(__xludf.DUMMYFUNCTION("GOOGLETRANSLATE(B1303,""es"",""en"")"),"As this is the case")</f>
        <v>As this is the case</v>
      </c>
      <c r="E1303" t="str">
        <f ca="1">IFERROR(__xludf.DUMMYFUNCTION("GOOGLETRANSLATE(C1303,""es"",""en"")")," How do you say that, , , ,")</f>
        <v xml:space="preserve"> How do you say that, , , ,</v>
      </c>
    </row>
    <row r="1304" spans="1:5" ht="13.2" x14ac:dyDescent="0.25">
      <c r="A1304" t="s">
        <v>2763</v>
      </c>
      <c r="B1304" t="s">
        <v>2761</v>
      </c>
      <c r="C1304" t="s">
        <v>2764</v>
      </c>
      <c r="D1304" t="str">
        <f ca="1">IFERROR(__xludf.DUMMYFUNCTION("GOOGLETRANSLATE(B1304,""es"",""en"")"),"As this is the case")</f>
        <v>As this is the case</v>
      </c>
      <c r="E1304" t="str">
        <f ca="1">IFERROR(__xludf.DUMMYFUNCTION("GOOGLETRANSLATE(C1304,""es"",""en"")"),"How do you say that, , , ,")</f>
        <v>How do you say that, , , ,</v>
      </c>
    </row>
    <row r="1305" spans="1:5" ht="13.2" x14ac:dyDescent="0.25">
      <c r="A1305" t="s">
        <v>2765</v>
      </c>
      <c r="B1305" t="s">
        <v>2766</v>
      </c>
      <c r="C1305" t="s">
        <v>2767</v>
      </c>
      <c r="D1305" t="str">
        <f ca="1">IFERROR(__xludf.DUMMYFUNCTION("GOOGLETRANSLATE(B1305,""es"",""en"")"),"Grill")</f>
        <v>Grill</v>
      </c>
      <c r="E1305" t="str">
        <f ca="1">IFERROR(__xludf.DUMMYFUNCTION("GOOGLETRANSLATE(C1305,""es"",""en"")"),"Coal, , , ,")</f>
        <v>Coal, , , ,</v>
      </c>
    </row>
    <row r="1306" spans="1:5" ht="13.2" x14ac:dyDescent="0.25">
      <c r="A1306" t="s">
        <v>2768</v>
      </c>
      <c r="B1306" t="s">
        <v>2769</v>
      </c>
      <c r="D1306" t="str">
        <f ca="1">IFERROR(__xludf.DUMMYFUNCTION("GOOGLETRANSLATE(B1306,""es"",""en"")"),"Last")</f>
        <v>Last</v>
      </c>
      <c r="E1306" t="str">
        <f ca="1">IFERROR(__xludf.DUMMYFUNCTION("GOOGLETRANSLATE(C1306,""es"",""en"")"),"#VALUE!")</f>
        <v>#VALUE!</v>
      </c>
    </row>
    <row r="1307" spans="1:5" ht="13.2" x14ac:dyDescent="0.25">
      <c r="A1307" t="s">
        <v>2770</v>
      </c>
      <c r="B1307" t="s">
        <v>2769</v>
      </c>
      <c r="C1307" t="s">
        <v>2771</v>
      </c>
      <c r="D1307" t="str">
        <f ca="1">IFERROR(__xludf.DUMMYFUNCTION("GOOGLETRANSLATE(B1307,""es"",""en"")"),"Last")</f>
        <v>Last</v>
      </c>
      <c r="E1307" t="str">
        <f ca="1">IFERROR(__xludf.DUMMYFUNCTION("GOOGLETRANSLATE(C1307,""es"",""en"")"),"Last, , , ,")</f>
        <v>Last, , , ,</v>
      </c>
    </row>
    <row r="1308" spans="1:5" ht="13.2" x14ac:dyDescent="0.25">
      <c r="A1308" t="s">
        <v>2772</v>
      </c>
      <c r="B1308" t="s">
        <v>2769</v>
      </c>
      <c r="D1308" t="str">
        <f ca="1">IFERROR(__xludf.DUMMYFUNCTION("GOOGLETRANSLATE(B1308,""es"",""en"")"),"Last")</f>
        <v>Last</v>
      </c>
      <c r="E1308" t="str">
        <f ca="1">IFERROR(__xludf.DUMMYFUNCTION("GOOGLETRANSLATE(C1308,""es"",""en"")"),"#VALUE!")</f>
        <v>#VALUE!</v>
      </c>
    </row>
    <row r="1309" spans="1:5" ht="13.2" x14ac:dyDescent="0.25">
      <c r="A1309" t="s">
        <v>2773</v>
      </c>
      <c r="B1309" t="s">
        <v>2774</v>
      </c>
      <c r="C1309" t="s">
        <v>2775</v>
      </c>
      <c r="D1309" t="str">
        <f ca="1">IFERROR(__xludf.DUMMYFUNCTION("GOOGLETRANSLATE(B1309,""es"",""en"")"),"Acid")</f>
        <v>Acid</v>
      </c>
      <c r="E1309" t="str">
        <f ca="1">IFERROR(__xludf.DUMMYFUNCTION("GOOGLETRANSLATE(C1309,""es"",""en"")"),"Sour, , , ,")</f>
        <v>Sour, , , ,</v>
      </c>
    </row>
    <row r="1310" spans="1:5" ht="13.2" x14ac:dyDescent="0.25">
      <c r="A1310" t="s">
        <v>2776</v>
      </c>
      <c r="B1310" t="s">
        <v>2777</v>
      </c>
      <c r="D1310" t="str">
        <f ca="1">IFERROR(__xludf.DUMMYFUNCTION("GOOGLETRANSLATE(B1310,""es"",""en"")"),"Very acid")</f>
        <v>Very acid</v>
      </c>
      <c r="E1310" t="str">
        <f ca="1">IFERROR(__xludf.DUMMYFUNCTION("GOOGLETRANSLATE(C1310,""es"",""en"")"),"#VALUE!")</f>
        <v>#VALUE!</v>
      </c>
    </row>
    <row r="1311" spans="1:5" ht="13.2" x14ac:dyDescent="0.25">
      <c r="A1311" t="s">
        <v>2778</v>
      </c>
      <c r="B1311" t="s">
        <v>2779</v>
      </c>
      <c r="D1311" t="str">
        <f ca="1">IFERROR(__xludf.DUMMYFUNCTION("GOOGLETRANSLATE(B1311,""es"",""en"")"),"Slightly acidic")</f>
        <v>Slightly acidic</v>
      </c>
      <c r="E1311" t="str">
        <f ca="1">IFERROR(__xludf.DUMMYFUNCTION("GOOGLETRANSLATE(C1311,""es"",""en"")"),"#VALUE!")</f>
        <v>#VALUE!</v>
      </c>
    </row>
    <row r="1312" spans="1:5" ht="13.2" x14ac:dyDescent="0.25">
      <c r="A1312" t="s">
        <v>2780</v>
      </c>
      <c r="B1312" t="s">
        <v>2781</v>
      </c>
      <c r="C1312" t="s">
        <v>2782</v>
      </c>
      <c r="D1312" t="str">
        <f ca="1">IFERROR(__xludf.DUMMYFUNCTION("GOOGLETRANSLATE(B1312,""es"",""en"")"),"Thickness")</f>
        <v>Thickness</v>
      </c>
      <c r="E1312" t="str">
        <f ca="1">IFERROR(__xludf.DUMMYFUNCTION("GOOGLETRANSLATE(C1312,""es"",""en"")"),"Thickness ,,,,")</f>
        <v>Thickness ,,,,</v>
      </c>
    </row>
    <row r="1313" spans="1:5" ht="13.2" x14ac:dyDescent="0.25">
      <c r="A1313" t="s">
        <v>2783</v>
      </c>
      <c r="B1313" t="s">
        <v>2759</v>
      </c>
      <c r="D1313" t="str">
        <f ca="1">IFERROR(__xludf.DUMMYFUNCTION("GOOGLETRANSLATE(B1313,""es"",""en"")"),"Open")</f>
        <v>Open</v>
      </c>
      <c r="E1313" t="str">
        <f ca="1">IFERROR(__xludf.DUMMYFUNCTION("GOOGLETRANSLATE(C1313,""es"",""en"")"),"#VALUE!")</f>
        <v>#VALUE!</v>
      </c>
    </row>
    <row r="1314" spans="1:5" ht="13.2" x14ac:dyDescent="0.25">
      <c r="A1314" t="s">
        <v>2784</v>
      </c>
      <c r="B1314" t="s">
        <v>2785</v>
      </c>
      <c r="C1314" t="s">
        <v>2786</v>
      </c>
      <c r="D1314" t="str">
        <f ca="1">IFERROR(__xludf.DUMMYFUNCTION("GOOGLETRANSLATE(B1314,""es"",""en"")"),"Walk")</f>
        <v>Walk</v>
      </c>
      <c r="E1314" t="str">
        <f ca="1">IFERROR(__xludf.DUMMYFUNCTION("GOOGLETRANSLATE(C1314,""es"",""en"")"),"Walk, come on ,,,,")</f>
        <v>Walk, come on ,,,,</v>
      </c>
    </row>
    <row r="1315" spans="1:5" ht="13.2" x14ac:dyDescent="0.25">
      <c r="A1315" t="s">
        <v>2787</v>
      </c>
      <c r="B1315" t="s">
        <v>2788</v>
      </c>
      <c r="C1315" t="s">
        <v>2789</v>
      </c>
      <c r="D1315" t="str">
        <f ca="1">IFERROR(__xludf.DUMMYFUNCTION("GOOGLETRANSLATE(B1315,""es"",""en"")"),"Fire")</f>
        <v>Fire</v>
      </c>
      <c r="E1315" t="str">
        <f ca="1">IFERROR(__xludf.DUMMYFUNCTION("GOOGLETRANSLATE(C1315,""es"",""en"")"),"Fogon ,,,,")</f>
        <v>Fogon ,,,,</v>
      </c>
    </row>
    <row r="1316" spans="1:5" ht="13.2" x14ac:dyDescent="0.25">
      <c r="A1316" t="s">
        <v>2790</v>
      </c>
      <c r="B1316" t="s">
        <v>2791</v>
      </c>
      <c r="C1316" t="s">
        <v>2792</v>
      </c>
      <c r="D1316" t="str">
        <f ca="1">IFERROR(__xludf.DUMMYFUNCTION("GOOGLETRANSLATE(B1316,""es"",""en"")"),"Rear")</f>
        <v>Rear</v>
      </c>
      <c r="E1316" t="str">
        <f ca="1">IFERROR(__xludf.DUMMYFUNCTION("GOOGLETRANSLATE(C1316,""es"",""en"")"),"Buttock, buttock ,,,,")</f>
        <v>Buttock, buttock ,,,,</v>
      </c>
    </row>
    <row r="1317" spans="1:5" ht="13.2" x14ac:dyDescent="0.25">
      <c r="A1317" t="s">
        <v>2793</v>
      </c>
      <c r="B1317" t="s">
        <v>2791</v>
      </c>
      <c r="C1317" t="s">
        <v>2794</v>
      </c>
      <c r="D1317" t="str">
        <f ca="1">IFERROR(__xludf.DUMMYFUNCTION("GOOGLETRANSLATE(B1317,""es"",""en"")"),"Rear")</f>
        <v>Rear</v>
      </c>
      <c r="E1317" t="str">
        <f ca="1">IFERROR(__xludf.DUMMYFUNCTION("GOOGLETRANSLATE(C1317,""es"",""en"")"),"Nalga ,,,,")</f>
        <v>Nalga ,,,,</v>
      </c>
    </row>
    <row r="1318" spans="1:5" ht="13.2" x14ac:dyDescent="0.25">
      <c r="A1318" t="s">
        <v>2795</v>
      </c>
      <c r="B1318" t="s">
        <v>2796</v>
      </c>
      <c r="C1318" t="s">
        <v>2797</v>
      </c>
      <c r="D1318" t="str">
        <f ca="1">IFERROR(__xludf.DUMMYFUNCTION("GOOGLETRANSLATE(B1318,""es"",""en"")"),"Behind")</f>
        <v>Behind</v>
      </c>
      <c r="E1318" t="str">
        <f ca="1">IFERROR(__xludf.DUMMYFUNCTION("GOOGLETRANSLATE(C1318,""es"",""en"")"),"After, behind ,,,")</f>
        <v>After, behind ,,,</v>
      </c>
    </row>
    <row r="1319" spans="1:5" ht="13.2" x14ac:dyDescent="0.25">
      <c r="A1319" t="s">
        <v>2770</v>
      </c>
      <c r="B1319" t="s">
        <v>2796</v>
      </c>
      <c r="C1319" t="s">
        <v>2797</v>
      </c>
      <c r="D1319" t="str">
        <f ca="1">IFERROR(__xludf.DUMMYFUNCTION("GOOGLETRANSLATE(B1319,""es"",""en"")"),"Behind")</f>
        <v>Behind</v>
      </c>
      <c r="E1319" t="str">
        <f ca="1">IFERROR(__xludf.DUMMYFUNCTION("GOOGLETRANSLATE(C1319,""es"",""en"")"),"After, behind ,,,")</f>
        <v>After, behind ,,,</v>
      </c>
    </row>
    <row r="1320" spans="1:5" ht="13.2" x14ac:dyDescent="0.25">
      <c r="A1320" t="s">
        <v>2798</v>
      </c>
      <c r="B1320" t="s">
        <v>2799</v>
      </c>
      <c r="C1320" t="s">
        <v>2800</v>
      </c>
      <c r="D1320" t="str">
        <f ca="1">IFERROR(__xludf.DUMMYFUNCTION("GOOGLETRANSLATE(B1320,""es"",""en"")"),"Shake")</f>
        <v>Shake</v>
      </c>
      <c r="E1320" t="str">
        <f ca="1">IFERROR(__xludf.DUMMYFUNCTION("GOOGLETRANSLATE(C1320,""es"",""en"")"),"Handle, drive ,,,")</f>
        <v>Handle, drive ,,,</v>
      </c>
    </row>
    <row r="1321" spans="1:5" ht="13.2" x14ac:dyDescent="0.25">
      <c r="A1321" t="s">
        <v>2801</v>
      </c>
      <c r="B1321" t="s">
        <v>2802</v>
      </c>
      <c r="D1321" t="str">
        <f ca="1">IFERROR(__xludf.DUMMYFUNCTION("GOOGLETRANSLATE(B1321,""es"",""en"")"),"Pelvis")</f>
        <v>Pelvis</v>
      </c>
      <c r="E1321" t="str">
        <f ca="1">IFERROR(__xludf.DUMMYFUNCTION("GOOGLETRANSLATE(C1321,""es"",""en"")"),"#VALUE!")</f>
        <v>#VALUE!</v>
      </c>
    </row>
    <row r="1322" spans="1:5" ht="13.2" x14ac:dyDescent="0.25">
      <c r="A1322" t="s">
        <v>90</v>
      </c>
      <c r="B1322" t="s">
        <v>86</v>
      </c>
      <c r="C1322" t="s">
        <v>91</v>
      </c>
      <c r="D1322" t="str">
        <f ca="1">IFERROR(__xludf.DUMMYFUNCTION("GOOGLETRANSLATE(B1322,""es"",""en"")"),"Short")</f>
        <v>Short</v>
      </c>
      <c r="E1322" t="str">
        <f ca="1">IFERROR(__xludf.DUMMYFUNCTION("GOOGLETRANSLATE(C1322,""es"",""en"")"),"Very short, , , ,")</f>
        <v>Very short, , , ,</v>
      </c>
    </row>
    <row r="1323" spans="1:5" ht="13.2" x14ac:dyDescent="0.25">
      <c r="A1323" t="s">
        <v>92</v>
      </c>
      <c r="B1323" t="s">
        <v>2803</v>
      </c>
      <c r="D1323" t="str">
        <f ca="1">IFERROR(__xludf.DUMMYFUNCTION("GOOGLETRANSLATE(B1323,""es"",""en"")"),"Short, very short")</f>
        <v>Short, very short</v>
      </c>
      <c r="E1323" t="str">
        <f ca="1">IFERROR(__xludf.DUMMYFUNCTION("GOOGLETRANSLATE(C1323,""es"",""en"")"),"#VALUE!")</f>
        <v>#VALUE!</v>
      </c>
    </row>
    <row r="1324" spans="1:5" ht="13.2" x14ac:dyDescent="0.25">
      <c r="A1324" t="s">
        <v>2804</v>
      </c>
      <c r="B1324" t="s">
        <v>2209</v>
      </c>
      <c r="D1324" t="str">
        <f ca="1">IFERROR(__xludf.DUMMYFUNCTION("GOOGLETRANSLATE(B1324,""es"",""en"")"),"Smell")</f>
        <v>Smell</v>
      </c>
      <c r="E1324" t="str">
        <f ca="1">IFERROR(__xludf.DUMMYFUNCTION("GOOGLETRANSLATE(C1324,""es"",""en"")"),"#VALUE!")</f>
        <v>#VALUE!</v>
      </c>
    </row>
    <row r="1325" spans="1:5" ht="13.2" x14ac:dyDescent="0.25">
      <c r="A1325" t="s">
        <v>2805</v>
      </c>
      <c r="B1325" t="s">
        <v>2759</v>
      </c>
      <c r="D1325" t="str">
        <f ca="1">IFERROR(__xludf.DUMMYFUNCTION("GOOGLETRANSLATE(B1325,""es"",""en"")"),"Open")</f>
        <v>Open</v>
      </c>
      <c r="E1325" t="str">
        <f ca="1">IFERROR(__xludf.DUMMYFUNCTION("GOOGLETRANSLATE(C1325,""es"",""en"")"),"#VALUE!")</f>
        <v>#VALUE!</v>
      </c>
    </row>
    <row r="1326" spans="1:5" ht="13.2" x14ac:dyDescent="0.25">
      <c r="A1326" t="s">
        <v>93</v>
      </c>
      <c r="B1326" t="s">
        <v>86</v>
      </c>
      <c r="C1326" t="s">
        <v>2806</v>
      </c>
      <c r="D1326" t="str">
        <f ca="1">IFERROR(__xludf.DUMMYFUNCTION("GOOGLETRANSLATE(B1326,""es"",""en"")"),"Short")</f>
        <v>Short</v>
      </c>
      <c r="E1326" t="str">
        <f ca="1">IFERROR(__xludf.DUMMYFUNCTION("GOOGLETRANSLATE(C1326,""es"",""en"")"),"Very short, , , ,")</f>
        <v>Very short, , , ,</v>
      </c>
    </row>
    <row r="1327" spans="1:5" ht="13.2" x14ac:dyDescent="0.25">
      <c r="A1327" t="s">
        <v>2807</v>
      </c>
      <c r="B1327" t="s">
        <v>2808</v>
      </c>
      <c r="C1327" t="s">
        <v>2809</v>
      </c>
      <c r="D1327" t="str">
        <f ca="1">IFERROR(__xludf.DUMMYFUNCTION("GOOGLETRANSLATE(B1327,""es"",""en"")"),"Invested")</f>
        <v>Invested</v>
      </c>
      <c r="E1327" t="str">
        <f ca="1">IFERROR(__xludf.DUMMYFUNCTION("GOOGLETRANSLATE(C1327,""es"",""en"")"),"Upside down, inverse ,,,,")</f>
        <v>Upside down, inverse ,,,,</v>
      </c>
    </row>
    <row r="1328" spans="1:5" ht="13.2" x14ac:dyDescent="0.25">
      <c r="A1328" t="s">
        <v>2810</v>
      </c>
      <c r="B1328" t="s">
        <v>2811</v>
      </c>
      <c r="D1328" t="str">
        <f ca="1">IFERROR(__xludf.DUMMYFUNCTION("GOOGLETRANSLATE(B1328,""es"",""en"")"),"For the rear")</f>
        <v>For the rear</v>
      </c>
      <c r="E1328" t="str">
        <f ca="1">IFERROR(__xludf.DUMMYFUNCTION("GOOGLETRANSLATE(C1328,""es"",""en"")"),"#VALUE!")</f>
        <v>#VALUE!</v>
      </c>
    </row>
    <row r="1329" spans="1:5" ht="13.2" x14ac:dyDescent="0.25">
      <c r="A1329" t="s">
        <v>2812</v>
      </c>
      <c r="B1329" t="s">
        <v>2813</v>
      </c>
      <c r="C1329" t="s">
        <v>2814</v>
      </c>
      <c r="D1329" t="str">
        <f ca="1">IFERROR(__xludf.DUMMYFUNCTION("GOOGLETRANSLATE(B1329,""es"",""en"")"),"Ship")</f>
        <v>Ship</v>
      </c>
      <c r="E1329" t="str">
        <f ca="1">IFERROR(__xludf.DUMMYFUNCTION("GOOGLETRANSLATE(C1329,""es"",""en"")"),"Ship, ship ,,,,")</f>
        <v>Ship, ship ,,,,</v>
      </c>
    </row>
    <row r="1330" spans="1:5" ht="13.2" x14ac:dyDescent="0.25">
      <c r="A1330" t="s">
        <v>2815</v>
      </c>
      <c r="B1330" t="s">
        <v>2813</v>
      </c>
      <c r="C1330" t="s">
        <v>2814</v>
      </c>
      <c r="D1330" t="str">
        <f ca="1">IFERROR(__xludf.DUMMYFUNCTION("GOOGLETRANSLATE(B1330,""es"",""en"")"),"Ship")</f>
        <v>Ship</v>
      </c>
      <c r="E1330" t="str">
        <f ca="1">IFERROR(__xludf.DUMMYFUNCTION("GOOGLETRANSLATE(C1330,""es"",""en"")"),"Ship, ship ,,,,")</f>
        <v>Ship, ship ,,,,</v>
      </c>
    </row>
    <row r="1331" spans="1:5" ht="13.2" x14ac:dyDescent="0.25">
      <c r="A1331" t="s">
        <v>246</v>
      </c>
      <c r="B1331" t="s">
        <v>2816</v>
      </c>
      <c r="C1331" t="s">
        <v>2817</v>
      </c>
      <c r="D1331" t="str">
        <f ca="1">IFERROR(__xludf.DUMMYFUNCTION("GOOGLETRANSLATE(B1331,""es"",""en"")"),"Plane")</f>
        <v>Plane</v>
      </c>
      <c r="E1331" t="str">
        <f ca="1">IFERROR(__xludf.DUMMYFUNCTION("GOOGLETRANSLATE(C1331,""es"",""en"")"),"Airplane, aircraft ,,,")</f>
        <v>Airplane, aircraft ,,,</v>
      </c>
    </row>
    <row r="1332" spans="1:5" ht="13.2" x14ac:dyDescent="0.25">
      <c r="A1332" t="s">
        <v>243</v>
      </c>
      <c r="B1332" t="s">
        <v>2816</v>
      </c>
      <c r="D1332" t="str">
        <f ca="1">IFERROR(__xludf.DUMMYFUNCTION("GOOGLETRANSLATE(B1332,""es"",""en"")"),"Plane")</f>
        <v>Plane</v>
      </c>
      <c r="E1332" t="str">
        <f ca="1">IFERROR(__xludf.DUMMYFUNCTION("GOOGLETRANSLATE(C1332,""es"",""en"")"),"#VALUE!")</f>
        <v>#VALUE!</v>
      </c>
    </row>
    <row r="1333" spans="1:5" ht="13.2" x14ac:dyDescent="0.25">
      <c r="A1333" t="s">
        <v>2818</v>
      </c>
      <c r="B1333" t="s">
        <v>2515</v>
      </c>
      <c r="C1333" t="s">
        <v>2819</v>
      </c>
      <c r="D1333" t="str">
        <f ca="1">IFERROR(__xludf.DUMMYFUNCTION("GOOGLETRANSLATE(B1333,""es"",""en"")"),"Coat")</f>
        <v>Coat</v>
      </c>
      <c r="E1333" t="str">
        <f ca="1">IFERROR(__xludf.DUMMYFUNCTION("GOOGLETRANSLATE(C1333,""es"",""en"")"),"Jacket, gabán ,,,,")</f>
        <v>Jacket, gabán ,,,,</v>
      </c>
    </row>
    <row r="1334" spans="1:5" ht="13.2" x14ac:dyDescent="0.25">
      <c r="A1334" t="s">
        <v>2820</v>
      </c>
      <c r="B1334" t="s">
        <v>2821</v>
      </c>
      <c r="D1334" t="str">
        <f ca="1">IFERROR(__xludf.DUMMYFUNCTION("GOOGLETRANSLATE(B1334,""es"",""en"")"),"Bamboo musical instrument")</f>
        <v>Bamboo musical instrument</v>
      </c>
      <c r="E1334" t="str">
        <f ca="1">IFERROR(__xludf.DUMMYFUNCTION("GOOGLETRANSLATE(C1334,""es"",""en"")"),"#VALUE!")</f>
        <v>#VALUE!</v>
      </c>
    </row>
    <row r="1335" spans="1:5" ht="13.2" x14ac:dyDescent="0.25">
      <c r="A1335" t="s">
        <v>2822</v>
      </c>
      <c r="B1335" t="s">
        <v>2823</v>
      </c>
      <c r="D1335" t="str">
        <f ca="1">IFERROR(__xludf.DUMMYFUNCTION("GOOGLETRANSLATE(B1335,""es"",""en"")"),"Rainbow")</f>
        <v>Rainbow</v>
      </c>
      <c r="E1335" t="str">
        <f ca="1">IFERROR(__xludf.DUMMYFUNCTION("GOOGLETRANSLATE(C1335,""es"",""en"")"),"#VALUE!")</f>
        <v>#VALUE!</v>
      </c>
    </row>
    <row r="1336" spans="1:5" ht="13.2" x14ac:dyDescent="0.25">
      <c r="A1336" t="s">
        <v>2824</v>
      </c>
      <c r="B1336" t="s">
        <v>2825</v>
      </c>
      <c r="C1336" t="s">
        <v>2826</v>
      </c>
      <c r="D1336" t="str">
        <f ca="1">IFERROR(__xludf.DUMMYFUNCTION("GOOGLETRANSLATE(B1336,""es"",""en"")"),"Look out")</f>
        <v>Look out</v>
      </c>
      <c r="E1336" t="str">
        <f ca="1">IFERROR(__xludf.DUMMYFUNCTION("GOOGLETRANSLATE(C1336,""es"",""en"")"),"Ring, observe, open,")</f>
        <v>Ring, observe, open,</v>
      </c>
    </row>
    <row r="1337" spans="1:5" ht="13.2" x14ac:dyDescent="0.25">
      <c r="A1337" t="s">
        <v>2827</v>
      </c>
      <c r="B1337" t="s">
        <v>2828</v>
      </c>
      <c r="C1337" t="s">
        <v>2829</v>
      </c>
      <c r="D1337" t="str">
        <f ca="1">IFERROR(__xludf.DUMMYFUNCTION("GOOGLETRANSLATE(B1337,""es"",""en"")"),"Choose")</f>
        <v>Choose</v>
      </c>
      <c r="E1337" t="str">
        <f ca="1">IFERROR(__xludf.DUMMYFUNCTION("GOOGLETRANSLATE(C1337,""es"",""en"")"),"Select, take ,,,,")</f>
        <v>Select, take ,,,,</v>
      </c>
    </row>
    <row r="1338" spans="1:5" ht="13.2" x14ac:dyDescent="0.25">
      <c r="A1338" t="s">
        <v>2830</v>
      </c>
      <c r="B1338" t="s">
        <v>2831</v>
      </c>
      <c r="C1338" t="s">
        <v>2832</v>
      </c>
      <c r="D1338" t="str">
        <f ca="1">IFERROR(__xludf.DUMMYFUNCTION("GOOGLETRANSLATE(B1338,""es"",""en"")"),"Flag")</f>
        <v>Flag</v>
      </c>
      <c r="E1338" t="str">
        <f ca="1">IFERROR(__xludf.DUMMYFUNCTION("GOOGLETRANSLATE(C1338,""es"",""en"")"),"Banner ,,,,")</f>
        <v>Banner ,,,,</v>
      </c>
    </row>
    <row r="1339" spans="1:5" ht="13.2" x14ac:dyDescent="0.25">
      <c r="A1339" t="s">
        <v>2833</v>
      </c>
      <c r="B1339" t="s">
        <v>2831</v>
      </c>
      <c r="C1339" t="s">
        <v>2832</v>
      </c>
      <c r="D1339" t="str">
        <f ca="1">IFERROR(__xludf.DUMMYFUNCTION("GOOGLETRANSLATE(B1339,""es"",""en"")"),"Flag")</f>
        <v>Flag</v>
      </c>
      <c r="E1339" t="str">
        <f ca="1">IFERROR(__xludf.DUMMYFUNCTION("GOOGLETRANSLATE(C1339,""es"",""en"")"),"Banner ,,,,")</f>
        <v>Banner ,,,,</v>
      </c>
    </row>
    <row r="1340" spans="1:5" ht="13.2" x14ac:dyDescent="0.25">
      <c r="A1340" t="s">
        <v>2834</v>
      </c>
      <c r="B1340" t="s">
        <v>2831</v>
      </c>
      <c r="D1340" t="str">
        <f ca="1">IFERROR(__xludf.DUMMYFUNCTION("GOOGLETRANSLATE(B1340,""es"",""en"")"),"Flag")</f>
        <v>Flag</v>
      </c>
      <c r="E1340" t="str">
        <f ca="1">IFERROR(__xludf.DUMMYFUNCTION("GOOGLETRANSLATE(C1340,""es"",""en"")"),"#VALUE!")</f>
        <v>#VALUE!</v>
      </c>
    </row>
    <row r="1341" spans="1:5" ht="13.2" x14ac:dyDescent="0.25">
      <c r="A1341" t="s">
        <v>2835</v>
      </c>
      <c r="B1341" t="s">
        <v>2836</v>
      </c>
      <c r="D1341" t="str">
        <f ca="1">IFERROR(__xludf.DUMMYFUNCTION("GOOGLETRANSLATE(B1341,""es"",""en"")"),"Crab")</f>
        <v>Crab</v>
      </c>
      <c r="E1341" t="str">
        <f ca="1">IFERROR(__xludf.DUMMYFUNCTION("GOOGLETRANSLATE(C1341,""es"",""en"")"),"#VALUE!")</f>
        <v>#VALUE!</v>
      </c>
    </row>
    <row r="1342" spans="1:5" ht="13.2" x14ac:dyDescent="0.25">
      <c r="A1342" t="s">
        <v>793</v>
      </c>
      <c r="B1342" t="s">
        <v>2837</v>
      </c>
      <c r="D1342" t="str">
        <f ca="1">IFERROR(__xludf.DUMMYFUNCTION("GOOGLETRANSLATE(B1342,""es"",""en"")"),"Mangler Cag")</f>
        <v>Mangler Cag</v>
      </c>
      <c r="E1342" t="str">
        <f ca="1">IFERROR(__xludf.DUMMYFUNCTION("GOOGLETRANSLATE(C1342,""es"",""en"")"),"#VALUE!")</f>
        <v>#VALUE!</v>
      </c>
    </row>
    <row r="1343" spans="1:5" ht="13.2" x14ac:dyDescent="0.25">
      <c r="A1343" t="s">
        <v>2838</v>
      </c>
      <c r="B1343" t="s">
        <v>2837</v>
      </c>
      <c r="D1343" t="str">
        <f ca="1">IFERROR(__xludf.DUMMYFUNCTION("GOOGLETRANSLATE(B1343,""es"",""en"")"),"Mangler Cag")</f>
        <v>Mangler Cag</v>
      </c>
      <c r="E1343" t="str">
        <f ca="1">IFERROR(__xludf.DUMMYFUNCTION("GOOGLETRANSLATE(C1343,""es"",""en"")"),"#VALUE!")</f>
        <v>#VALUE!</v>
      </c>
    </row>
    <row r="1344" spans="1:5" ht="13.2" x14ac:dyDescent="0.25">
      <c r="A1344" t="s">
        <v>767</v>
      </c>
      <c r="B1344" t="s">
        <v>2839</v>
      </c>
      <c r="D1344" t="str">
        <f ca="1">IFERROR(__xludf.DUMMYFUNCTION("GOOGLETRANSLATE(B1344,""es"",""en"")"),"Manglero crab")</f>
        <v>Manglero crab</v>
      </c>
      <c r="E1344" t="str">
        <f ca="1">IFERROR(__xludf.DUMMYFUNCTION("GOOGLETRANSLATE(C1344,""es"",""en"")"),"#VALUE!")</f>
        <v>#VALUE!</v>
      </c>
    </row>
    <row r="1345" spans="1:5" ht="13.2" x14ac:dyDescent="0.25">
      <c r="A1345" t="s">
        <v>818</v>
      </c>
      <c r="B1345" t="s">
        <v>2837</v>
      </c>
      <c r="D1345" t="str">
        <f ca="1">IFERROR(__xludf.DUMMYFUNCTION("GOOGLETRANSLATE(B1345,""es"",""en"")"),"Mangler Cag")</f>
        <v>Mangler Cag</v>
      </c>
      <c r="E1345" t="str">
        <f ca="1">IFERROR(__xludf.DUMMYFUNCTION("GOOGLETRANSLATE(C1345,""es"",""en"")"),"#VALUE!")</f>
        <v>#VALUE!</v>
      </c>
    </row>
    <row r="1346" spans="1:5" ht="13.2" x14ac:dyDescent="0.25">
      <c r="A1346" t="s">
        <v>1757</v>
      </c>
      <c r="B1346" t="s">
        <v>1756</v>
      </c>
      <c r="D1346" t="str">
        <f ca="1">IFERROR(__xludf.DUMMYFUNCTION("GOOGLETRANSLATE(B1346,""es"",""en"")"),"Jaiba")</f>
        <v>Jaiba</v>
      </c>
      <c r="E1346" t="str">
        <f ca="1">IFERROR(__xludf.DUMMYFUNCTION("GOOGLETRANSLATE(C1346,""es"",""en"")"),"#VALUE!")</f>
        <v>#VALUE!</v>
      </c>
    </row>
    <row r="1347" spans="1:5" ht="13.2" x14ac:dyDescent="0.25">
      <c r="A1347" t="s">
        <v>2840</v>
      </c>
      <c r="B1347" t="s">
        <v>2841</v>
      </c>
      <c r="D1347" t="str">
        <f ca="1">IFERROR(__xludf.DUMMYFUNCTION("GOOGLETRANSLATE(B1347,""es"",""en"")"),"Hand")</f>
        <v>Hand</v>
      </c>
      <c r="E1347" t="str">
        <f ca="1">IFERROR(__xludf.DUMMYFUNCTION("GOOGLETRANSLATE(C1347,""es"",""en"")"),"#VALUE!")</f>
        <v>#VALUE!</v>
      </c>
    </row>
    <row r="1348" spans="1:5" ht="13.2" x14ac:dyDescent="0.25">
      <c r="A1348" t="s">
        <v>1755</v>
      </c>
      <c r="B1348" t="s">
        <v>1756</v>
      </c>
      <c r="D1348" t="str">
        <f ca="1">IFERROR(__xludf.DUMMYFUNCTION("GOOGLETRANSLATE(B1348,""es"",""en"")"),"Jaiba")</f>
        <v>Jaiba</v>
      </c>
      <c r="E1348" t="str">
        <f ca="1">IFERROR(__xludf.DUMMYFUNCTION("GOOGLETRANSLATE(C1348,""es"",""en"")"),"#VALUE!")</f>
        <v>#VALUE!</v>
      </c>
    </row>
    <row r="1349" spans="1:5" ht="13.2" x14ac:dyDescent="0.25">
      <c r="A1349" t="s">
        <v>2842</v>
      </c>
      <c r="B1349" t="s">
        <v>2843</v>
      </c>
      <c r="D1349" t="str">
        <f ca="1">IFERROR(__xludf.DUMMYFUNCTION("GOOGLETRANSLATE(B1349,""es"",""en"")"),"River current")</f>
        <v>River current</v>
      </c>
      <c r="E1349" t="str">
        <f ca="1">IFERROR(__xludf.DUMMYFUNCTION("GOOGLETRANSLATE(C1349,""es"",""en"")"),"#VALUE!")</f>
        <v>#VALUE!</v>
      </c>
    </row>
    <row r="1350" spans="1:5" ht="13.2" x14ac:dyDescent="0.25">
      <c r="A1350" t="s">
        <v>2844</v>
      </c>
      <c r="B1350" t="s">
        <v>2845</v>
      </c>
      <c r="D1350" t="str">
        <f ca="1">IFERROR(__xludf.DUMMYFUNCTION("GOOGLETRANSLATE(B1350,""es"",""en"")"),"Swordfish")</f>
        <v>Swordfish</v>
      </c>
      <c r="E1350" t="str">
        <f ca="1">IFERROR(__xludf.DUMMYFUNCTION("GOOGLETRANSLATE(C1350,""es"",""en"")"),"#VALUE!")</f>
        <v>#VALUE!</v>
      </c>
    </row>
    <row r="1351" spans="1:5" ht="13.2" x14ac:dyDescent="0.25">
      <c r="A1351" t="s">
        <v>2846</v>
      </c>
      <c r="B1351" t="s">
        <v>2847</v>
      </c>
      <c r="C1351" t="s">
        <v>2848</v>
      </c>
      <c r="D1351" t="str">
        <f ca="1">IFERROR(__xludf.DUMMYFUNCTION("GOOGLETRANSLATE(B1351,""es"",""en"")"),"Corner")</f>
        <v>Corner</v>
      </c>
      <c r="E1351" t="str">
        <f ca="1">IFERROR(__xludf.DUMMYFUNCTION("GOOGLETRANSLATE(C1351,""es"",""en"")"),"Bay, Ensenada ,,,")</f>
        <v>Bay, Ensenada ,,,</v>
      </c>
    </row>
    <row r="1352" spans="1:5" ht="13.2" x14ac:dyDescent="0.25">
      <c r="A1352" t="s">
        <v>2849</v>
      </c>
      <c r="B1352" t="s">
        <v>2850</v>
      </c>
      <c r="D1352" t="str">
        <f ca="1">IFERROR(__xludf.DUMMYFUNCTION("GOOGLETRANSLATE(B1352,""es"",""en"")"),"Centol")</f>
        <v>Centol</v>
      </c>
      <c r="E1352" t="str">
        <f ca="1">IFERROR(__xludf.DUMMYFUNCTION("GOOGLETRANSLATE(C1352,""es"",""en"")"),"#VALUE!")</f>
        <v>#VALUE!</v>
      </c>
    </row>
    <row r="1353" spans="1:5" ht="13.2" x14ac:dyDescent="0.25">
      <c r="A1353" t="s">
        <v>2851</v>
      </c>
      <c r="B1353" t="s">
        <v>2852</v>
      </c>
      <c r="C1353" t="s">
        <v>2853</v>
      </c>
      <c r="D1353" t="str">
        <f ca="1">IFERROR(__xludf.DUMMYFUNCTION("GOOGLETRANSLATE(B1353,""es"",""en"")"),"Suck")</f>
        <v>Suck</v>
      </c>
      <c r="E1353" t="str">
        <f ca="1">IFERROR(__xludf.DUMMYFUNCTION("GOOGLETRANSLATE(C1353,""es"",""en"")"),"Sorber ,,,,")</f>
        <v>Sorber ,,,,</v>
      </c>
    </row>
    <row r="1354" spans="1:5" ht="13.2" x14ac:dyDescent="0.25">
      <c r="A1354" t="s">
        <v>2854</v>
      </c>
      <c r="B1354" t="s">
        <v>2855</v>
      </c>
      <c r="D1354" t="str">
        <f ca="1">IFERROR(__xludf.DUMMYFUNCTION("GOOGLETRANSLATE(B1354,""es"",""en"")"),"Moro crab")</f>
        <v>Moro crab</v>
      </c>
      <c r="E1354" t="str">
        <f ca="1">IFERROR(__xludf.DUMMYFUNCTION("GOOGLETRANSLATE(C1354,""es"",""en"")"),"#VALUE!")</f>
        <v>#VALUE!</v>
      </c>
    </row>
    <row r="1355" spans="1:5" ht="13.2" x14ac:dyDescent="0.25">
      <c r="A1355" t="s">
        <v>2856</v>
      </c>
      <c r="B1355" t="s">
        <v>2857</v>
      </c>
      <c r="D1355" t="str">
        <f ca="1">IFERROR(__xludf.DUMMYFUNCTION("GOOGLETRANSLATE(B1355,""es"",""en"")"),"Measuring length")</f>
        <v>Measuring length</v>
      </c>
      <c r="E1355" t="str">
        <f ca="1">IFERROR(__xludf.DUMMYFUNCTION("GOOGLETRANSLATE(C1355,""es"",""en"")"),"#VALUE!")</f>
        <v>#VALUE!</v>
      </c>
    </row>
    <row r="1356" spans="1:5" ht="13.2" x14ac:dyDescent="0.25">
      <c r="A1356" t="s">
        <v>818</v>
      </c>
      <c r="B1356" t="s">
        <v>2837</v>
      </c>
      <c r="D1356" t="str">
        <f ca="1">IFERROR(__xludf.DUMMYFUNCTION("GOOGLETRANSLATE(B1356,""es"",""en"")"),"Mangler Cag")</f>
        <v>Mangler Cag</v>
      </c>
      <c r="E1356" t="str">
        <f ca="1">IFERROR(__xludf.DUMMYFUNCTION("GOOGLETRANSLATE(C1356,""es"",""en"")"),"#VALUE!")</f>
        <v>#VALUE!</v>
      </c>
    </row>
    <row r="1357" spans="1:5" ht="13.2" x14ac:dyDescent="0.25">
      <c r="A1357" t="s">
        <v>2858</v>
      </c>
      <c r="B1357" t="s">
        <v>2859</v>
      </c>
      <c r="D1357" t="str">
        <f ca="1">IFERROR(__xludf.DUMMYFUNCTION("GOOGLETRANSLATE(B1357,""es"",""en"")"),"hand")</f>
        <v>hand</v>
      </c>
      <c r="E1357" t="str">
        <f ca="1">IFERROR(__xludf.DUMMYFUNCTION("GOOGLETRANSLATE(C1357,""es"",""en"")"),"#VALUE!")</f>
        <v>#VALUE!</v>
      </c>
    </row>
    <row r="1358" spans="1:5" ht="13.2" x14ac:dyDescent="0.25">
      <c r="A1358" t="s">
        <v>2860</v>
      </c>
      <c r="B1358" t="s">
        <v>2837</v>
      </c>
      <c r="D1358" t="str">
        <f ca="1">IFERROR(__xludf.DUMMYFUNCTION("GOOGLETRANSLATE(B1358,""es"",""en"")"),"Mangler Cag")</f>
        <v>Mangler Cag</v>
      </c>
      <c r="E1358" t="str">
        <f ca="1">IFERROR(__xludf.DUMMYFUNCTION("GOOGLETRANSLATE(C1358,""es"",""en"")"),"#VALUE!")</f>
        <v>#VALUE!</v>
      </c>
    </row>
    <row r="1359" spans="1:5" ht="13.2" x14ac:dyDescent="0.25">
      <c r="A1359" t="s">
        <v>2838</v>
      </c>
      <c r="B1359" t="s">
        <v>2837</v>
      </c>
      <c r="D1359" t="str">
        <f ca="1">IFERROR(__xludf.DUMMYFUNCTION("GOOGLETRANSLATE(B1359,""es"",""en"")"),"Mangler Cag")</f>
        <v>Mangler Cag</v>
      </c>
      <c r="E1359" t="str">
        <f ca="1">IFERROR(__xludf.DUMMYFUNCTION("GOOGLETRANSLATE(C1359,""es"",""en"")"),"#VALUE!")</f>
        <v>#VALUE!</v>
      </c>
    </row>
    <row r="1360" spans="1:5" ht="13.2" x14ac:dyDescent="0.25">
      <c r="A1360" t="s">
        <v>767</v>
      </c>
      <c r="B1360" t="s">
        <v>794</v>
      </c>
      <c r="D1360" t="str">
        <f ca="1">IFERROR(__xludf.DUMMYFUNCTION("GOOGLETRANSLATE(B1360,""es"",""en"")"),"Manglero crab")</f>
        <v>Manglero crab</v>
      </c>
      <c r="E1360" t="str">
        <f ca="1">IFERROR(__xludf.DUMMYFUNCTION("GOOGLETRANSLATE(C1360,""es"",""en"")"),"#VALUE!")</f>
        <v>#VALUE!</v>
      </c>
    </row>
    <row r="1361" spans="1:5" ht="13.2" x14ac:dyDescent="0.25">
      <c r="A1361" t="s">
        <v>793</v>
      </c>
      <c r="B1361" t="s">
        <v>794</v>
      </c>
      <c r="D1361" t="str">
        <f ca="1">IFERROR(__xludf.DUMMYFUNCTION("GOOGLETRANSLATE(B1361,""es"",""en"")"),"Manglero crab")</f>
        <v>Manglero crab</v>
      </c>
      <c r="E1361" t="str">
        <f ca="1">IFERROR(__xludf.DUMMYFUNCTION("GOOGLETRANSLATE(C1361,""es"",""en"")"),"#VALUE!")</f>
        <v>#VALUE!</v>
      </c>
    </row>
    <row r="1362" spans="1:5" ht="13.2" x14ac:dyDescent="0.25">
      <c r="A1362" t="s">
        <v>2861</v>
      </c>
      <c r="B1362" t="s">
        <v>2862</v>
      </c>
      <c r="C1362" t="s">
        <v>2863</v>
      </c>
      <c r="D1362" t="str">
        <f ca="1">IFERROR(__xludf.DUMMYFUNCTION("GOOGLETRANSLATE(B1362,""es"",""en"")"),"Husband")</f>
        <v>Husband</v>
      </c>
      <c r="E1362" t="str">
        <f ca="1">IFERROR(__xludf.DUMMYFUNCTION("GOOGLETRANSLATE(C1362,""es"",""en"")"),"Husband, , , ,")</f>
        <v>Husband, , , ,</v>
      </c>
    </row>
    <row r="1363" spans="1:5" ht="13.2" x14ac:dyDescent="0.25">
      <c r="A1363" t="s">
        <v>2864</v>
      </c>
      <c r="B1363" t="s">
        <v>2862</v>
      </c>
      <c r="C1363" t="s">
        <v>2863</v>
      </c>
      <c r="D1363" t="str">
        <f ca="1">IFERROR(__xludf.DUMMYFUNCTION("GOOGLETRANSLATE(B1363,""es"",""en"")"),"Husband")</f>
        <v>Husband</v>
      </c>
      <c r="E1363" t="str">
        <f ca="1">IFERROR(__xludf.DUMMYFUNCTION("GOOGLETRANSLATE(C1363,""es"",""en"")"),"Husband, , , ,")</f>
        <v>Husband, , , ,</v>
      </c>
    </row>
    <row r="1364" spans="1:5" ht="13.2" x14ac:dyDescent="0.25">
      <c r="A1364" t="s">
        <v>2865</v>
      </c>
      <c r="B1364" t="s">
        <v>2866</v>
      </c>
      <c r="C1364" t="s">
        <v>2867</v>
      </c>
      <c r="D1364" t="str">
        <f ca="1">IFERROR(__xludf.DUMMYFUNCTION("GOOGLETRANSLATE(B1364,""es"",""en"")"),"Long")</f>
        <v>Long</v>
      </c>
      <c r="E1364" t="str">
        <f ca="1">IFERROR(__xludf.DUMMYFUNCTION("GOOGLETRANSLATE(C1364,""es"",""en"")"),"Quite long, , , ,")</f>
        <v>Quite long, , , ,</v>
      </c>
    </row>
    <row r="1365" spans="1:5" ht="13.2" x14ac:dyDescent="0.25">
      <c r="A1365" t="s">
        <v>2868</v>
      </c>
      <c r="B1365" t="s">
        <v>2866</v>
      </c>
      <c r="C1365" t="s">
        <v>2867</v>
      </c>
      <c r="D1365" t="str">
        <f ca="1">IFERROR(__xludf.DUMMYFUNCTION("GOOGLETRANSLATE(B1365,""es"",""en"")"),"Long")</f>
        <v>Long</v>
      </c>
      <c r="E1365" t="str">
        <f ca="1">IFERROR(__xludf.DUMMYFUNCTION("GOOGLETRANSLATE(C1365,""es"",""en"")"),"Quite long, , , ,")</f>
        <v>Quite long, , , ,</v>
      </c>
    </row>
    <row r="1366" spans="1:5" ht="13.2" x14ac:dyDescent="0.25">
      <c r="A1366" t="s">
        <v>2869</v>
      </c>
      <c r="B1366" t="s">
        <v>2870</v>
      </c>
      <c r="D1366" t="str">
        <f ca="1">IFERROR(__xludf.DUMMYFUNCTION("GOOGLETRANSLATE(B1366,""es"",""en"")"),"One dollar")</f>
        <v>One dollar</v>
      </c>
      <c r="E1366" t="str">
        <f ca="1">IFERROR(__xludf.DUMMYFUNCTION("GOOGLETRANSLATE(C1366,""es"",""en"")"),"#VALUE!")</f>
        <v>#VALUE!</v>
      </c>
    </row>
    <row r="1367" spans="1:5" ht="13.2" x14ac:dyDescent="0.25">
      <c r="A1367" t="s">
        <v>1376</v>
      </c>
      <c r="B1367" t="s">
        <v>1374</v>
      </c>
      <c r="C1367" t="s">
        <v>2871</v>
      </c>
      <c r="D1367" t="str">
        <f ca="1">IFERROR(__xludf.DUMMYFUNCTION("GOOGLETRANSLATE(B1367,""es"",""en"")"),"Extensive")</f>
        <v>Extensive</v>
      </c>
      <c r="E1367" t="str">
        <f ca="1">IFERROR(__xludf.DUMMYFUNCTION("GOOGLETRANSLATE(C1367,""es"",""en"")"),"Stretched, very long ,,,,")</f>
        <v>Stretched, very long ,,,,</v>
      </c>
    </row>
    <row r="1368" spans="1:5" ht="13.2" x14ac:dyDescent="0.25">
      <c r="A1368" t="s">
        <v>2872</v>
      </c>
      <c r="B1368" t="s">
        <v>2873</v>
      </c>
      <c r="D1368" t="str">
        <f ca="1">IFERROR(__xludf.DUMMYFUNCTION("GOOGLETRANSLATE(B1368,""es"",""en"")"),"Back of the hand")</f>
        <v>Back of the hand</v>
      </c>
      <c r="E1368" t="str">
        <f ca="1">IFERROR(__xludf.DUMMYFUNCTION("GOOGLETRANSLATE(C1368,""es"",""en"")"),"#VALUE!")</f>
        <v>#VALUE!</v>
      </c>
    </row>
    <row r="1369" spans="1:5" ht="13.2" x14ac:dyDescent="0.25">
      <c r="A1369" t="s">
        <v>1373</v>
      </c>
      <c r="B1369" t="s">
        <v>2874</v>
      </c>
      <c r="D1369" t="str">
        <f ca="1">IFERROR(__xludf.DUMMYFUNCTION("GOOGLETRANSLATE(B1369,""es"",""en"")"),"Not short")</f>
        <v>Not short</v>
      </c>
      <c r="E1369" t="str">
        <f ca="1">IFERROR(__xludf.DUMMYFUNCTION("GOOGLETRANSLATE(C1369,""es"",""en"")"),"#VALUE!")</f>
        <v>#VALUE!</v>
      </c>
    </row>
    <row r="1370" spans="1:5" ht="13.2" x14ac:dyDescent="0.25">
      <c r="A1370" t="s">
        <v>2875</v>
      </c>
      <c r="B1370" t="s">
        <v>2876</v>
      </c>
      <c r="D1370" t="str">
        <f ca="1">IFERROR(__xludf.DUMMYFUNCTION("GOOGLETRANSLATE(B1370,""es"",""en"")"),"Rastrojo partridge")</f>
        <v>Rastrojo partridge</v>
      </c>
      <c r="E1370" t="str">
        <f ca="1">IFERROR(__xludf.DUMMYFUNCTION("GOOGLETRANSLATE(C1370,""es"",""en"")"),"#VALUE!")</f>
        <v>#VALUE!</v>
      </c>
    </row>
    <row r="1371" spans="1:5" ht="13.2" x14ac:dyDescent="0.25">
      <c r="A1371" t="s">
        <v>2877</v>
      </c>
      <c r="B1371" t="s">
        <v>233</v>
      </c>
      <c r="D1371" t="str">
        <f ca="1">IFERROR(__xludf.DUMMYFUNCTION("GOOGLETRANSLATE(B1371,""es"",""en"")"),"Purple")</f>
        <v>Purple</v>
      </c>
      <c r="E1371" t="str">
        <f ca="1">IFERROR(__xludf.DUMMYFUNCTION("GOOGLETRANSLATE(C1371,""es"",""en"")"),"#VALUE!")</f>
        <v>#VALUE!</v>
      </c>
    </row>
    <row r="1372" spans="1:5" ht="13.2" x14ac:dyDescent="0.25">
      <c r="A1372" t="s">
        <v>2878</v>
      </c>
      <c r="B1372" t="s">
        <v>233</v>
      </c>
      <c r="D1372" t="str">
        <f ca="1">IFERROR(__xludf.DUMMYFUNCTION("GOOGLETRANSLATE(B1372,""es"",""en"")"),"Purple")</f>
        <v>Purple</v>
      </c>
      <c r="E1372" t="str">
        <f ca="1">IFERROR(__xludf.DUMMYFUNCTION("GOOGLETRANSLATE(C1372,""es"",""en"")"),"#VALUE!")</f>
        <v>#VALUE!</v>
      </c>
    </row>
    <row r="1373" spans="1:5" ht="13.2" x14ac:dyDescent="0.25">
      <c r="A1373" t="s">
        <v>1453</v>
      </c>
      <c r="B1373" t="s">
        <v>1452</v>
      </c>
      <c r="D1373" t="str">
        <f ca="1">IFERROR(__xludf.DUMMYFUNCTION("GOOGLETRANSLATE(B1373,""es"",""en"")"),"Painted rabbit")</f>
        <v>Painted rabbit</v>
      </c>
      <c r="E1373" t="str">
        <f ca="1">IFERROR(__xludf.DUMMYFUNCTION("GOOGLETRANSLATE(C1373,""es"",""en"")"),"#VALUE!")</f>
        <v>#VALUE!</v>
      </c>
    </row>
    <row r="1374" spans="1:5" ht="13.2" x14ac:dyDescent="0.25">
      <c r="A1374" t="s">
        <v>1451</v>
      </c>
      <c r="B1374" t="s">
        <v>1452</v>
      </c>
      <c r="D1374" t="str">
        <f ca="1">IFERROR(__xludf.DUMMYFUNCTION("GOOGLETRANSLATE(B1374,""es"",""en"")"),"Painted rabbit")</f>
        <v>Painted rabbit</v>
      </c>
      <c r="E1374" t="str">
        <f ca="1">IFERROR(__xludf.DUMMYFUNCTION("GOOGLETRANSLATE(C1374,""es"",""en"")"),"#VALUE!")</f>
        <v>#VALUE!</v>
      </c>
    </row>
    <row r="1375" spans="1:5" ht="13.2" x14ac:dyDescent="0.25">
      <c r="A1375" t="s">
        <v>2879</v>
      </c>
      <c r="B1375" t="s">
        <v>1198</v>
      </c>
      <c r="C1375" t="s">
        <v>2880</v>
      </c>
      <c r="D1375" t="str">
        <f ca="1">IFERROR(__xludf.DUMMYFUNCTION("GOOGLETRANSLATE(B1375,""es"",""en"")"),"No")</f>
        <v>No</v>
      </c>
      <c r="E1375" t="str">
        <f ca="1">IFERROR(__xludf.DUMMYFUNCTION("GOOGLETRANSLATE(C1375,""es"",""en"")")," Do not want something ,,,,")</f>
        <v xml:space="preserve"> Do not want something ,,,,</v>
      </c>
    </row>
    <row r="1376" spans="1:5" ht="13.2" x14ac:dyDescent="0.25">
      <c r="A1376" t="s">
        <v>2881</v>
      </c>
      <c r="B1376" t="s">
        <v>1198</v>
      </c>
      <c r="C1376" t="s">
        <v>2880</v>
      </c>
      <c r="D1376" t="str">
        <f ca="1">IFERROR(__xludf.DUMMYFUNCTION("GOOGLETRANSLATE(B1376,""es"",""en"")"),"No")</f>
        <v>No</v>
      </c>
      <c r="E1376" t="str">
        <f ca="1">IFERROR(__xludf.DUMMYFUNCTION("GOOGLETRANSLATE(C1376,""es"",""en"")")," Do not want something ,,,,")</f>
        <v xml:space="preserve"> Do not want something ,,,,</v>
      </c>
    </row>
    <row r="1377" spans="1:5" ht="13.2" x14ac:dyDescent="0.25">
      <c r="A1377" t="s">
        <v>2882</v>
      </c>
      <c r="B1377" t="s">
        <v>2883</v>
      </c>
      <c r="C1377" t="s">
        <v>2884</v>
      </c>
      <c r="D1377" t="str">
        <f ca="1">IFERROR(__xludf.DUMMYFUNCTION("GOOGLETRANSLATE(B1377,""es"",""en"")"),"Bun")</f>
        <v>Bun</v>
      </c>
      <c r="E1377" t="str">
        <f ca="1">IFERROR(__xludf.DUMMYFUNCTION("GOOGLETRANSLATE(C1377,""es"",""en"")"),"Primate ,,,,")</f>
        <v>Primate ,,,,</v>
      </c>
    </row>
    <row r="1378" spans="1:5" ht="13.2" x14ac:dyDescent="0.25">
      <c r="A1378" t="s">
        <v>2885</v>
      </c>
      <c r="B1378" t="s">
        <v>2886</v>
      </c>
      <c r="D1378" t="str">
        <f ca="1">IFERROR(__xludf.DUMMYFUNCTION("GOOGLETRANSLATE(B1378,""es"",""en"")"),"Harpy eagle")</f>
        <v>Harpy eagle</v>
      </c>
      <c r="E1378" t="str">
        <f ca="1">IFERROR(__xludf.DUMMYFUNCTION("GOOGLETRANSLATE(C1378,""es"",""en"")"),"#VALUE!")</f>
        <v>#VALUE!</v>
      </c>
    </row>
    <row r="1379" spans="1:5" ht="13.2" x14ac:dyDescent="0.25">
      <c r="A1379" t="s">
        <v>2887</v>
      </c>
      <c r="B1379" t="s">
        <v>2888</v>
      </c>
      <c r="C1379" t="s">
        <v>2889</v>
      </c>
      <c r="D1379" t="str">
        <f ca="1">IFERROR(__xludf.DUMMYFUNCTION("GOOGLETRANSLATE(B1379,""es"",""en"")"),"Handful")</f>
        <v>Handful</v>
      </c>
      <c r="E1379" t="str">
        <f ca="1">IFERROR(__xludf.DUMMYFUNCTION("GOOGLETRANSLATE(C1379,""es"",""en"")"),"A bunch, , , ,")</f>
        <v>A bunch, , , ,</v>
      </c>
    </row>
    <row r="1380" spans="1:5" ht="13.2" x14ac:dyDescent="0.25">
      <c r="A1380" t="s">
        <v>2890</v>
      </c>
      <c r="B1380" t="s">
        <v>2891</v>
      </c>
      <c r="D1380" t="str">
        <f ca="1">IFERROR(__xludf.DUMMYFUNCTION("GOOGLETRANSLATE(B1380,""es"",""en"")"),"Eagle")</f>
        <v>Eagle</v>
      </c>
      <c r="E1380" t="str">
        <f ca="1">IFERROR(__xludf.DUMMYFUNCTION("GOOGLETRANSLATE(C1380,""es"",""en"")"),"#VALUE!")</f>
        <v>#VALUE!</v>
      </c>
    </row>
    <row r="1381" spans="1:5" ht="13.2" x14ac:dyDescent="0.25">
      <c r="A1381" t="s">
        <v>2892</v>
      </c>
      <c r="B1381" t="s">
        <v>2893</v>
      </c>
      <c r="C1381" t="s">
        <v>2894</v>
      </c>
      <c r="D1381" t="str">
        <f ca="1">IFERROR(__xludf.DUMMYFUNCTION("GOOGLETRANSLATE(B1381,""es"",""en"")"),"Talk")</f>
        <v>Talk</v>
      </c>
      <c r="E1381" t="str">
        <f ca="1">IFERROR(__xludf.DUMMYFUNCTION("GOOGLETRANSLATE(C1381,""es"",""en"")"),"Express, language, prayer,")</f>
        <v>Express, language, prayer,</v>
      </c>
    </row>
    <row r="1382" spans="1:5" ht="13.2" x14ac:dyDescent="0.25">
      <c r="A1382" t="s">
        <v>2895</v>
      </c>
      <c r="B1382" t="s">
        <v>1860</v>
      </c>
      <c r="C1382" t="s">
        <v>2896</v>
      </c>
      <c r="D1382" t="str">
        <f ca="1">IFERROR(__xludf.DUMMYFUNCTION("GOOGLETRANSLATE(B1382,""es"",""en"")"),"Excellent")</f>
        <v>Excellent</v>
      </c>
      <c r="E1382" t="str">
        <f ca="1">IFERROR(__xludf.DUMMYFUNCTION("GOOGLETRANSLATE(C1382,""es"",""en"")"),"Optimo ,,,,")</f>
        <v>Optimo ,,,,</v>
      </c>
    </row>
    <row r="1383" spans="1:5" ht="13.2" x14ac:dyDescent="0.25">
      <c r="A1383" t="s">
        <v>941</v>
      </c>
      <c r="B1383" t="s">
        <v>937</v>
      </c>
      <c r="C1383" t="s">
        <v>2897</v>
      </c>
      <c r="D1383" t="str">
        <f ca="1">IFERROR(__xludf.DUMMYFUNCTION("GOOGLETRANSLATE(B1383,""es"",""en"")"),"Bad")</f>
        <v>Bad</v>
      </c>
      <c r="E1383" t="str">
        <f ca="1">IFERROR(__xludf.DUMMYFUNCTION("GOOGLETRANSLATE(C1383,""es"",""en"")"),"Damaged, ugly ,,,,")</f>
        <v>Damaged, ugly ,,,,</v>
      </c>
    </row>
    <row r="1384" spans="1:5" ht="13.2" x14ac:dyDescent="0.25">
      <c r="A1384" t="s">
        <v>939</v>
      </c>
      <c r="B1384" t="s">
        <v>937</v>
      </c>
      <c r="C1384" t="s">
        <v>2897</v>
      </c>
      <c r="D1384" t="str">
        <f ca="1">IFERROR(__xludf.DUMMYFUNCTION("GOOGLETRANSLATE(B1384,""es"",""en"")"),"Bad")</f>
        <v>Bad</v>
      </c>
      <c r="E1384" t="str">
        <f ca="1">IFERROR(__xludf.DUMMYFUNCTION("GOOGLETRANSLATE(C1384,""es"",""en"")"),"Damaged, ugly ,,,,")</f>
        <v>Damaged, ugly ,,,,</v>
      </c>
    </row>
    <row r="1385" spans="1:5" ht="13.2" x14ac:dyDescent="0.25">
      <c r="A1385" t="s">
        <v>2898</v>
      </c>
      <c r="B1385" t="s">
        <v>2899</v>
      </c>
      <c r="D1385" t="str">
        <f ca="1">IFERROR(__xludf.DUMMYFUNCTION("GOOGLETRANSLATE(B1385,""es"",""en"")"),"Bunch")</f>
        <v>Bunch</v>
      </c>
      <c r="E1385" t="str">
        <f ca="1">IFERROR(__xludf.DUMMYFUNCTION("GOOGLETRANSLATE(C1385,""es"",""en"")"),"#VALUE!")</f>
        <v>#VALUE!</v>
      </c>
    </row>
    <row r="1386" spans="1:5" ht="13.2" x14ac:dyDescent="0.25">
      <c r="A1386" t="s">
        <v>2900</v>
      </c>
      <c r="B1386" t="s">
        <v>2899</v>
      </c>
      <c r="D1386" t="str">
        <f ca="1">IFERROR(__xludf.DUMMYFUNCTION("GOOGLETRANSLATE(B1386,""es"",""en"")"),"Bunch")</f>
        <v>Bunch</v>
      </c>
      <c r="E1386" t="str">
        <f ca="1">IFERROR(__xludf.DUMMYFUNCTION("GOOGLETRANSLATE(C1386,""es"",""en"")"),"#VALUE!")</f>
        <v>#VALUE!</v>
      </c>
    </row>
    <row r="1387" spans="1:5" ht="13.2" x14ac:dyDescent="0.25">
      <c r="A1387" t="s">
        <v>2901</v>
      </c>
      <c r="B1387" t="s">
        <v>2899</v>
      </c>
      <c r="D1387" t="str">
        <f ca="1">IFERROR(__xludf.DUMMYFUNCTION("GOOGLETRANSLATE(B1387,""es"",""en"")"),"Bunch")</f>
        <v>Bunch</v>
      </c>
      <c r="E1387" t="str">
        <f ca="1">IFERROR(__xludf.DUMMYFUNCTION("GOOGLETRANSLATE(C1387,""es"",""en"")"),"#VALUE!")</f>
        <v>#VALUE!</v>
      </c>
    </row>
    <row r="1388" spans="1:5" ht="13.2" x14ac:dyDescent="0.25">
      <c r="A1388" t="s">
        <v>2484</v>
      </c>
      <c r="B1388" t="s">
        <v>2483</v>
      </c>
      <c r="D1388" t="str">
        <f ca="1">IFERROR(__xludf.DUMMYFUNCTION("GOOGLETRANSLATE(B1388,""es"",""en"")"),"Arm")</f>
        <v>Arm</v>
      </c>
      <c r="E1388" t="str">
        <f ca="1">IFERROR(__xludf.DUMMYFUNCTION("GOOGLETRANSLATE(C1388,""es"",""en"")"),"#VALUE!")</f>
        <v>#VALUE!</v>
      </c>
    </row>
    <row r="1389" spans="1:5" ht="13.2" x14ac:dyDescent="0.25">
      <c r="A1389" t="s">
        <v>2485</v>
      </c>
      <c r="B1389" t="s">
        <v>2483</v>
      </c>
      <c r="D1389" t="str">
        <f ca="1">IFERROR(__xludf.DUMMYFUNCTION("GOOGLETRANSLATE(B1389,""es"",""en"")"),"Arm")</f>
        <v>Arm</v>
      </c>
      <c r="E1389" t="str">
        <f ca="1">IFERROR(__xludf.DUMMYFUNCTION("GOOGLETRANSLATE(C1389,""es"",""en"")"),"#VALUE!")</f>
        <v>#VALUE!</v>
      </c>
    </row>
    <row r="1390" spans="1:5" ht="13.2" x14ac:dyDescent="0.25">
      <c r="A1390" t="s">
        <v>2902</v>
      </c>
      <c r="B1390" t="s">
        <v>2903</v>
      </c>
      <c r="C1390" t="s">
        <v>2904</v>
      </c>
      <c r="D1390" t="str">
        <f ca="1">IFERROR(__xludf.DUMMYFUNCTION("GOOGLETRANSLATE(B1390,""es"",""en"")"),"Rib")</f>
        <v>Rib</v>
      </c>
      <c r="E1390" t="str">
        <f ca="1">IFERROR(__xludf.DUMMYFUNCTION("GOOGLETRANSLATE(C1390,""es"",""en"")"),"Interpreter of Sagla's song ,,,,")</f>
        <v>Interpreter of Sagla's song ,,,,</v>
      </c>
    </row>
    <row r="1391" spans="1:5" ht="13.2" x14ac:dyDescent="0.25">
      <c r="A1391" t="s">
        <v>2482</v>
      </c>
      <c r="B1391" t="s">
        <v>2483</v>
      </c>
      <c r="D1391" t="str">
        <f ca="1">IFERROR(__xludf.DUMMYFUNCTION("GOOGLETRANSLATE(B1391,""es"",""en"")"),"Arm")</f>
        <v>Arm</v>
      </c>
      <c r="E1391" t="str">
        <f ca="1">IFERROR(__xludf.DUMMYFUNCTION("GOOGLETRANSLATE(C1391,""es"",""en"")"),"#VALUE!")</f>
        <v>#VALUE!</v>
      </c>
    </row>
    <row r="1392" spans="1:5" ht="13.2" x14ac:dyDescent="0.25">
      <c r="A1392" t="s">
        <v>1821</v>
      </c>
      <c r="B1392" t="s">
        <v>1818</v>
      </c>
      <c r="C1392" t="s">
        <v>1819</v>
      </c>
      <c r="D1392" t="str">
        <f ca="1">IFERROR(__xludf.DUMMYFUNCTION("GOOGLETRANSLATE(B1392,""es"",""en"")"),"Ladle")</f>
        <v>Ladle</v>
      </c>
      <c r="E1392" t="str">
        <f ca="1">IFERROR(__xludf.DUMMYFUNCTION("GOOGLETRANSLATE(C1392,""es"",""en"")"),"Cacillo, saucepan ,,,,")</f>
        <v>Cacillo, saucepan ,,,,</v>
      </c>
    </row>
    <row r="1393" spans="1:5" ht="13.2" x14ac:dyDescent="0.25">
      <c r="A1393" t="s">
        <v>2905</v>
      </c>
      <c r="B1393" t="s">
        <v>1818</v>
      </c>
      <c r="C1393" t="s">
        <v>1819</v>
      </c>
      <c r="D1393" t="str">
        <f ca="1">IFERROR(__xludf.DUMMYFUNCTION("GOOGLETRANSLATE(B1393,""es"",""en"")"),"Ladle")</f>
        <v>Ladle</v>
      </c>
      <c r="E1393" t="str">
        <f ca="1">IFERROR(__xludf.DUMMYFUNCTION("GOOGLETRANSLATE(C1393,""es"",""en"")"),"Cacillo, saucepan ,,,,")</f>
        <v>Cacillo, saucepan ,,,,</v>
      </c>
    </row>
    <row r="1394" spans="1:5" ht="13.2" x14ac:dyDescent="0.25">
      <c r="A1394" t="s">
        <v>1823</v>
      </c>
      <c r="B1394" t="s">
        <v>1818</v>
      </c>
      <c r="D1394" t="str">
        <f ca="1">IFERROR(__xludf.DUMMYFUNCTION("GOOGLETRANSLATE(B1394,""es"",""en"")"),"Ladle")</f>
        <v>Ladle</v>
      </c>
      <c r="E1394" t="str">
        <f ca="1">IFERROR(__xludf.DUMMYFUNCTION("GOOGLETRANSLATE(C1394,""es"",""en"")"),"#VALUE!")</f>
        <v>#VALUE!</v>
      </c>
    </row>
    <row r="1395" spans="1:5" ht="13.2" x14ac:dyDescent="0.25">
      <c r="A1395" t="s">
        <v>1280</v>
      </c>
      <c r="B1395" t="s">
        <v>1278</v>
      </c>
      <c r="C1395" t="s">
        <v>1279</v>
      </c>
      <c r="D1395" t="str">
        <f ca="1">IFERROR(__xludf.DUMMYFUNCTION("GOOGLETRANSLATE(B1395,""es"",""en"")"),"Butterfly")</f>
        <v>Butterfly</v>
      </c>
      <c r="E1395" t="str">
        <f ca="1">IFERROR(__xludf.DUMMYFUNCTION("GOOGLETRANSLATE(C1395,""es"",""en"")"),"Moth, palomilla ,,,")</f>
        <v>Moth, palomilla ,,,</v>
      </c>
    </row>
    <row r="1396" spans="1:5" ht="13.2" x14ac:dyDescent="0.25">
      <c r="A1396" t="s">
        <v>2906</v>
      </c>
      <c r="B1396" t="s">
        <v>1278</v>
      </c>
      <c r="D1396" t="str">
        <f ca="1">IFERROR(__xludf.DUMMYFUNCTION("GOOGLETRANSLATE(B1396,""es"",""en"")"),"Butterfly")</f>
        <v>Butterfly</v>
      </c>
      <c r="E1396" t="str">
        <f ca="1">IFERROR(__xludf.DUMMYFUNCTION("GOOGLETRANSLATE(C1396,""es"",""en"")"),"#VALUE!")</f>
        <v>#VALUE!</v>
      </c>
    </row>
    <row r="1397" spans="1:5" ht="13.2" x14ac:dyDescent="0.25">
      <c r="A1397" t="s">
        <v>1277</v>
      </c>
      <c r="B1397" t="s">
        <v>1278</v>
      </c>
      <c r="D1397" t="str">
        <f ca="1">IFERROR(__xludf.DUMMYFUNCTION("GOOGLETRANSLATE(B1397,""es"",""en"")"),"Butterfly")</f>
        <v>Butterfly</v>
      </c>
      <c r="E1397" t="str">
        <f ca="1">IFERROR(__xludf.DUMMYFUNCTION("GOOGLETRANSLATE(C1397,""es"",""en"")"),"#VALUE!")</f>
        <v>#VALUE!</v>
      </c>
    </row>
    <row r="1398" spans="1:5" ht="13.2" x14ac:dyDescent="0.25">
      <c r="A1398" t="s">
        <v>2907</v>
      </c>
      <c r="B1398" t="s">
        <v>2908</v>
      </c>
      <c r="D1398" t="str">
        <f ca="1">IFERROR(__xludf.DUMMYFUNCTION("GOOGLETRANSLATE(B1398,""es"",""en"")"),"Brother said by a woman")</f>
        <v>Brother said by a woman</v>
      </c>
      <c r="E1398" t="str">
        <f ca="1">IFERROR(__xludf.DUMMYFUNCTION("GOOGLETRANSLATE(C1398,""es"",""en"")"),"#VALUE!")</f>
        <v>#VALUE!</v>
      </c>
    </row>
    <row r="1399" spans="1:5" ht="13.2" x14ac:dyDescent="0.25">
      <c r="A1399" t="s">
        <v>2909</v>
      </c>
      <c r="B1399" t="s">
        <v>2910</v>
      </c>
      <c r="C1399" t="s">
        <v>2911</v>
      </c>
      <c r="D1399" t="str">
        <f ca="1">IFERROR(__xludf.DUMMYFUNCTION("GOOGLETRANSLATE(B1399,""es"",""en"")"),"Weevil")</f>
        <v>Weevil</v>
      </c>
      <c r="E1399" t="str">
        <f ca="1">IFERROR(__xludf.DUMMYFUNCTION("GOOGLETRANSLATE(C1399,""es"",""en"")"),"Comején ,,,,")</f>
        <v>Comején ,,,,</v>
      </c>
    </row>
    <row r="1400" spans="1:5" ht="13.2" x14ac:dyDescent="0.25">
      <c r="A1400" t="s">
        <v>2912</v>
      </c>
      <c r="B1400" t="s">
        <v>2903</v>
      </c>
      <c r="C1400" t="s">
        <v>2913</v>
      </c>
      <c r="D1400" t="str">
        <f ca="1">IFERROR(__xludf.DUMMYFUNCTION("GOOGLETRANSLATE(B1400,""es"",""en"")"),"Rib")</f>
        <v>Rib</v>
      </c>
      <c r="E1400" t="str">
        <f ca="1">IFERROR(__xludf.DUMMYFUNCTION("GOOGLETRANSLATE(C1400,""es"",""en"")"),"Interpreter of the Sagla song ,,,,")</f>
        <v>Interpreter of the Sagla song ,,,,</v>
      </c>
    </row>
    <row r="1401" spans="1:5" ht="13.2" x14ac:dyDescent="0.25">
      <c r="A1401" t="s">
        <v>2914</v>
      </c>
      <c r="B1401" t="s">
        <v>2915</v>
      </c>
      <c r="C1401" t="s">
        <v>2916</v>
      </c>
      <c r="D1401" t="str">
        <f ca="1">IFERROR(__xludf.DUMMYFUNCTION("GOOGLETRANSLATE(B1401,""es"",""en"")"),"Dizzy")</f>
        <v>Dizzy</v>
      </c>
      <c r="E1401" t="str">
        <f ca="1">IFERROR(__xludf.DUMMYFUNCTION("GOOGLETRANSLATE(C1401,""es"",""en"")"),"stunned")</f>
        <v>stunned</v>
      </c>
    </row>
    <row r="1402" spans="1:5" ht="13.2" x14ac:dyDescent="0.25">
      <c r="A1402" t="s">
        <v>2917</v>
      </c>
      <c r="B1402" t="s">
        <v>2915</v>
      </c>
      <c r="C1402" t="s">
        <v>2918</v>
      </c>
      <c r="D1402" t="str">
        <f ca="1">IFERROR(__xludf.DUMMYFUNCTION("GOOGLETRANSLATE(B1402,""es"",""en"")"),"Dizzy")</f>
        <v>Dizzy</v>
      </c>
      <c r="E1402" t="str">
        <f ca="1">IFERROR(__xludf.DUMMYFUNCTION("GOOGLETRANSLATE(C1402,""es"",""en"")"),"Drunk, , , ,")</f>
        <v>Drunk, , , ,</v>
      </c>
    </row>
    <row r="1403" spans="1:5" ht="13.2" x14ac:dyDescent="0.25">
      <c r="A1403" t="s">
        <v>2919</v>
      </c>
      <c r="B1403" t="s">
        <v>2920</v>
      </c>
      <c r="C1403" t="s">
        <v>2921</v>
      </c>
      <c r="D1403" t="str">
        <f ca="1">IFERROR(__xludf.DUMMYFUNCTION("GOOGLETRANSLATE(B1403,""es"",""en"")"),"To spill")</f>
        <v>To spill</v>
      </c>
      <c r="E1403" t="str">
        <f ca="1">IFERROR(__xludf.DUMMYFUNCTION("GOOGLETRANSLATE(C1403,""es"",""en"")"),"Sweat, spill sweat ,,,")</f>
        <v>Sweat, spill sweat ,,,</v>
      </c>
    </row>
    <row r="1404" spans="1:5" ht="13.2" x14ac:dyDescent="0.25">
      <c r="A1404" t="s">
        <v>2922</v>
      </c>
      <c r="B1404" t="s">
        <v>2923</v>
      </c>
      <c r="D1404" t="str">
        <f ca="1">IFERROR(__xludf.DUMMYFUNCTION("GOOGLETRANSLATE(B1404,""es"",""en"")"),"Stick")</f>
        <v>Stick</v>
      </c>
      <c r="E1404" t="str">
        <f ca="1">IFERROR(__xludf.DUMMYFUNCTION("GOOGLETRANSLATE(C1404,""es"",""en"")"),"#VALUE!")</f>
        <v>#VALUE!</v>
      </c>
    </row>
    <row r="1405" spans="1:5" ht="13.2" x14ac:dyDescent="0.25">
      <c r="A1405" t="s">
        <v>2924</v>
      </c>
      <c r="B1405" t="s">
        <v>2925</v>
      </c>
      <c r="D1405" t="str">
        <f ca="1">IFERROR(__xludf.DUMMYFUNCTION("GOOGLETRANSLATE(B1405,""es"",""en"")"),"Wooden vessel")</f>
        <v>Wooden vessel</v>
      </c>
      <c r="E1405" t="str">
        <f ca="1">IFERROR(__xludf.DUMMYFUNCTION("GOOGLETRANSLATE(C1405,""es"",""en"")"),"#VALUE!")</f>
        <v>#VALUE!</v>
      </c>
    </row>
    <row r="1406" spans="1:5" ht="13.2" x14ac:dyDescent="0.25">
      <c r="A1406" t="s">
        <v>2926</v>
      </c>
      <c r="B1406" t="s">
        <v>2927</v>
      </c>
      <c r="D1406" t="str">
        <f ca="1">IFERROR(__xludf.DUMMYFUNCTION("GOOGLETRANSLATE(B1406,""es"",""en"")"),"Wooden vessel")</f>
        <v>Wooden vessel</v>
      </c>
      <c r="E1406" t="str">
        <f ca="1">IFERROR(__xludf.DUMMYFUNCTION("GOOGLETRANSLATE(C1406,""es"",""en"")"),"#VALUE!")</f>
        <v>#VALUE!</v>
      </c>
    </row>
    <row r="1407" spans="1:5" ht="13.2" x14ac:dyDescent="0.25">
      <c r="A1407" t="s">
        <v>2928</v>
      </c>
      <c r="B1407" t="s">
        <v>2929</v>
      </c>
      <c r="D1407" t="str">
        <f ca="1">IFERROR(__xludf.DUMMYFUNCTION("GOOGLETRANSLATE(B1407,""es"",""en"")"),"Custodian and Guardian of the Community")</f>
        <v>Custodian and Guardian of the Community</v>
      </c>
      <c r="E1407" t="str">
        <f ca="1">IFERROR(__xludf.DUMMYFUNCTION("GOOGLETRANSLATE(C1407,""es"",""en"")"),"#VALUE!")</f>
        <v>#VALUE!</v>
      </c>
    </row>
    <row r="1408" spans="1:5" ht="13.2" x14ac:dyDescent="0.25">
      <c r="A1408" t="s">
        <v>444</v>
      </c>
      <c r="B1408" t="s">
        <v>441</v>
      </c>
      <c r="D1408" t="str">
        <f ca="1">IFERROR(__xludf.DUMMYFUNCTION("GOOGLETRANSLATE(B1408,""es"",""en"")"),"Slippery")</f>
        <v>Slippery</v>
      </c>
      <c r="E1408" t="str">
        <f ca="1">IFERROR(__xludf.DUMMYFUNCTION("GOOGLETRANSLATE(C1408,""es"",""en"")"),"#VALUE!")</f>
        <v>#VALUE!</v>
      </c>
    </row>
    <row r="1409" spans="1:5" ht="13.2" x14ac:dyDescent="0.25">
      <c r="A1409" t="s">
        <v>440</v>
      </c>
      <c r="B1409" t="s">
        <v>441</v>
      </c>
      <c r="D1409" t="str">
        <f ca="1">IFERROR(__xludf.DUMMYFUNCTION("GOOGLETRANSLATE(B1409,""es"",""en"")"),"Slippery")</f>
        <v>Slippery</v>
      </c>
      <c r="E1409" t="str">
        <f ca="1">IFERROR(__xludf.DUMMYFUNCTION("GOOGLETRANSLATE(C1409,""es"",""en"")"),"#VALUE!")</f>
        <v>#VALUE!</v>
      </c>
    </row>
    <row r="1410" spans="1:5" ht="13.2" x14ac:dyDescent="0.25">
      <c r="A1410" t="s">
        <v>443</v>
      </c>
      <c r="B1410" t="s">
        <v>441</v>
      </c>
      <c r="D1410" t="str">
        <f ca="1">IFERROR(__xludf.DUMMYFUNCTION("GOOGLETRANSLATE(B1410,""es"",""en"")"),"Slippery")</f>
        <v>Slippery</v>
      </c>
      <c r="E1410" t="str">
        <f ca="1">IFERROR(__xludf.DUMMYFUNCTION("GOOGLETRANSLATE(C1410,""es"",""en"")"),"#VALUE!")</f>
        <v>#VALUE!</v>
      </c>
    </row>
    <row r="1411" spans="1:5" ht="13.2" x14ac:dyDescent="0.25">
      <c r="A1411" t="s">
        <v>2930</v>
      </c>
      <c r="B1411" t="s">
        <v>2931</v>
      </c>
      <c r="D1411" t="str">
        <f ca="1">IFERROR(__xludf.DUMMYFUNCTION("GOOGLETRANSLATE(B1411,""es"",""en"")"),"Iguana")</f>
        <v>Iguana</v>
      </c>
      <c r="E1411" t="str">
        <f ca="1">IFERROR(__xludf.DUMMYFUNCTION("GOOGLETRANSLATE(C1411,""es"",""en"")"),"#VALUE!")</f>
        <v>#VALUE!</v>
      </c>
    </row>
    <row r="1412" spans="1:5" ht="13.2" x14ac:dyDescent="0.25">
      <c r="A1412" t="s">
        <v>2932</v>
      </c>
      <c r="B1412" t="s">
        <v>2933</v>
      </c>
      <c r="D1412" t="str">
        <f ca="1">IFERROR(__xludf.DUMMYFUNCTION("GOOGLETRANSLATE(B1412,""es"",""en"")"),"Musical instrument made of bamboo")</f>
        <v>Musical instrument made of bamboo</v>
      </c>
      <c r="E1412" t="str">
        <f ca="1">IFERROR(__xludf.DUMMYFUNCTION("GOOGLETRANSLATE(C1412,""es"",""en"")"),"#VALUE!")</f>
        <v>#VALUE!</v>
      </c>
    </row>
    <row r="1413" spans="1:5" ht="13.2" x14ac:dyDescent="0.25">
      <c r="A1413" t="s">
        <v>2934</v>
      </c>
      <c r="B1413" t="s">
        <v>2935</v>
      </c>
      <c r="C1413" t="s">
        <v>2936</v>
      </c>
      <c r="D1413" t="str">
        <f ca="1">IFERROR(__xludf.DUMMYFUNCTION("GOOGLETRANSLATE(B1413,""es"",""en"")"),"Be lost")</f>
        <v>Be lost</v>
      </c>
      <c r="E1413" t="str">
        <f ca="1">IFERROR(__xludf.DUMMYFUNCTION("GOOGLETRANSLATE(C1413,""es"",""en"")"),"Die, die ,,,,")</f>
        <v>Die, die ,,,,</v>
      </c>
    </row>
    <row r="1414" spans="1:5" ht="13.2" x14ac:dyDescent="0.25">
      <c r="A1414" t="s">
        <v>2937</v>
      </c>
      <c r="B1414" t="s">
        <v>2938</v>
      </c>
      <c r="D1414" t="str">
        <f ca="1">IFERROR(__xludf.DUMMYFUNCTION("GOOGLETRANSLATE(B1414,""es"",""en"")"),"Soursop")</f>
        <v>Soursop</v>
      </c>
      <c r="E1414" t="str">
        <f ca="1">IFERROR(__xludf.DUMMYFUNCTION("GOOGLETRANSLATE(C1414,""es"",""en"")"),"#VALUE!")</f>
        <v>#VALUE!</v>
      </c>
    </row>
    <row r="1415" spans="1:5" ht="13.2" x14ac:dyDescent="0.25">
      <c r="A1415" t="s">
        <v>2939</v>
      </c>
      <c r="B1415" t="s">
        <v>856</v>
      </c>
      <c r="C1415" t="s">
        <v>2940</v>
      </c>
      <c r="D1415" t="str">
        <f ca="1">IFERROR(__xludf.DUMMYFUNCTION("GOOGLETRANSLATE(B1415,""es"",""en"")"),"Straight")</f>
        <v>Straight</v>
      </c>
      <c r="E1415" t="str">
        <f ca="1">IFERROR(__xludf.DUMMYFUNCTION("GOOGLETRANSLATE(C1415,""es"",""en"")"),"No defect, clean ,,,,")</f>
        <v>No defect, clean ,,,,</v>
      </c>
    </row>
    <row r="1416" spans="1:5" ht="13.2" x14ac:dyDescent="0.25">
      <c r="A1416" t="s">
        <v>2941</v>
      </c>
      <c r="B1416" t="s">
        <v>856</v>
      </c>
      <c r="C1416" t="s">
        <v>2940</v>
      </c>
      <c r="D1416" t="str">
        <f ca="1">IFERROR(__xludf.DUMMYFUNCTION("GOOGLETRANSLATE(B1416,""es"",""en"")"),"Straight")</f>
        <v>Straight</v>
      </c>
      <c r="E1416" t="str">
        <f ca="1">IFERROR(__xludf.DUMMYFUNCTION("GOOGLETRANSLATE(C1416,""es"",""en"")"),"No defect, clean ,,,,")</f>
        <v>No defect, clean ,,,,</v>
      </c>
    </row>
    <row r="1417" spans="1:5" ht="13.2" x14ac:dyDescent="0.25">
      <c r="A1417" t="s">
        <v>2942</v>
      </c>
      <c r="B1417" t="s">
        <v>2943</v>
      </c>
      <c r="C1417" t="s">
        <v>2944</v>
      </c>
      <c r="D1417" t="str">
        <f ca="1">IFERROR(__xludf.DUMMYFUNCTION("GOOGLETRANSLATE(B1417,""es"",""en"")"),"Nest")</f>
        <v>Nest</v>
      </c>
      <c r="E1417" t="str">
        <f ca="1">IFERROR(__xludf.DUMMYFUNCTION("GOOGLETRANSLATE(C1417,""es"",""en"")"),"Nest, , , ,")</f>
        <v>Nest, , , ,</v>
      </c>
    </row>
    <row r="1418" spans="1:5" ht="13.2" x14ac:dyDescent="0.25">
      <c r="A1418" t="s">
        <v>2945</v>
      </c>
      <c r="B1418" t="s">
        <v>2946</v>
      </c>
      <c r="D1418" t="str">
        <f ca="1">IFERROR(__xludf.DUMMYFUNCTION("GOOGLETRANSLATE(B1418,""es"",""en"")"),"Nest")</f>
        <v>Nest</v>
      </c>
      <c r="E1418" t="str">
        <f ca="1">IFERROR(__xludf.DUMMYFUNCTION("GOOGLETRANSLATE(C1418,""es"",""en"")"),"#VALUE!")</f>
        <v>#VALUE!</v>
      </c>
    </row>
    <row r="1419" spans="1:5" ht="13.2" x14ac:dyDescent="0.25">
      <c r="A1419" t="s">
        <v>2947</v>
      </c>
      <c r="B1419" t="s">
        <v>2948</v>
      </c>
      <c r="C1419" t="s">
        <v>2949</v>
      </c>
      <c r="D1419" t="str">
        <f ca="1">IFERROR(__xludf.DUMMYFUNCTION("GOOGLETRANSLATE(B1419,""es"",""en"")"),"Fish")</f>
        <v>Fish</v>
      </c>
      <c r="E1419" t="str">
        <f ca="1">IFERROR(__xludf.DUMMYFUNCTION("GOOGLETRANSLATE(C1419,""es"",""en"")"),"Fish, , , ,")</f>
        <v>Fish, , , ,</v>
      </c>
    </row>
    <row r="1420" spans="1:5" ht="13.2" x14ac:dyDescent="0.25">
      <c r="A1420" t="s">
        <v>2950</v>
      </c>
      <c r="B1420" t="s">
        <v>2951</v>
      </c>
      <c r="D1420" t="str">
        <f ca="1">IFERROR(__xludf.DUMMYFUNCTION("GOOGLETRANSLATE(B1420,""es"",""en"")"),"Ear")</f>
        <v>Ear</v>
      </c>
      <c r="E1420" t="str">
        <f ca="1">IFERROR(__xludf.DUMMYFUNCTION("GOOGLETRANSLATE(C1420,""es"",""en"")"),"#VALUE!")</f>
        <v>#VALUE!</v>
      </c>
    </row>
    <row r="1421" spans="1:5" ht="13.2" x14ac:dyDescent="0.25">
      <c r="A1421" t="s">
        <v>2952</v>
      </c>
      <c r="B1421" t="s">
        <v>2951</v>
      </c>
      <c r="D1421" t="str">
        <f ca="1">IFERROR(__xludf.DUMMYFUNCTION("GOOGLETRANSLATE(B1421,""es"",""en"")"),"Ear")</f>
        <v>Ear</v>
      </c>
      <c r="E1421" t="str">
        <f ca="1">IFERROR(__xludf.DUMMYFUNCTION("GOOGLETRANSLATE(C1421,""es"",""en"")"),"#VALUE!")</f>
        <v>#VALUE!</v>
      </c>
    </row>
    <row r="1422" spans="1:5" ht="13.2" x14ac:dyDescent="0.25">
      <c r="A1422" t="s">
        <v>2953</v>
      </c>
      <c r="B1422" t="s">
        <v>2954</v>
      </c>
      <c r="D1422" t="str">
        <f ca="1">IFERROR(__xludf.DUMMYFUNCTION("GOOGLETRANSLATE(B1422,""es"",""en"")"),"Pot")</f>
        <v>Pot</v>
      </c>
      <c r="E1422" t="str">
        <f ca="1">IFERROR(__xludf.DUMMYFUNCTION("GOOGLETRANSLATE(C1422,""es"",""en"")"),"#VALUE!")</f>
        <v>#VALUE!</v>
      </c>
    </row>
    <row r="1423" spans="1:5" ht="13.2" x14ac:dyDescent="0.25">
      <c r="A1423" t="s">
        <v>2955</v>
      </c>
      <c r="B1423" t="s">
        <v>2956</v>
      </c>
      <c r="D1423" t="str">
        <f ca="1">IFERROR(__xludf.DUMMYFUNCTION("GOOGLETRANSLATE(B1423,""es"",""en"")"),"February")</f>
        <v>February</v>
      </c>
      <c r="E1423" t="str">
        <f ca="1">IFERROR(__xludf.DUMMYFUNCTION("GOOGLETRANSLATE(C1423,""es"",""en"")"),"#VALUE!")</f>
        <v>#VALUE!</v>
      </c>
    </row>
    <row r="1424" spans="1:5" ht="13.2" x14ac:dyDescent="0.25">
      <c r="A1424" t="s">
        <v>2957</v>
      </c>
      <c r="B1424" t="s">
        <v>2958</v>
      </c>
      <c r="D1424" t="str">
        <f ca="1">IFERROR(__xludf.DUMMYFUNCTION("GOOGLETRANSLATE(B1424,""es"",""en"")"),"Dolphin")</f>
        <v>Dolphin</v>
      </c>
      <c r="E1424" t="str">
        <f ca="1">IFERROR(__xludf.DUMMYFUNCTION("GOOGLETRANSLATE(C1424,""es"",""en"")"),"#VALUE!")</f>
        <v>#VALUE!</v>
      </c>
    </row>
    <row r="1425" spans="1:5" ht="13.2" x14ac:dyDescent="0.25">
      <c r="A1425" t="s">
        <v>2959</v>
      </c>
      <c r="B1425" t="s">
        <v>2960</v>
      </c>
      <c r="C1425" t="s">
        <v>2961</v>
      </c>
      <c r="D1425" t="str">
        <f ca="1">IFERROR(__xludf.DUMMYFUNCTION("GOOGLETRANSLATE(B1425,""es"",""en"")"),"Ceiling")</f>
        <v>Ceiling</v>
      </c>
      <c r="E1425" t="str">
        <f ca="1">IFERROR(__xludf.DUMMYFUNCTION("GOOGLETRANSLATE(C1425,""es"",""en"")"),"Straw that covers the house ,,,,")</f>
        <v>Straw that covers the house ,,,,</v>
      </c>
    </row>
    <row r="1426" spans="1:5" ht="13.2" x14ac:dyDescent="0.25">
      <c r="A1426" t="s">
        <v>2962</v>
      </c>
      <c r="B1426" t="s">
        <v>2963</v>
      </c>
      <c r="D1426" t="str">
        <f ca="1">IFERROR(__xludf.DUMMYFUNCTION("GOOGLETRANSLATE(B1426,""es"",""en"")"),"Fish fin")</f>
        <v>Fish fin</v>
      </c>
      <c r="E1426" t="str">
        <f ca="1">IFERROR(__xludf.DUMMYFUNCTION("GOOGLETRANSLATE(C1426,""es"",""en"")"),"#VALUE!")</f>
        <v>#VALUE!</v>
      </c>
    </row>
    <row r="1427" spans="1:5" ht="13.2" x14ac:dyDescent="0.25">
      <c r="A1427" t="s">
        <v>2575</v>
      </c>
      <c r="B1427" t="s">
        <v>2576</v>
      </c>
      <c r="D1427" t="str">
        <f ca="1">IFERROR(__xludf.DUMMYFUNCTION("GOOGLETRANSLATE(B1427,""es"",""en"")"),"Fin")</f>
        <v>Fin</v>
      </c>
      <c r="E1427" t="str">
        <f ca="1">IFERROR(__xludf.DUMMYFUNCTION("GOOGLETRANSLATE(C1427,""es"",""en"")"),"#VALUE!")</f>
        <v>#VALUE!</v>
      </c>
    </row>
    <row r="1428" spans="1:5" ht="13.2" x14ac:dyDescent="0.25">
      <c r="A1428" t="s">
        <v>2964</v>
      </c>
      <c r="B1428" t="s">
        <v>2965</v>
      </c>
      <c r="D1428" t="str">
        <f ca="1">IFERROR(__xludf.DUMMYFUNCTION("GOOGLETRANSLATE(B1428,""es"",""en"")"),"Ear")</f>
        <v>Ear</v>
      </c>
      <c r="E1428" t="str">
        <f ca="1">IFERROR(__xludf.DUMMYFUNCTION("GOOGLETRANSLATE(C1428,""es"",""en"")"),"#VALUE!")</f>
        <v>#VALUE!</v>
      </c>
    </row>
    <row r="1429" spans="1:5" ht="13.2" x14ac:dyDescent="0.25">
      <c r="A1429" t="s">
        <v>943</v>
      </c>
      <c r="B1429" t="s">
        <v>2966</v>
      </c>
      <c r="D1429" t="str">
        <f ca="1">IFERROR(__xludf.DUMMYFUNCTION("GOOGLETRANSLATE(B1429,""es"",""en"")"),"Said between men")</f>
        <v>Said between men</v>
      </c>
      <c r="E1429" t="str">
        <f ca="1">IFERROR(__xludf.DUMMYFUNCTION("GOOGLETRANSLATE(C1429,""es"",""en"")"),"#VALUE!")</f>
        <v>#VALUE!</v>
      </c>
    </row>
    <row r="1430" spans="1:5" ht="13.2" x14ac:dyDescent="0.25">
      <c r="A1430" t="s">
        <v>2967</v>
      </c>
      <c r="B1430" t="s">
        <v>943</v>
      </c>
      <c r="D1430" t="str">
        <f ca="1">IFERROR(__xludf.DUMMYFUNCTION("GOOGLETRANSLATE(B1430,""es"",""en"")"),"Brother in law")</f>
        <v>Brother in law</v>
      </c>
      <c r="E1430" t="str">
        <f ca="1">IFERROR(__xludf.DUMMYFUNCTION("GOOGLETRANSLATE(C1430,""es"",""en"")"),"#VALUE!")</f>
        <v>#VALUE!</v>
      </c>
    </row>
    <row r="1431" spans="1:5" ht="13.2" x14ac:dyDescent="0.25">
      <c r="A1431" t="s">
        <v>2968</v>
      </c>
      <c r="B1431" t="s">
        <v>2969</v>
      </c>
      <c r="D1431" t="str">
        <f ca="1">IFERROR(__xludf.DUMMYFUNCTION("GOOGLETRANSLATE(B1431,""es"",""en"")"),"Front or rear eaves of the house")</f>
        <v>Front or rear eaves of the house</v>
      </c>
      <c r="E1431" t="str">
        <f ca="1">IFERROR(__xludf.DUMMYFUNCTION("GOOGLETRANSLATE(C1431,""es"",""en"")"),"#VALUE!")</f>
        <v>#VALUE!</v>
      </c>
    </row>
    <row r="1432" spans="1:5" ht="13.2" x14ac:dyDescent="0.25">
      <c r="A1432" t="s">
        <v>2970</v>
      </c>
      <c r="B1432" t="s">
        <v>2971</v>
      </c>
      <c r="D1432" t="str">
        <f ca="1">IFERROR(__xludf.DUMMYFUNCTION("GOOGLETRANSLATE(B1432,""es"",""en"")"),"Front eaves of the house")</f>
        <v>Front eaves of the house</v>
      </c>
      <c r="E1432" t="str">
        <f ca="1">IFERROR(__xludf.DUMMYFUNCTION("GOOGLETRANSLATE(C1432,""es"",""en"")"),"#VALUE!")</f>
        <v>#VALUE!</v>
      </c>
    </row>
    <row r="1433" spans="1:5" ht="13.2" x14ac:dyDescent="0.25">
      <c r="A1433" t="s">
        <v>2972</v>
      </c>
      <c r="B1433" t="s">
        <v>2973</v>
      </c>
      <c r="D1433" t="str">
        <f ca="1">IFERROR(__xludf.DUMMYFUNCTION("GOOGLETRANSLATE(B1433,""es"",""en"")"),"Roasted cornmeal")</f>
        <v>Roasted cornmeal</v>
      </c>
      <c r="E1433" t="str">
        <f ca="1">IFERROR(__xludf.DUMMYFUNCTION("GOOGLETRANSLATE(C1433,""es"",""en"")"),"#VALUE!")</f>
        <v>#VALUE!</v>
      </c>
    </row>
    <row r="1434" spans="1:5" ht="13.2" x14ac:dyDescent="0.25">
      <c r="A1434" t="s">
        <v>2974</v>
      </c>
      <c r="B1434" t="s">
        <v>2975</v>
      </c>
      <c r="D1434" t="str">
        <f ca="1">IFERROR(__xludf.DUMMYFUNCTION("GOOGLETRANSLATE(B1434,""es"",""en"")"),"Run")</f>
        <v>Run</v>
      </c>
      <c r="E1434" t="str">
        <f ca="1">IFERROR(__xludf.DUMMYFUNCTION("GOOGLETRANSLATE(C1434,""es"",""en"")"),"#VALUE!")</f>
        <v>#VALUE!</v>
      </c>
    </row>
    <row r="1435" spans="1:5" ht="13.2" x14ac:dyDescent="0.25">
      <c r="A1435" t="s">
        <v>2976</v>
      </c>
      <c r="B1435" t="s">
        <v>2977</v>
      </c>
      <c r="D1435" t="str">
        <f ca="1">IFERROR(__xludf.DUMMYFUNCTION("GOOGLETRANSLATE(B1435,""es"",""en"")"),"Spill")</f>
        <v>Spill</v>
      </c>
      <c r="E1435" t="str">
        <f ca="1">IFERROR(__xludf.DUMMYFUNCTION("GOOGLETRANSLATE(C1435,""es"",""en"")"),"#VALUE!")</f>
        <v>#VALUE!</v>
      </c>
    </row>
    <row r="1436" spans="1:5" ht="13.2" x14ac:dyDescent="0.25">
      <c r="A1436" t="s">
        <v>1526</v>
      </c>
      <c r="B1436" t="s">
        <v>1524</v>
      </c>
      <c r="C1436" t="s">
        <v>2978</v>
      </c>
      <c r="D1436" t="str">
        <f ca="1">IFERROR(__xludf.DUMMYFUNCTION("GOOGLETRANSLATE(B1436,""es"",""en"")"),"Grind")</f>
        <v>Grind</v>
      </c>
      <c r="E1436" t="str">
        <f ca="1">IFERROR(__xludf.DUMMYFUNCTION("GOOGLETRANSLATE(C1436,""es"",""en"")"),"Grind up, , , ,")</f>
        <v>Grind up, , , ,</v>
      </c>
    </row>
    <row r="1437" spans="1:5" ht="13.2" x14ac:dyDescent="0.25">
      <c r="A1437" t="s">
        <v>1523</v>
      </c>
      <c r="B1437" t="s">
        <v>1524</v>
      </c>
      <c r="D1437" t="str">
        <f ca="1">IFERROR(__xludf.DUMMYFUNCTION("GOOGLETRANSLATE(B1437,""es"",""en"")"),"Grind")</f>
        <v>Grind</v>
      </c>
      <c r="E1437" t="str">
        <f ca="1">IFERROR(__xludf.DUMMYFUNCTION("GOOGLETRANSLATE(C1437,""es"",""en"")"),"#VALUE!")</f>
        <v>#VALUE!</v>
      </c>
    </row>
    <row r="1438" spans="1:5" ht="13.2" x14ac:dyDescent="0.25">
      <c r="A1438" t="s">
        <v>2979</v>
      </c>
      <c r="B1438" t="s">
        <v>2980</v>
      </c>
      <c r="C1438" t="s">
        <v>2981</v>
      </c>
      <c r="D1438" t="str">
        <f ca="1">IFERROR(__xludf.DUMMYFUNCTION("GOOGLETRANSLATE(B1438,""es"",""en"")"),"Powdered")</f>
        <v>Powdered</v>
      </c>
      <c r="E1438" t="str">
        <f ca="1">IFERROR(__xludf.DUMMYFUNCTION("GOOGLETRANSLATE(C1438,""es"",""en"")"),"Powdered, ground ,,,,")</f>
        <v>Powdered, ground ,,,,</v>
      </c>
    </row>
    <row r="1439" spans="1:5" ht="13.2" x14ac:dyDescent="0.25">
      <c r="A1439" t="s">
        <v>2982</v>
      </c>
      <c r="B1439" t="s">
        <v>2983</v>
      </c>
      <c r="C1439" t="s">
        <v>2984</v>
      </c>
      <c r="D1439" t="str">
        <f ca="1">IFERROR(__xludf.DUMMYFUNCTION("GOOGLETRANSLATE(B1439,""es"",""en"")"),"Get into")</f>
        <v>Get into</v>
      </c>
      <c r="E1439" t="str">
        <f ca="1">IFERROR(__xludf.DUMMYFUNCTION("GOOGLETRANSLATE(C1439,""es"",""en"")"),"Get in, , , ,")</f>
        <v>Get in, , , ,</v>
      </c>
    </row>
    <row r="1440" spans="1:5" ht="13.2" x14ac:dyDescent="0.25">
      <c r="A1440" t="s">
        <v>2985</v>
      </c>
      <c r="B1440" t="s">
        <v>2986</v>
      </c>
      <c r="D1440" t="str">
        <f ca="1">IFERROR(__xludf.DUMMYFUNCTION("GOOGLETRANSLATE(B1440,""es"",""en"")"),"Cotton")</f>
        <v>Cotton</v>
      </c>
      <c r="E1440" t="str">
        <f ca="1">IFERROR(__xludf.DUMMYFUNCTION("GOOGLETRANSLATE(C1440,""es"",""en"")"),"#VALUE!")</f>
        <v>#VALUE!</v>
      </c>
    </row>
    <row r="1441" spans="1:5" ht="13.2" x14ac:dyDescent="0.25">
      <c r="A1441" t="s">
        <v>2987</v>
      </c>
      <c r="B1441" t="s">
        <v>2988</v>
      </c>
      <c r="C1441" t="s">
        <v>2989</v>
      </c>
      <c r="D1441" t="s">
        <v>2990</v>
      </c>
      <c r="E1441" t="str">
        <f ca="1">IFERROR(__xludf.DUMMYFUNCTION("GOOGLETRANSLATE(C1441,""es"",""en"")"),"Of the verb give")</f>
        <v>Of the verb give</v>
      </c>
    </row>
    <row r="1442" spans="1:5" ht="13.2" x14ac:dyDescent="0.25">
      <c r="A1442" t="s">
        <v>2991</v>
      </c>
      <c r="B1442" t="s">
        <v>2988</v>
      </c>
      <c r="C1442" t="s">
        <v>2989</v>
      </c>
      <c r="D1442" t="s">
        <v>2990</v>
      </c>
      <c r="E1442" t="str">
        <f ca="1">IFERROR(__xludf.DUMMYFUNCTION("GOOGLETRANSLATE(C1442,""es"",""en"")"),"Of the verb give")</f>
        <v>Of the verb give</v>
      </c>
    </row>
    <row r="1443" spans="1:5" ht="13.2" x14ac:dyDescent="0.25">
      <c r="A1443" t="s">
        <v>2992</v>
      </c>
      <c r="B1443" t="s">
        <v>2993</v>
      </c>
      <c r="C1443" t="s">
        <v>2994</v>
      </c>
      <c r="D1443" t="str">
        <f ca="1">IFERROR(__xludf.DUMMYFUNCTION("GOOGLETRANSLATE(B1443,""es"",""en"")"),"Pierce")</f>
        <v>Pierce</v>
      </c>
      <c r="E1443" t="str">
        <f ca="1">IFERROR(__xludf.DUMMYFUNCTION("GOOGLETRANSLATE(C1443,""es"",""en"")")," make hole ,,,,")</f>
        <v xml:space="preserve"> make hole ,,,,</v>
      </c>
    </row>
    <row r="1444" spans="1:5" ht="13.2" x14ac:dyDescent="0.25">
      <c r="A1444" t="s">
        <v>2995</v>
      </c>
      <c r="B1444" t="s">
        <v>2996</v>
      </c>
      <c r="D1444" t="str">
        <f ca="1">IFERROR(__xludf.DUMMYFUNCTION("GOOGLETRANSLATE(B1444,""es"",""en"")"),"Drill")</f>
        <v>Drill</v>
      </c>
      <c r="E1444" t="str">
        <f ca="1">IFERROR(__xludf.DUMMYFUNCTION("GOOGLETRANSLATE(C1444,""es"",""en"")"),"#VALUE!")</f>
        <v>#VALUE!</v>
      </c>
    </row>
    <row r="1445" spans="1:5" ht="13.2" x14ac:dyDescent="0.25">
      <c r="A1445" t="s">
        <v>2997</v>
      </c>
      <c r="B1445" t="s">
        <v>2998</v>
      </c>
      <c r="D1445" t="str">
        <f ca="1">IFERROR(__xludf.DUMMYFUNCTION("GOOGLETRANSLATE(B1445,""es"",""en"")"),"Break up")</f>
        <v>Break up</v>
      </c>
      <c r="E1445" t="str">
        <f ca="1">IFERROR(__xludf.DUMMYFUNCTION("GOOGLETRANSLATE(C1445,""es"",""en"")"),"#VALUE!")</f>
        <v>#VALUE!</v>
      </c>
    </row>
    <row r="1446" spans="1:5" ht="13.2" x14ac:dyDescent="0.25">
      <c r="A1446" t="s">
        <v>2999</v>
      </c>
      <c r="B1446" t="s">
        <v>3000</v>
      </c>
      <c r="C1446" t="s">
        <v>3001</v>
      </c>
      <c r="D1446" t="str">
        <f ca="1">IFERROR(__xludf.DUMMYFUNCTION("GOOGLETRANSLATE(B1446,""es"",""en"")"),"Mold")</f>
        <v>Mold</v>
      </c>
      <c r="E1446" t="str">
        <f ca="1">IFERROR(__xludf.DUMMYFUNCTION("GOOGLETRANSLATE(C1446,""es"",""en"")")," Fungus, , , ,")</f>
        <v xml:space="preserve"> Fungus, , , ,</v>
      </c>
    </row>
    <row r="1447" spans="1:5" ht="13.2" x14ac:dyDescent="0.25">
      <c r="A1447" t="s">
        <v>3002</v>
      </c>
      <c r="B1447" t="s">
        <v>3003</v>
      </c>
      <c r="D1447" t="str">
        <f ca="1">IFERROR(__xludf.DUMMYFUNCTION("GOOGLETRANSLATE(B1447,""es"",""en"")"),"Old and rotten trunk")</f>
        <v>Old and rotten trunk</v>
      </c>
      <c r="E1447" t="str">
        <f ca="1">IFERROR(__xludf.DUMMYFUNCTION("GOOGLETRANSLATE(C1447,""es"",""en"")"),"#VALUE!")</f>
        <v>#VALUE!</v>
      </c>
    </row>
    <row r="1448" spans="1:5" ht="13.2" x14ac:dyDescent="0.25">
      <c r="A1448" t="s">
        <v>3004</v>
      </c>
      <c r="B1448" t="s">
        <v>3005</v>
      </c>
      <c r="C1448" t="s">
        <v>3006</v>
      </c>
      <c r="D1448" t="str">
        <f ca="1">IFERROR(__xludf.DUMMYFUNCTION("GOOGLETRANSLATE(B1448,""es"",""en"")"),"Smell")</f>
        <v>Smell</v>
      </c>
      <c r="E1448" t="str">
        <f ca="1">IFERROR(__xludf.DUMMYFUNCTION("GOOGLETRANSLATE(C1448,""es"",""en"")"),"Smell, smoking, fever,")</f>
        <v>Smell, smoking, fever,</v>
      </c>
    </row>
    <row r="1449" spans="1:5" ht="13.2" x14ac:dyDescent="0.25">
      <c r="A1449" t="s">
        <v>3007</v>
      </c>
      <c r="B1449" t="s">
        <v>3008</v>
      </c>
      <c r="C1449" t="s">
        <v>3009</v>
      </c>
      <c r="D1449" t="str">
        <f ca="1">IFERROR(__xludf.DUMMYFUNCTION("GOOGLETRANSLATE(B1449,""es"",""en"")"),"Warm")</f>
        <v>Warm</v>
      </c>
      <c r="E1449" t="str">
        <f ca="1">IFERROR(__xludf.DUMMYFUNCTION("GOOGLETRANSLATE(C1449,""es"",""en"")"),"Warm, not so hot ,,,")</f>
        <v>Warm, not so hot ,,,</v>
      </c>
    </row>
    <row r="1450" spans="1:5" ht="13.2" x14ac:dyDescent="0.25">
      <c r="A1450" t="s">
        <v>3010</v>
      </c>
      <c r="B1450" t="s">
        <v>3008</v>
      </c>
      <c r="C1450" t="s">
        <v>3011</v>
      </c>
      <c r="D1450" t="str">
        <f ca="1">IFERROR(__xludf.DUMMYFUNCTION("GOOGLETRANSLATE(B1450,""es"",""en"")"),"Warm")</f>
        <v>Warm</v>
      </c>
      <c r="E1450" t="str">
        <f ca="1">IFERROR(__xludf.DUMMYFUNCTION("GOOGLETRANSLATE(C1450,""es"",""en"")"),"Warm, , , ,")</f>
        <v>Warm, , , ,</v>
      </c>
    </row>
    <row r="1451" spans="1:5" ht="13.2" x14ac:dyDescent="0.25">
      <c r="A1451" t="s">
        <v>66</v>
      </c>
      <c r="B1451" t="s">
        <v>64</v>
      </c>
      <c r="D1451" t="str">
        <f ca="1">IFERROR(__xludf.DUMMYFUNCTION("GOOGLETRANSLATE(B1451,""es"",""en"")"),"To get sick")</f>
        <v>To get sick</v>
      </c>
      <c r="E1451" t="str">
        <f ca="1">IFERROR(__xludf.DUMMYFUNCTION("GOOGLETRANSLATE(C1451,""es"",""en"")"),"#VALUE!")</f>
        <v>#VALUE!</v>
      </c>
    </row>
    <row r="1452" spans="1:5" ht="13.2" x14ac:dyDescent="0.25">
      <c r="A1452" t="s">
        <v>63</v>
      </c>
      <c r="B1452" t="s">
        <v>3012</v>
      </c>
      <c r="D1452" t="str">
        <f ca="1">IFERROR(__xludf.DUMMYFUNCTION("GOOGLETRANSLATE(B1452,""es"",""en"")"),"To get sick")</f>
        <v>To get sick</v>
      </c>
      <c r="E1452" t="str">
        <f ca="1">IFERROR(__xludf.DUMMYFUNCTION("GOOGLETRANSLATE(C1452,""es"",""en"")"),"#VALUE!")</f>
        <v>#VALUE!</v>
      </c>
    </row>
    <row r="1453" spans="1:5" ht="13.2" x14ac:dyDescent="0.25">
      <c r="A1453" t="s">
        <v>3013</v>
      </c>
      <c r="B1453" t="s">
        <v>3014</v>
      </c>
      <c r="C1453" t="s">
        <v>3015</v>
      </c>
      <c r="D1453" t="str">
        <f ca="1">IFERROR(__xludf.DUMMYFUNCTION("GOOGLETRANSLATE(B1453,""es"",""en"")"),"Burning")</f>
        <v>Burning</v>
      </c>
      <c r="E1453" t="str">
        <f ca="1">IFERROR(__xludf.DUMMYFUNCTION("GOOGLETRANSLATE(C1453,""es"",""en"")"),"Hot, , , ,")</f>
        <v>Hot, , , ,</v>
      </c>
    </row>
    <row r="1454" spans="1:5" ht="13.2" x14ac:dyDescent="0.25">
      <c r="A1454" t="s">
        <v>3016</v>
      </c>
      <c r="B1454" t="s">
        <v>3014</v>
      </c>
      <c r="C1454" t="s">
        <v>3015</v>
      </c>
      <c r="D1454" t="str">
        <f ca="1">IFERROR(__xludf.DUMMYFUNCTION("GOOGLETRANSLATE(B1454,""es"",""en"")"),"Burning")</f>
        <v>Burning</v>
      </c>
      <c r="E1454" t="str">
        <f ca="1">IFERROR(__xludf.DUMMYFUNCTION("GOOGLETRANSLATE(C1454,""es"",""en"")"),"Hot, , , ,")</f>
        <v>Hot, , , ,</v>
      </c>
    </row>
    <row r="1455" spans="1:5" ht="13.2" x14ac:dyDescent="0.25">
      <c r="A1455" t="s">
        <v>3017</v>
      </c>
      <c r="B1455" t="s">
        <v>3014</v>
      </c>
      <c r="C1455" t="s">
        <v>3015</v>
      </c>
      <c r="D1455" t="str">
        <f ca="1">IFERROR(__xludf.DUMMYFUNCTION("GOOGLETRANSLATE(B1455,""es"",""en"")"),"Burning")</f>
        <v>Burning</v>
      </c>
      <c r="E1455" t="str">
        <f ca="1">IFERROR(__xludf.DUMMYFUNCTION("GOOGLETRANSLATE(C1455,""es"",""en"")"),"Hot, , , ,")</f>
        <v>Hot, , , ,</v>
      </c>
    </row>
    <row r="1456" spans="1:5" ht="13.2" x14ac:dyDescent="0.25">
      <c r="A1456" t="s">
        <v>3018</v>
      </c>
      <c r="B1456" t="s">
        <v>3019</v>
      </c>
      <c r="C1456" t="s">
        <v>3020</v>
      </c>
      <c r="D1456" t="str">
        <f ca="1">IFERROR(__xludf.DUMMYFUNCTION("GOOGLETRANSLATE(B1456,""es"",""en"")"),"Ladder")</f>
        <v>Ladder</v>
      </c>
      <c r="E1456" t="str">
        <f ca="1">IFERROR(__xludf.DUMMYFUNCTION("GOOGLETRANSLATE(C1456,""es"",""en"")"),"Staircase ,,,,")</f>
        <v>Staircase ,,,,</v>
      </c>
    </row>
    <row r="1457" spans="1:5" ht="13.2" x14ac:dyDescent="0.25">
      <c r="A1457" t="s">
        <v>3007</v>
      </c>
      <c r="B1457" t="s">
        <v>3021</v>
      </c>
      <c r="C1457" t="s">
        <v>3022</v>
      </c>
      <c r="D1457" t="str">
        <f ca="1">IFERROR(__xludf.DUMMYFUNCTION("GOOGLETRANSLATE(B1457,""es"",""en"")"),"Warm")</f>
        <v>Warm</v>
      </c>
      <c r="E1457" t="str">
        <f ca="1">IFERROR(__xludf.DUMMYFUNCTION("GOOGLETRANSLATE(C1457,""es"",""en"")"),"Not so hot ,,,,")</f>
        <v>Not so hot ,,,,</v>
      </c>
    </row>
    <row r="1458" spans="1:5" ht="13.2" x14ac:dyDescent="0.25">
      <c r="A1458" t="s">
        <v>2864</v>
      </c>
      <c r="B1458" t="s">
        <v>2862</v>
      </c>
      <c r="C1458" t="s">
        <v>2863</v>
      </c>
      <c r="D1458" t="str">
        <f ca="1">IFERROR(__xludf.DUMMYFUNCTION("GOOGLETRANSLATE(B1458,""es"",""en"")"),"Husband")</f>
        <v>Husband</v>
      </c>
      <c r="E1458" t="str">
        <f ca="1">IFERROR(__xludf.DUMMYFUNCTION("GOOGLETRANSLATE(C1458,""es"",""en"")"),"Husband, , , ,")</f>
        <v>Husband, , , ,</v>
      </c>
    </row>
    <row r="1459" spans="1:5" ht="13.2" x14ac:dyDescent="0.25">
      <c r="A1459" t="s">
        <v>2861</v>
      </c>
      <c r="B1459" t="s">
        <v>2862</v>
      </c>
      <c r="C1459" t="s">
        <v>2863</v>
      </c>
      <c r="D1459" t="str">
        <f ca="1">IFERROR(__xludf.DUMMYFUNCTION("GOOGLETRANSLATE(B1459,""es"",""en"")"),"Husband")</f>
        <v>Husband</v>
      </c>
      <c r="E1459" t="str">
        <f ca="1">IFERROR(__xludf.DUMMYFUNCTION("GOOGLETRANSLATE(C1459,""es"",""en"")"),"Husband, , , ,")</f>
        <v>Husband, , , ,</v>
      </c>
    </row>
    <row r="1460" spans="1:5" ht="13.2" x14ac:dyDescent="0.25">
      <c r="A1460" t="s">
        <v>3023</v>
      </c>
      <c r="B1460" t="s">
        <v>3024</v>
      </c>
      <c r="D1460" t="str">
        <f ca="1">IFERROR(__xludf.DUMMYFUNCTION("GOOGLETRANSLATE(B1460,""es"",""en"")"),"Iguana egg")</f>
        <v>Iguana egg</v>
      </c>
      <c r="E1460" t="str">
        <f ca="1">IFERROR(__xludf.DUMMYFUNCTION("GOOGLETRANSLATE(C1460,""es"",""en"")"),"#VALUE!")</f>
        <v>#VALUE!</v>
      </c>
    </row>
    <row r="1461" spans="1:5" ht="13.2" x14ac:dyDescent="0.25">
      <c r="A1461" t="s">
        <v>3025</v>
      </c>
      <c r="B1461" t="s">
        <v>3024</v>
      </c>
      <c r="D1461" t="str">
        <f ca="1">IFERROR(__xludf.DUMMYFUNCTION("GOOGLETRANSLATE(B1461,""es"",""en"")"),"Iguana egg")</f>
        <v>Iguana egg</v>
      </c>
      <c r="E1461" t="str">
        <f ca="1">IFERROR(__xludf.DUMMYFUNCTION("GOOGLETRANSLATE(C1461,""es"",""en"")"),"#VALUE!")</f>
        <v>#VALUE!</v>
      </c>
    </row>
    <row r="1462" spans="1:5" ht="13.2" x14ac:dyDescent="0.25">
      <c r="A1462" t="s">
        <v>3026</v>
      </c>
      <c r="B1462" t="s">
        <v>3027</v>
      </c>
      <c r="C1462" t="s">
        <v>3028</v>
      </c>
      <c r="D1462" t="str">
        <f ca="1">IFERROR(__xludf.DUMMYFUNCTION("GOOGLETRANSLATE(B1462,""es"",""en"")"),"Fur")</f>
        <v>Fur</v>
      </c>
      <c r="E1462" t="str">
        <f ca="1">IFERROR(__xludf.DUMMYFUNCTION("GOOGLETRANSLATE(C1462,""es"",""en"")"),"Peel, , , ,")</f>
        <v>Peel, , , ,</v>
      </c>
    </row>
    <row r="1463" spans="1:5" ht="13.2" x14ac:dyDescent="0.25">
      <c r="A1463" t="s">
        <v>1143</v>
      </c>
      <c r="B1463" t="s">
        <v>3029</v>
      </c>
      <c r="D1463" t="str">
        <f ca="1">IFERROR(__xludf.DUMMYFUNCTION("GOOGLETRANSLATE(B1463,""es"",""en"")"),"Rash")</f>
        <v>Rash</v>
      </c>
      <c r="E1463" t="str">
        <f ca="1">IFERROR(__xludf.DUMMYFUNCTION("GOOGLETRANSLATE(C1463,""es"",""en"")"),"#VALUE!")</f>
        <v>#VALUE!</v>
      </c>
    </row>
    <row r="1464" spans="1:5" ht="13.2" x14ac:dyDescent="0.25">
      <c r="A1464" t="s">
        <v>1142</v>
      </c>
      <c r="B1464" t="s">
        <v>1143</v>
      </c>
      <c r="C1464" t="s">
        <v>3030</v>
      </c>
      <c r="D1464" t="str">
        <f ca="1">IFERROR(__xludf.DUMMYFUNCTION("GOOGLETRANSLATE(B1464,""es"",""en"")"),"Itch")</f>
        <v>Itch</v>
      </c>
      <c r="E1464" t="str">
        <f ca="1">IFERROR(__xludf.DUMMYFUNCTION("GOOGLETRANSLATE(C1464,""es"",""en"")"),"Itching ,,,,")</f>
        <v>Itching ,,,,</v>
      </c>
    </row>
    <row r="1465" spans="1:5" ht="13.2" x14ac:dyDescent="0.25">
      <c r="A1465" t="s">
        <v>3031</v>
      </c>
      <c r="B1465" t="s">
        <v>3032</v>
      </c>
      <c r="D1465" t="str">
        <f ca="1">IFERROR(__xludf.DUMMYFUNCTION("GOOGLETRANSLATE(B1465,""es"",""en"")"),"With Shell")</f>
        <v>With Shell</v>
      </c>
      <c r="E1465" t="str">
        <f ca="1">IFERROR(__xludf.DUMMYFUNCTION("GOOGLETRANSLATE(C1465,""es"",""en"")"),"#VALUE!")</f>
        <v>#VALUE!</v>
      </c>
    </row>
    <row r="1466" spans="1:5" ht="13.2" x14ac:dyDescent="0.25">
      <c r="A1466" t="s">
        <v>3033</v>
      </c>
      <c r="B1466" t="s">
        <v>3032</v>
      </c>
      <c r="D1466" t="str">
        <f ca="1">IFERROR(__xludf.DUMMYFUNCTION("GOOGLETRANSLATE(B1466,""es"",""en"")"),"With Shell")</f>
        <v>With Shell</v>
      </c>
      <c r="E1466" t="str">
        <f ca="1">IFERROR(__xludf.DUMMYFUNCTION("GOOGLETRANSLATE(C1466,""es"",""en"")"),"#VALUE!")</f>
        <v>#VALUE!</v>
      </c>
    </row>
    <row r="1467" spans="1:5" ht="13.2" x14ac:dyDescent="0.25">
      <c r="A1467" t="s">
        <v>3034</v>
      </c>
      <c r="B1467" t="s">
        <v>3035</v>
      </c>
      <c r="D1467" t="str">
        <f ca="1">IFERROR(__xludf.DUMMYFUNCTION("GOOGLETRANSLATE(B1467,""es"",""en"")"),"Break the waves")</f>
        <v>Break the waves</v>
      </c>
      <c r="E1467" t="str">
        <f ca="1">IFERROR(__xludf.DUMMYFUNCTION("GOOGLETRANSLATE(C1467,""es"",""en"")"),"#VALUE!")</f>
        <v>#VALUE!</v>
      </c>
    </row>
    <row r="1468" spans="1:5" ht="13.2" x14ac:dyDescent="0.25">
      <c r="A1468" t="s">
        <v>3036</v>
      </c>
      <c r="B1468" t="s">
        <v>3037</v>
      </c>
      <c r="C1468" t="s">
        <v>3038</v>
      </c>
      <c r="D1468" t="str">
        <f ca="1">IFERROR(__xludf.DUMMYFUNCTION("GOOGLETRANSLATE(B1468,""es"",""en"")"),"Towel")</f>
        <v>Towel</v>
      </c>
      <c r="E1468" t="str">
        <f ca="1">IFERROR(__xludf.DUMMYFUNCTION("GOOGLETRANSLATE(C1468,""es"",""en"")"),"Cloth, , , ,")</f>
        <v>Cloth, , , ,</v>
      </c>
    </row>
    <row r="1469" spans="1:5" ht="13.2" x14ac:dyDescent="0.25">
      <c r="A1469" t="s">
        <v>3039</v>
      </c>
      <c r="B1469" t="s">
        <v>686</v>
      </c>
      <c r="C1469" t="s">
        <v>3040</v>
      </c>
      <c r="D1469" t="str">
        <f ca="1">IFERROR(__xludf.DUMMYFUNCTION("GOOGLETRANSLATE(B1469,""es"",""en"")"),"Grain")</f>
        <v>Grain</v>
      </c>
      <c r="E1469" t="str">
        <f ca="1">IFERROR(__xludf.DUMMYFUNCTION("GOOGLETRANSLATE(C1469,""es"",""en"")"),"Abscess ,,,,")</f>
        <v>Abscess ,,,,</v>
      </c>
    </row>
    <row r="1470" spans="1:5" ht="13.2" x14ac:dyDescent="0.25">
      <c r="A1470" t="s">
        <v>3041</v>
      </c>
      <c r="B1470" t="s">
        <v>3042</v>
      </c>
      <c r="D1470" t="str">
        <f ca="1">IFERROR(__xludf.DUMMYFUNCTION("GOOGLETRANSLATE(B1470,""es"",""en"")"),"Naked")</f>
        <v>Naked</v>
      </c>
      <c r="E1470" t="str">
        <f ca="1">IFERROR(__xludf.DUMMYFUNCTION("GOOGLETRANSLATE(C1470,""es"",""en"")"),"#VALUE!")</f>
        <v>#VALUE!</v>
      </c>
    </row>
    <row r="1471" spans="1:5" ht="13.2" x14ac:dyDescent="0.25">
      <c r="A1471" t="s">
        <v>3043</v>
      </c>
      <c r="B1471" t="s">
        <v>3042</v>
      </c>
      <c r="D1471" t="str">
        <f ca="1">IFERROR(__xludf.DUMMYFUNCTION("GOOGLETRANSLATE(B1471,""es"",""en"")"),"Naked")</f>
        <v>Naked</v>
      </c>
      <c r="E1471" t="str">
        <f ca="1">IFERROR(__xludf.DUMMYFUNCTION("GOOGLETRANSLATE(C1471,""es"",""en"")"),"#VALUE!")</f>
        <v>#VALUE!</v>
      </c>
    </row>
    <row r="1472" spans="1:5" ht="13.2" x14ac:dyDescent="0.25">
      <c r="A1472" t="s">
        <v>3044</v>
      </c>
      <c r="B1472" t="s">
        <v>3045</v>
      </c>
      <c r="C1472" t="s">
        <v>3046</v>
      </c>
      <c r="D1472" t="str">
        <f ca="1">IFERROR(__xludf.DUMMYFUNCTION("GOOGLETRANSLATE(B1472,""es"",""en"")"),"Give")</f>
        <v>Give</v>
      </c>
      <c r="E1472" t="str">
        <f ca="1">IFERROR(__xludf.DUMMYFUNCTION("GOOGLETRANSLATE(C1472,""es"",""en"")"),"Give up, deliver, sell ,,,,")</f>
        <v>Give up, deliver, sell ,,,,</v>
      </c>
    </row>
    <row r="1473" spans="1:5" ht="13.2" x14ac:dyDescent="0.25">
      <c r="A1473" t="s">
        <v>3047</v>
      </c>
      <c r="B1473" t="s">
        <v>3048</v>
      </c>
      <c r="C1473" t="s">
        <v>3049</v>
      </c>
      <c r="D1473" t="str">
        <f ca="1">IFERROR(__xludf.DUMMYFUNCTION("GOOGLETRANSLATE(B1473,""es"",""en"")"),"On")</f>
        <v>On</v>
      </c>
      <c r="E1473" t="str">
        <f ca="1">IFERROR(__xludf.DUMMYFUNCTION("GOOGLETRANSLATE(C1473,""es"",""en"")"),"About, , , ,")</f>
        <v>About, , , ,</v>
      </c>
    </row>
    <row r="1474" spans="1:5" ht="13.2" x14ac:dyDescent="0.25">
      <c r="A1474" t="s">
        <v>3050</v>
      </c>
      <c r="B1474" t="s">
        <v>3048</v>
      </c>
      <c r="C1474" t="s">
        <v>3049</v>
      </c>
      <c r="D1474" t="str">
        <f ca="1">IFERROR(__xludf.DUMMYFUNCTION("GOOGLETRANSLATE(B1474,""es"",""en"")"),"On")</f>
        <v>On</v>
      </c>
      <c r="E1474" t="str">
        <f ca="1">IFERROR(__xludf.DUMMYFUNCTION("GOOGLETRANSLATE(C1474,""es"",""en"")"),"About, , , ,")</f>
        <v>About, , , ,</v>
      </c>
    </row>
    <row r="1475" spans="1:5" ht="13.2" x14ac:dyDescent="0.25">
      <c r="A1475" t="s">
        <v>3051</v>
      </c>
      <c r="B1475" t="s">
        <v>3048</v>
      </c>
      <c r="C1475" t="s">
        <v>3049</v>
      </c>
      <c r="D1475" t="str">
        <f ca="1">IFERROR(__xludf.DUMMYFUNCTION("GOOGLETRANSLATE(B1475,""es"",""en"")"),"On")</f>
        <v>On</v>
      </c>
      <c r="E1475" t="str">
        <f ca="1">IFERROR(__xludf.DUMMYFUNCTION("GOOGLETRANSLATE(C1475,""es"",""en"")"),"About, , , ,")</f>
        <v>About, , , ,</v>
      </c>
    </row>
    <row r="1476" spans="1:5" ht="13.2" x14ac:dyDescent="0.25">
      <c r="A1476" t="s">
        <v>3052</v>
      </c>
      <c r="B1476" t="s">
        <v>9</v>
      </c>
      <c r="C1476" t="s">
        <v>3053</v>
      </c>
      <c r="D1476" t="str">
        <f ca="1">IFERROR(__xludf.DUMMYFUNCTION("GOOGLETRANSLATE(B1476,""es"",""en"")"),"Suddenly")</f>
        <v>Suddenly</v>
      </c>
      <c r="E1476" t="str">
        <f ca="1">IFERROR(__xludf.DUMMYFUNCTION("GOOGLETRANSLATE(C1476,""es"",""en"")"),"Sudden, , , ,")</f>
        <v>Sudden, , , ,</v>
      </c>
    </row>
    <row r="1477" spans="1:5" ht="13.2" x14ac:dyDescent="0.25">
      <c r="A1477" t="s">
        <v>3054</v>
      </c>
      <c r="B1477" t="s">
        <v>9</v>
      </c>
      <c r="C1477" t="s">
        <v>3053</v>
      </c>
      <c r="D1477" t="str">
        <f ca="1">IFERROR(__xludf.DUMMYFUNCTION("GOOGLETRANSLATE(B1477,""es"",""en"")"),"Suddenly")</f>
        <v>Suddenly</v>
      </c>
      <c r="E1477" t="str">
        <f ca="1">IFERROR(__xludf.DUMMYFUNCTION("GOOGLETRANSLATE(C1477,""es"",""en"")"),"Sudden, , , ,")</f>
        <v>Sudden, , , ,</v>
      </c>
    </row>
    <row r="1478" spans="1:5" ht="13.2" x14ac:dyDescent="0.25">
      <c r="A1478" t="s">
        <v>3055</v>
      </c>
      <c r="B1478" t="s">
        <v>3056</v>
      </c>
      <c r="D1478" t="str">
        <f ca="1">IFERROR(__xludf.DUMMYFUNCTION("GOOGLETRANSLATE(B1478,""es"",""en"")"),"Son-in-law")</f>
        <v>Son-in-law</v>
      </c>
      <c r="E1478" t="str">
        <f ca="1">IFERROR(__xludf.DUMMYFUNCTION("GOOGLETRANSLATE(C1478,""es"",""en"")"),"#VALUE!")</f>
        <v>#VALUE!</v>
      </c>
    </row>
    <row r="1479" spans="1:5" ht="13.2" x14ac:dyDescent="0.25">
      <c r="A1479" t="s">
        <v>3057</v>
      </c>
      <c r="B1479" t="s">
        <v>3058</v>
      </c>
      <c r="D1479" t="str">
        <f ca="1">IFERROR(__xludf.DUMMYFUNCTION("GOOGLETRANSLATE(B1479,""es"",""en"")"),"Sudden")</f>
        <v>Sudden</v>
      </c>
      <c r="E1479" t="str">
        <f ca="1">IFERROR(__xludf.DUMMYFUNCTION("GOOGLETRANSLATE(C1479,""es"",""en"")"),"#VALUE!")</f>
        <v>#VALUE!</v>
      </c>
    </row>
    <row r="1480" spans="1:5" ht="13.2" x14ac:dyDescent="0.25">
      <c r="A1480" t="s">
        <v>3059</v>
      </c>
      <c r="B1480" t="s">
        <v>3060</v>
      </c>
      <c r="D1480" t="str">
        <f ca="1">IFERROR(__xludf.DUMMYFUNCTION("GOOGLETRANSLATE(B1480,""es"",""en"")"),"Sand")</f>
        <v>Sand</v>
      </c>
      <c r="E1480" t="str">
        <f ca="1">IFERROR(__xludf.DUMMYFUNCTION("GOOGLETRANSLATE(C1480,""es"",""en"")"),"#VALUE!")</f>
        <v>#VALUE!</v>
      </c>
    </row>
    <row r="1481" spans="1:5" ht="13.2" x14ac:dyDescent="0.25">
      <c r="A1481" t="s">
        <v>3061</v>
      </c>
      <c r="B1481" t="s">
        <v>3062</v>
      </c>
      <c r="D1481" t="str">
        <f ca="1">IFERROR(__xludf.DUMMYFUNCTION("GOOGLETRANSLATE(B1481,""es"",""en"")"),"Sandy")</f>
        <v>Sandy</v>
      </c>
      <c r="E1481" t="str">
        <f ca="1">IFERROR(__xludf.DUMMYFUNCTION("GOOGLETRANSLATE(C1481,""es"",""en"")"),"#VALUE!")</f>
        <v>#VALUE!</v>
      </c>
    </row>
    <row r="1482" spans="1:5" ht="13.2" x14ac:dyDescent="0.25">
      <c r="A1482" t="s">
        <v>3063</v>
      </c>
      <c r="B1482" t="s">
        <v>3064</v>
      </c>
      <c r="D1482" t="str">
        <f ca="1">IFERROR(__xludf.DUMMYFUNCTION("GOOGLETRANSLATE(B1482,""es"",""en"")"),"Sole fish")</f>
        <v>Sole fish</v>
      </c>
      <c r="E1482" t="str">
        <f ca="1">IFERROR(__xludf.DUMMYFUNCTION("GOOGLETRANSLATE(C1482,""es"",""en"")"),"#VALUE!")</f>
        <v>#VALUE!</v>
      </c>
    </row>
    <row r="1483" spans="1:5" ht="13.2" x14ac:dyDescent="0.25">
      <c r="A1483" t="s">
        <v>3065</v>
      </c>
      <c r="B1483" t="s">
        <v>3064</v>
      </c>
      <c r="D1483" t="str">
        <f ca="1">IFERROR(__xludf.DUMMYFUNCTION("GOOGLETRANSLATE(B1483,""es"",""en"")"),"Sole fish")</f>
        <v>Sole fish</v>
      </c>
      <c r="E1483" t="str">
        <f ca="1">IFERROR(__xludf.DUMMYFUNCTION("GOOGLETRANSLATE(C1483,""es"",""en"")"),"#VALUE!")</f>
        <v>#VALUE!</v>
      </c>
    </row>
    <row r="1484" spans="1:5" ht="13.2" x14ac:dyDescent="0.25">
      <c r="A1484" t="s">
        <v>3066</v>
      </c>
      <c r="B1484" t="s">
        <v>3064</v>
      </c>
      <c r="D1484" t="str">
        <f ca="1">IFERROR(__xludf.DUMMYFUNCTION("GOOGLETRANSLATE(B1484,""es"",""en"")"),"Sole fish")</f>
        <v>Sole fish</v>
      </c>
      <c r="E1484" t="str">
        <f ca="1">IFERROR(__xludf.DUMMYFUNCTION("GOOGLETRANSLATE(C1484,""es"",""en"")"),"#VALUE!")</f>
        <v>#VALUE!</v>
      </c>
    </row>
    <row r="1485" spans="1:5" ht="13.2" x14ac:dyDescent="0.25">
      <c r="A1485" t="s">
        <v>3067</v>
      </c>
      <c r="B1485" t="s">
        <v>3068</v>
      </c>
      <c r="C1485" t="s">
        <v>3069</v>
      </c>
      <c r="D1485" t="str">
        <f ca="1">IFERROR(__xludf.DUMMYFUNCTION("GOOGLETRANSLATE(B1485,""es"",""en"")"),"Beach")</f>
        <v>Beach</v>
      </c>
      <c r="E1485" t="str">
        <f ca="1">IFERROR(__xludf.DUMMYFUNCTION("GOOGLETRANSLATE(C1485,""es"",""en"")"),"Coast, , , ,")</f>
        <v>Coast, , , ,</v>
      </c>
    </row>
    <row r="1486" spans="1:5" ht="13.2" x14ac:dyDescent="0.25">
      <c r="A1486" t="s">
        <v>3070</v>
      </c>
      <c r="B1486" t="s">
        <v>3068</v>
      </c>
      <c r="C1486" t="s">
        <v>3069</v>
      </c>
      <c r="D1486" t="str">
        <f ca="1">IFERROR(__xludf.DUMMYFUNCTION("GOOGLETRANSLATE(B1486,""es"",""en"")"),"Beach")</f>
        <v>Beach</v>
      </c>
      <c r="E1486" t="str">
        <f ca="1">IFERROR(__xludf.DUMMYFUNCTION("GOOGLETRANSLATE(C1486,""es"",""en"")"),"Coast, , , ,")</f>
        <v>Coast, , , ,</v>
      </c>
    </row>
    <row r="1487" spans="1:5" ht="13.2" x14ac:dyDescent="0.25">
      <c r="A1487" t="s">
        <v>1312</v>
      </c>
      <c r="B1487" t="s">
        <v>1310</v>
      </c>
      <c r="D1487" t="str">
        <f ca="1">IFERROR(__xludf.DUMMYFUNCTION("GOOGLETRANSLATE(B1487,""es"",""en"")"),"Tortuga egg")</f>
        <v>Tortuga egg</v>
      </c>
      <c r="E1487" t="str">
        <f ca="1">IFERROR(__xludf.DUMMYFUNCTION("GOOGLETRANSLATE(C1487,""es"",""en"")"),"#VALUE!")</f>
        <v>#VALUE!</v>
      </c>
    </row>
    <row r="1488" spans="1:5" ht="13.2" x14ac:dyDescent="0.25">
      <c r="A1488" t="s">
        <v>1311</v>
      </c>
      <c r="B1488" t="s">
        <v>1310</v>
      </c>
      <c r="D1488" t="str">
        <f ca="1">IFERROR(__xludf.DUMMYFUNCTION("GOOGLETRANSLATE(B1488,""es"",""en"")"),"Tortuga egg")</f>
        <v>Tortuga egg</v>
      </c>
      <c r="E1488" t="str">
        <f ca="1">IFERROR(__xludf.DUMMYFUNCTION("GOOGLETRANSLATE(C1488,""es"",""en"")"),"#VALUE!")</f>
        <v>#VALUE!</v>
      </c>
    </row>
    <row r="1489" spans="1:5" ht="13.2" x14ac:dyDescent="0.25">
      <c r="A1489" t="s">
        <v>2398</v>
      </c>
      <c r="B1489" t="s">
        <v>3056</v>
      </c>
      <c r="D1489" t="str">
        <f ca="1">IFERROR(__xludf.DUMMYFUNCTION("GOOGLETRANSLATE(B1489,""es"",""en"")"),"Son-in-law")</f>
        <v>Son-in-law</v>
      </c>
      <c r="E1489" t="str">
        <f ca="1">IFERROR(__xludf.DUMMYFUNCTION("GOOGLETRANSLATE(C1489,""es"",""en"")"),"#VALUE!")</f>
        <v>#VALUE!</v>
      </c>
    </row>
    <row r="1490" spans="1:5" ht="13.2" x14ac:dyDescent="0.25">
      <c r="A1490" t="s">
        <v>3071</v>
      </c>
      <c r="B1490" t="s">
        <v>3072</v>
      </c>
      <c r="C1490" t="s">
        <v>3073</v>
      </c>
      <c r="D1490" t="str">
        <f ca="1">IFERROR(__xludf.DUMMYFUNCTION("GOOGLETRANSLATE(B1490,""es"",""en"")"),"Hunger")</f>
        <v>Hunger</v>
      </c>
      <c r="E1490" t="str">
        <f ca="1">IFERROR(__xludf.DUMMYFUNCTION("GOOGLETRANSLATE(C1490,""es"",""en"")"),"Appetite, , , ,")</f>
        <v>Appetite, , , ,</v>
      </c>
    </row>
    <row r="1491" spans="1:5" ht="13.2" x14ac:dyDescent="0.25">
      <c r="A1491" t="s">
        <v>3074</v>
      </c>
      <c r="B1491" t="s">
        <v>3075</v>
      </c>
      <c r="C1491" t="s">
        <v>3076</v>
      </c>
      <c r="D1491" t="str">
        <f ca="1">IFERROR(__xludf.DUMMYFUNCTION("GOOGLETRANSLATE(B1491,""es"",""en"")"),"Lightweight")</f>
        <v>Lightweight</v>
      </c>
      <c r="E1491" t="str">
        <f ca="1">IFERROR(__xludf.DUMMYFUNCTION("GOOGLETRANSLATE(C1491,""es"",""en"")"),"Mild, low weight ,,,")</f>
        <v>Mild, low weight ,,,</v>
      </c>
    </row>
    <row r="1492" spans="1:5" ht="13.2" x14ac:dyDescent="0.25">
      <c r="A1492" t="s">
        <v>3077</v>
      </c>
      <c r="B1492" t="s">
        <v>3078</v>
      </c>
      <c r="D1492" t="str">
        <f ca="1">IFERROR(__xludf.DUMMYFUNCTION("GOOGLETRANSLATE(B1492,""es"",""en"")"),"Rattlesnake")</f>
        <v>Rattlesnake</v>
      </c>
      <c r="E1492" t="str">
        <f ca="1">IFERROR(__xludf.DUMMYFUNCTION("GOOGLETRANSLATE(C1492,""es"",""en"")"),"#VALUE!")</f>
        <v>#VALUE!</v>
      </c>
    </row>
    <row r="1493" spans="1:5" ht="13.2" x14ac:dyDescent="0.25">
      <c r="A1493" t="s">
        <v>3079</v>
      </c>
      <c r="B1493" t="s">
        <v>3080</v>
      </c>
      <c r="D1493" t="str">
        <f ca="1">IFERROR(__xludf.DUMMYFUNCTION("GOOGLETRANSLATE(B1493,""es"",""en"")"),"Raft")</f>
        <v>Raft</v>
      </c>
      <c r="E1493" t="str">
        <f ca="1">IFERROR(__xludf.DUMMYFUNCTION("GOOGLETRANSLATE(C1493,""es"",""en"")"),"#VALUE!")</f>
        <v>#VALUE!</v>
      </c>
    </row>
    <row r="1494" spans="1:5" ht="13.2" x14ac:dyDescent="0.25">
      <c r="A1494" t="s">
        <v>3081</v>
      </c>
      <c r="B1494" t="s">
        <v>3082</v>
      </c>
      <c r="C1494" t="s">
        <v>3083</v>
      </c>
      <c r="D1494" t="str">
        <f ca="1">IFERROR(__xludf.DUMMYFUNCTION("GOOGLETRANSLATE(B1494,""es"",""en"")"),"Heavy")</f>
        <v>Heavy</v>
      </c>
      <c r="E1494" t="str">
        <f ca="1">IFERROR(__xludf.DUMMYFUNCTION("GOOGLETRANSLATE(C1494,""es"",""en"")"),"Solid, , , ,")</f>
        <v>Solid, , , ,</v>
      </c>
    </row>
    <row r="1495" spans="1:5" ht="13.2" x14ac:dyDescent="0.25">
      <c r="A1495" t="s">
        <v>3084</v>
      </c>
      <c r="B1495" t="s">
        <v>3082</v>
      </c>
      <c r="C1495" t="s">
        <v>3083</v>
      </c>
      <c r="D1495" t="str">
        <f ca="1">IFERROR(__xludf.DUMMYFUNCTION("GOOGLETRANSLATE(B1495,""es"",""en"")"),"Heavy")</f>
        <v>Heavy</v>
      </c>
      <c r="E1495" t="str">
        <f ca="1">IFERROR(__xludf.DUMMYFUNCTION("GOOGLETRANSLATE(C1495,""es"",""en"")"),"Solid, , , ,")</f>
        <v>Solid, , , ,</v>
      </c>
    </row>
    <row r="1496" spans="1:5" ht="13.2" x14ac:dyDescent="0.25">
      <c r="A1496" t="s">
        <v>3085</v>
      </c>
      <c r="B1496" t="s">
        <v>3082</v>
      </c>
      <c r="D1496" t="str">
        <f ca="1">IFERROR(__xludf.DUMMYFUNCTION("GOOGLETRANSLATE(B1496,""es"",""en"")"),"Heavy")</f>
        <v>Heavy</v>
      </c>
      <c r="E1496" t="str">
        <f ca="1">IFERROR(__xludf.DUMMYFUNCTION("GOOGLETRANSLATE(C1496,""es"",""en"")"),"#VALUE!")</f>
        <v>#VALUE!</v>
      </c>
    </row>
    <row r="1497" spans="1:5" ht="13.2" x14ac:dyDescent="0.25">
      <c r="A1497" t="s">
        <v>3086</v>
      </c>
      <c r="B1497" t="s">
        <v>3087</v>
      </c>
      <c r="D1497" t="str">
        <f ca="1">IFERROR(__xludf.DUMMYFUNCTION("GOOGLETRANSLATE(B1497,""es"",""en"")"),"Thirst")</f>
        <v>Thirst</v>
      </c>
      <c r="E1497" t="str">
        <f ca="1">IFERROR(__xludf.DUMMYFUNCTION("GOOGLETRANSLATE(C1497,""es"",""en"")"),"#VALUE!")</f>
        <v>#VALUE!</v>
      </c>
    </row>
    <row r="1498" spans="1:5" ht="13.2" x14ac:dyDescent="0.25">
      <c r="A1498" t="s">
        <v>3088</v>
      </c>
      <c r="B1498" t="s">
        <v>3089</v>
      </c>
      <c r="D1498" t="str">
        <f ca="1">IFERROR(__xludf.DUMMYFUNCTION("GOOGLETRANSLATE(B1498,""es"",""en"")"),"Be thirsty")</f>
        <v>Be thirsty</v>
      </c>
      <c r="E1498" t="str">
        <f ca="1">IFERROR(__xludf.DUMMYFUNCTION("GOOGLETRANSLATE(C1498,""es"",""en"")"),"#VALUE!")</f>
        <v>#VALUE!</v>
      </c>
    </row>
    <row r="1499" spans="1:5" ht="13.2" x14ac:dyDescent="0.25">
      <c r="A1499" t="s">
        <v>3090</v>
      </c>
      <c r="B1499" t="s">
        <v>3091</v>
      </c>
      <c r="D1499" t="str">
        <f ca="1">IFERROR(__xludf.DUMMYFUNCTION("GOOGLETRANSLATE(B1499,""es"",""en"")"),"Armadillo")</f>
        <v>Armadillo</v>
      </c>
      <c r="E1499" t="str">
        <f ca="1">IFERROR(__xludf.DUMMYFUNCTION("GOOGLETRANSLATE(C1499,""es"",""en"")"),"#VALUE!")</f>
        <v>#VALUE!</v>
      </c>
    </row>
    <row r="1500" spans="1:5" ht="13.2" x14ac:dyDescent="0.25">
      <c r="A1500" t="s">
        <v>3092</v>
      </c>
      <c r="B1500" t="s">
        <v>3093</v>
      </c>
      <c r="C1500" t="s">
        <v>3094</v>
      </c>
      <c r="D1500" t="str">
        <f ca="1">IFERROR(__xludf.DUMMYFUNCTION("GOOGLETRANSLATE(B1500,""es"",""en"")"),"head on")</f>
        <v>head on</v>
      </c>
      <c r="E1500" t="str">
        <f ca="1">IFERROR(__xludf.DUMMYFUNCTION("GOOGLETRANSLATE(C1500,""es"",""en"")"),"Facing, , , ,")</f>
        <v>Facing, , , ,</v>
      </c>
    </row>
    <row r="1501" spans="1:5" ht="13.2" x14ac:dyDescent="0.25">
      <c r="A1501" t="s">
        <v>3095</v>
      </c>
      <c r="B1501" t="s">
        <v>3096</v>
      </c>
      <c r="D1501" t="str">
        <f ca="1">IFERROR(__xludf.DUMMYFUNCTION("GOOGLETRANSLATE(B1501,""es"",""en"")"),"Bat")</f>
        <v>Bat</v>
      </c>
      <c r="E1501" t="str">
        <f ca="1">IFERROR(__xludf.DUMMYFUNCTION("GOOGLETRANSLATE(C1501,""es"",""en"")"),"#VALUE!")</f>
        <v>#VALUE!</v>
      </c>
    </row>
    <row r="1502" spans="1:5" ht="13.2" x14ac:dyDescent="0.25">
      <c r="A1502" t="s">
        <v>3097</v>
      </c>
      <c r="B1502" t="s">
        <v>3098</v>
      </c>
      <c r="D1502" t="str">
        <f ca="1">IFERROR(__xludf.DUMMYFUNCTION("GOOGLETRANSLATE(B1502,""es"",""en"")"),"Manzanillo")</f>
        <v>Manzanillo</v>
      </c>
      <c r="E1502" t="str">
        <f ca="1">IFERROR(__xludf.DUMMYFUNCTION("GOOGLETRANSLATE(C1502,""es"",""en"")"),"#VALUE!")</f>
        <v>#VALUE!</v>
      </c>
    </row>
    <row r="1503" spans="1:5" ht="13.2" x14ac:dyDescent="0.25">
      <c r="A1503" t="s">
        <v>3099</v>
      </c>
      <c r="B1503" t="s">
        <v>3100</v>
      </c>
      <c r="D1503" t="str">
        <f ca="1">IFERROR(__xludf.DUMMYFUNCTION("GOOGLETRANSLATE(B1503,""es"",""en"")"),"Canoe")</f>
        <v>Canoe</v>
      </c>
      <c r="E1503" t="str">
        <f ca="1">IFERROR(__xludf.DUMMYFUNCTION("GOOGLETRANSLATE(C1503,""es"",""en"")"),"#VALUE!")</f>
        <v>#VALUE!</v>
      </c>
    </row>
    <row r="1504" spans="1:5" ht="13.2" x14ac:dyDescent="0.25">
      <c r="A1504" t="s">
        <v>3101</v>
      </c>
      <c r="B1504" t="s">
        <v>3102</v>
      </c>
      <c r="D1504" t="str">
        <f ca="1">IFERROR(__xludf.DUMMYFUNCTION("GOOGLETRANSLATE(B1504,""es"",""en"")"),"Pragua")</f>
        <v>Pragua</v>
      </c>
      <c r="E1504" t="str">
        <f ca="1">IFERROR(__xludf.DUMMYFUNCTION("GOOGLETRANSLATE(C1504,""es"",""en"")"),"#VALUE!")</f>
        <v>#VALUE!</v>
      </c>
    </row>
    <row r="1505" spans="1:5" ht="13.2" x14ac:dyDescent="0.25">
      <c r="A1505" t="s">
        <v>3103</v>
      </c>
      <c r="B1505" t="s">
        <v>3104</v>
      </c>
      <c r="D1505" t="str">
        <f ca="1">IFERROR(__xludf.DUMMYFUNCTION("GOOGLETRANSLATE(B1505,""es"",""en"")"),"Bow")</f>
        <v>Bow</v>
      </c>
      <c r="E1505" t="str">
        <f ca="1">IFERROR(__xludf.DUMMYFUNCTION("GOOGLETRANSLATE(C1505,""es"",""en"")"),"#VALUE!")</f>
        <v>#VALUE!</v>
      </c>
    </row>
    <row r="1506" spans="1:5" ht="13.2" x14ac:dyDescent="0.25">
      <c r="A1506" t="s">
        <v>3105</v>
      </c>
      <c r="B1506" t="s">
        <v>3106</v>
      </c>
      <c r="D1506" t="s">
        <v>3106</v>
      </c>
      <c r="E1506" t="str">
        <f ca="1">IFERROR(__xludf.DUMMYFUNCTION("GOOGLETRANSLATE(C1506,""es"",""en"")"),"#VALUE!")</f>
        <v>#VALUE!</v>
      </c>
    </row>
    <row r="1507" spans="1:5" ht="13.2" x14ac:dyDescent="0.25">
      <c r="A1507" t="s">
        <v>3107</v>
      </c>
      <c r="B1507" t="s">
        <v>3108</v>
      </c>
      <c r="C1507" t="s">
        <v>3109</v>
      </c>
      <c r="D1507" t="str">
        <f ca="1">IFERROR(__xludf.DUMMYFUNCTION("GOOGLETRANSLATE(B1507,""es"",""en"")"),"Trunk")</f>
        <v>Trunk</v>
      </c>
      <c r="E1507" t="str">
        <f ca="1">IFERROR(__xludf.DUMMYFUNCTION("GOOGLETRANSLATE(C1507,""es"",""en"")"),"Suitcase, drawer ,,,,")</f>
        <v>Suitcase, drawer ,,,,</v>
      </c>
    </row>
    <row r="1508" spans="1:5" ht="13.2" x14ac:dyDescent="0.25">
      <c r="A1508" t="s">
        <v>3110</v>
      </c>
      <c r="B1508" t="s">
        <v>3111</v>
      </c>
      <c r="D1508" t="str">
        <f ca="1">IFERROR(__xludf.DUMMYFUNCTION("GOOGLETRANSLATE(B1508,""es"",""en"")"),"Howler monkey")</f>
        <v>Howler monkey</v>
      </c>
      <c r="E1508" t="str">
        <f ca="1">IFERROR(__xludf.DUMMYFUNCTION("GOOGLETRANSLATE(C1508,""es"",""en"")"),"#VALUE!")</f>
        <v>#VALUE!</v>
      </c>
    </row>
    <row r="1509" spans="1:5" ht="13.2" x14ac:dyDescent="0.25">
      <c r="A1509" t="s">
        <v>3112</v>
      </c>
      <c r="B1509" t="s">
        <v>3113</v>
      </c>
      <c r="C1509" t="s">
        <v>3114</v>
      </c>
      <c r="D1509" t="str">
        <f ca="1">IFERROR(__xludf.DUMMYFUNCTION("GOOGLETRANSLATE(B1509,""es"",""en"")"),"Red bow")</f>
        <v>Red bow</v>
      </c>
      <c r="E1509" t="str">
        <f ca="1">IFERROR(__xludf.DUMMYFUNCTION("GOOGLETRANSLATE(C1509,""es"",""en"")"),"Primate species")</f>
        <v>Primate species</v>
      </c>
    </row>
    <row r="1510" spans="1:5" ht="13.2" x14ac:dyDescent="0.25">
      <c r="A1510" t="s">
        <v>3115</v>
      </c>
      <c r="B1510" t="s">
        <v>3116</v>
      </c>
      <c r="C1510" t="s">
        <v>3117</v>
      </c>
      <c r="D1510" t="str">
        <f ca="1">IFERROR(__xludf.DUMMYFUNCTION("GOOGLETRANSLATE(B1510,""es"",""en"")"),"Burning")</f>
        <v>Burning</v>
      </c>
      <c r="E1510" t="str">
        <f ca="1">IFERROR(__xludf.DUMMYFUNCTION("GOOGLETRANSLATE(C1510,""es"",""en"")"),"Itching ,,,,")</f>
        <v>Itching ,,,,</v>
      </c>
    </row>
    <row r="1511" spans="1:5" ht="13.2" x14ac:dyDescent="0.25">
      <c r="A1511" t="s">
        <v>3118</v>
      </c>
      <c r="B1511" t="s">
        <v>3093</v>
      </c>
      <c r="D1511" t="str">
        <f ca="1">IFERROR(__xludf.DUMMYFUNCTION("GOOGLETRANSLATE(B1511,""es"",""en"")"),"head on")</f>
        <v>head on</v>
      </c>
      <c r="E1511" t="str">
        <f ca="1">IFERROR(__xludf.DUMMYFUNCTION("GOOGLETRANSLATE(C1511,""es"",""en"")"),"#VALUE!")</f>
        <v>#VALUE!</v>
      </c>
    </row>
    <row r="1512" spans="1:5" ht="13.2" x14ac:dyDescent="0.25">
      <c r="A1512" t="s">
        <v>3119</v>
      </c>
      <c r="B1512" t="s">
        <v>3116</v>
      </c>
      <c r="C1512" t="s">
        <v>3117</v>
      </c>
      <c r="D1512" t="str">
        <f ca="1">IFERROR(__xludf.DUMMYFUNCTION("GOOGLETRANSLATE(B1512,""es"",""en"")"),"Burning")</f>
        <v>Burning</v>
      </c>
      <c r="E1512" t="str">
        <f ca="1">IFERROR(__xludf.DUMMYFUNCTION("GOOGLETRANSLATE(C1512,""es"",""en"")"),"Itching ,,,,")</f>
        <v>Itching ,,,,</v>
      </c>
    </row>
    <row r="1513" spans="1:5" ht="13.2" x14ac:dyDescent="0.25">
      <c r="A1513" t="s">
        <v>3120</v>
      </c>
      <c r="B1513" t="s">
        <v>3121</v>
      </c>
      <c r="C1513" t="s">
        <v>3122</v>
      </c>
      <c r="D1513" t="str">
        <f ca="1">IFERROR(__xludf.DUMMYFUNCTION("GOOGLETRANSLATE(B1513,""es"",""en"")"),"Advise")</f>
        <v>Advise</v>
      </c>
      <c r="E1513" t="str">
        <f ca="1">IFERROR(__xludf.DUMMYFUNCTION("GOOGLETRANSLATE(C1513,""es"",""en"")"),"Guide, , , ,")</f>
        <v>Guide, , , ,</v>
      </c>
    </row>
    <row r="1514" spans="1:5" ht="13.2" x14ac:dyDescent="0.25">
      <c r="A1514" t="s">
        <v>3123</v>
      </c>
      <c r="B1514" t="s">
        <v>3124</v>
      </c>
      <c r="C1514" t="s">
        <v>3125</v>
      </c>
      <c r="D1514" t="str">
        <f ca="1">IFERROR(__xludf.DUMMYFUNCTION("GOOGLETRANSLATE(B1514,""es"",""en"")"),"Exaggerated")</f>
        <v>Exaggerated</v>
      </c>
      <c r="E1514" t="str">
        <f ca="1">IFERROR(__xludf.DUMMYFUNCTION("GOOGLETRANSLATE(C1514,""es"",""en"")"),"Excessive ,,,,")</f>
        <v>Excessive ,,,,</v>
      </c>
    </row>
    <row r="1515" spans="1:5" ht="13.2" x14ac:dyDescent="0.25">
      <c r="A1515" t="s">
        <v>3126</v>
      </c>
      <c r="B1515" t="s">
        <v>3124</v>
      </c>
      <c r="C1515" t="s">
        <v>3127</v>
      </c>
      <c r="D1515" t="str">
        <f ca="1">IFERROR(__xludf.DUMMYFUNCTION("GOOGLETRANSLATE(B1515,""es"",""en"")"),"Exaggerated")</f>
        <v>Exaggerated</v>
      </c>
      <c r="E1515" t="str">
        <f ca="1">IFERROR(__xludf.DUMMYFUNCTION("GOOGLETRANSLATE(C1515,""es"",""en"")"),"In extreme, , , ,")</f>
        <v>In extreme, , , ,</v>
      </c>
    </row>
    <row r="1516" spans="1:5" ht="13.2" x14ac:dyDescent="0.25">
      <c r="A1516" t="s">
        <v>3128</v>
      </c>
      <c r="B1516" t="s">
        <v>3124</v>
      </c>
      <c r="D1516" t="str">
        <f ca="1">IFERROR(__xludf.DUMMYFUNCTION("GOOGLETRANSLATE(B1516,""es"",""en"")"),"Exaggerated")</f>
        <v>Exaggerated</v>
      </c>
      <c r="E1516" t="str">
        <f ca="1">IFERROR(__xludf.DUMMYFUNCTION("GOOGLETRANSLATE(C1516,""es"",""en"")"),"#VALUE!")</f>
        <v>#VALUE!</v>
      </c>
    </row>
    <row r="1517" spans="1:5" ht="13.2" x14ac:dyDescent="0.25">
      <c r="A1517" t="s">
        <v>3129</v>
      </c>
      <c r="B1517" t="s">
        <v>3124</v>
      </c>
      <c r="D1517" t="str">
        <f ca="1">IFERROR(__xludf.DUMMYFUNCTION("GOOGLETRANSLATE(B1517,""es"",""en"")"),"Exaggerated")</f>
        <v>Exaggerated</v>
      </c>
      <c r="E1517" t="str">
        <f ca="1">IFERROR(__xludf.DUMMYFUNCTION("GOOGLETRANSLATE(C1517,""es"",""en"")"),"#VALUE!")</f>
        <v>#VALUE!</v>
      </c>
    </row>
    <row r="1518" spans="1:5" ht="13.2" x14ac:dyDescent="0.25">
      <c r="A1518" t="s">
        <v>3129</v>
      </c>
      <c r="B1518" t="s">
        <v>3124</v>
      </c>
      <c r="D1518" t="str">
        <f ca="1">IFERROR(__xludf.DUMMYFUNCTION("GOOGLETRANSLATE(B1518,""es"",""en"")"),"Exaggerated")</f>
        <v>Exaggerated</v>
      </c>
      <c r="E1518" t="str">
        <f ca="1">IFERROR(__xludf.DUMMYFUNCTION("GOOGLETRANSLATE(C1518,""es"",""en"")"),"#VALUE!")</f>
        <v>#VALUE!</v>
      </c>
    </row>
    <row r="1519" spans="1:5" ht="13.2" x14ac:dyDescent="0.25">
      <c r="A1519" t="s">
        <v>3130</v>
      </c>
      <c r="B1519" t="s">
        <v>3124</v>
      </c>
      <c r="D1519" t="str">
        <f ca="1">IFERROR(__xludf.DUMMYFUNCTION("GOOGLETRANSLATE(B1519,""es"",""en"")"),"Exaggerated")</f>
        <v>Exaggerated</v>
      </c>
      <c r="E1519" t="str">
        <f ca="1">IFERROR(__xludf.DUMMYFUNCTION("GOOGLETRANSLATE(C1519,""es"",""en"")"),"#VALUE!")</f>
        <v>#VALUE!</v>
      </c>
    </row>
    <row r="1520" spans="1:5" ht="13.2" x14ac:dyDescent="0.25">
      <c r="A1520" t="s">
        <v>3131</v>
      </c>
      <c r="B1520" t="s">
        <v>3132</v>
      </c>
      <c r="C1520" t="s">
        <v>3133</v>
      </c>
      <c r="D1520" t="str">
        <f ca="1">IFERROR(__xludf.DUMMYFUNCTION("GOOGLETRANSLATE(B1520,""es"",""en"")"),"Start up")</f>
        <v>Start up</v>
      </c>
      <c r="E1520" t="str">
        <f ca="1">IFERROR(__xludf.DUMMYFUNCTION("GOOGLETRANSLATE(C1520,""es"",""en"")"),"Take out, remove ,,,")</f>
        <v>Take out, remove ,,,</v>
      </c>
    </row>
    <row r="1521" spans="1:5" ht="13.2" x14ac:dyDescent="0.25">
      <c r="A1521" t="s">
        <v>3134</v>
      </c>
      <c r="B1521" t="s">
        <v>3135</v>
      </c>
      <c r="D1521" t="str">
        <f ca="1">IFERROR(__xludf.DUMMYFUNCTION("GOOGLETRANSLATE(B1521,""es"",""en"")"),"Electric shock")</f>
        <v>Electric shock</v>
      </c>
      <c r="E1521" t="str">
        <f ca="1">IFERROR(__xludf.DUMMYFUNCTION("GOOGLETRANSLATE(C1521,""es"",""en"")"),"#VALUE!")</f>
        <v>#VALUE!</v>
      </c>
    </row>
    <row r="1522" spans="1:5" ht="13.2" x14ac:dyDescent="0.25">
      <c r="A1522" t="s">
        <v>3136</v>
      </c>
      <c r="B1522" t="s">
        <v>3137</v>
      </c>
      <c r="D1522" t="str">
        <f ca="1">IFERROR(__xludf.DUMMYFUNCTION("GOOGLETRANSLATE(B1522,""es"",""en"")"),"Nostril")</f>
        <v>Nostril</v>
      </c>
      <c r="E1522" t="str">
        <f ca="1">IFERROR(__xludf.DUMMYFUNCTION("GOOGLETRANSLATE(C1522,""es"",""en"")"),"#VALUE!")</f>
        <v>#VALUE!</v>
      </c>
    </row>
    <row r="1523" spans="1:5" ht="13.2" x14ac:dyDescent="0.25">
      <c r="A1523" t="s">
        <v>3138</v>
      </c>
      <c r="B1523" t="s">
        <v>3139</v>
      </c>
      <c r="C1523" t="s">
        <v>3140</v>
      </c>
      <c r="D1523" t="str">
        <f ca="1">IFERROR(__xludf.DUMMYFUNCTION("GOOGLETRANSLATE(B1523,""es"",""en"")"),"Quadruped")</f>
        <v>Quadruped</v>
      </c>
      <c r="E1523" t="str">
        <f ca="1">IFERROR(__xludf.DUMMYFUNCTION("GOOGLETRANSLATE(C1523,""es"",""en"")"),"Four legs ,,,,")</f>
        <v>Four legs ,,,,</v>
      </c>
    </row>
    <row r="1524" spans="1:5" ht="13.2" x14ac:dyDescent="0.25">
      <c r="A1524" t="s">
        <v>3141</v>
      </c>
      <c r="B1524" t="s">
        <v>3142</v>
      </c>
      <c r="C1524" t="s">
        <v>3143</v>
      </c>
      <c r="D1524" t="str">
        <f ca="1">IFERROR(__xludf.DUMMYFUNCTION("GOOGLETRANSLATE(B1524,""es"",""en"")"),"Crawl")</f>
        <v>Crawl</v>
      </c>
      <c r="E1524" t="str">
        <f ca="1">IFERROR(__xludf.DUMMYFUNCTION("GOOGLETRANSLATE(C1524,""es"",""en"")"),"Creep, , , ,")</f>
        <v>Creep, , , ,</v>
      </c>
    </row>
    <row r="1525" spans="1:5" ht="13.2" x14ac:dyDescent="0.25">
      <c r="A1525" t="s">
        <v>1187</v>
      </c>
      <c r="B1525" t="s">
        <v>3144</v>
      </c>
      <c r="C1525" t="s">
        <v>3145</v>
      </c>
      <c r="D1525" t="str">
        <f ca="1">IFERROR(__xludf.DUMMYFUNCTION("GOOGLETRANSLATE(B1525,""es"",""en"")"),"Enough")</f>
        <v>Enough</v>
      </c>
      <c r="E1525" t="str">
        <f ca="1">IFERROR(__xludf.DUMMYFUNCTION("GOOGLETRANSLATE(C1525,""es"",""en"")"),"Enough, , , ,")</f>
        <v>Enough, , , ,</v>
      </c>
    </row>
    <row r="1526" spans="1:5" ht="13.2" x14ac:dyDescent="0.25">
      <c r="A1526" t="s">
        <v>1188</v>
      </c>
      <c r="B1526" t="s">
        <v>1531</v>
      </c>
      <c r="C1526" t="s">
        <v>1529</v>
      </c>
      <c r="D1526" t="str">
        <f ca="1">IFERROR(__xludf.DUMMYFUNCTION("GOOGLETRANSLATE(B1526,""es"",""en"")"),"Quite")</f>
        <v>Quite</v>
      </c>
      <c r="E1526" t="str">
        <f ca="1">IFERROR(__xludf.DUMMYFUNCTION("GOOGLETRANSLATE(C1526,""es"",""en"")"),"A lot, enough ,,,")</f>
        <v>A lot, enough ,,,</v>
      </c>
    </row>
    <row r="1527" spans="1:5" ht="13.2" x14ac:dyDescent="0.25">
      <c r="A1527" t="s">
        <v>1189</v>
      </c>
      <c r="B1527" t="s">
        <v>1185</v>
      </c>
      <c r="D1527" t="str">
        <f ca="1">IFERROR(__xludf.DUMMYFUNCTION("GOOGLETRANSLATE(B1527,""es"",""en"")"),"Enough")</f>
        <v>Enough</v>
      </c>
      <c r="E1527" t="str">
        <f ca="1">IFERROR(__xludf.DUMMYFUNCTION("GOOGLETRANSLATE(C1527,""es"",""en"")"),"#VALUE!")</f>
        <v>#VALUE!</v>
      </c>
    </row>
    <row r="1528" spans="1:5" ht="13.2" x14ac:dyDescent="0.25">
      <c r="A1528" t="s">
        <v>3146</v>
      </c>
      <c r="B1528" t="s">
        <v>1531</v>
      </c>
      <c r="D1528" t="str">
        <f ca="1">IFERROR(__xludf.DUMMYFUNCTION("GOOGLETRANSLATE(B1528,""es"",""en"")"),"Quite")</f>
        <v>Quite</v>
      </c>
      <c r="E1528" t="str">
        <f ca="1">IFERROR(__xludf.DUMMYFUNCTION("GOOGLETRANSLATE(C1528,""es"",""en"")"),"#VALUE!")</f>
        <v>#VALUE!</v>
      </c>
    </row>
    <row r="1529" spans="1:5" ht="13.2" x14ac:dyDescent="0.25">
      <c r="A1529" t="s">
        <v>3147</v>
      </c>
      <c r="B1529" t="s">
        <v>3148</v>
      </c>
      <c r="C1529" t="s">
        <v>3149</v>
      </c>
      <c r="D1529" t="str">
        <f ca="1">IFERROR(__xludf.DUMMYFUNCTION("GOOGLETRANSLATE(B1529,""es"",""en"")"),"Only")</f>
        <v>Only</v>
      </c>
      <c r="E1529" t="str">
        <f ca="1">IFERROR(__xludf.DUMMYFUNCTION("GOOGLETRANSLATE(C1529,""es"",""en"")"),"Unique, almost ,,,,")</f>
        <v>Unique, almost ,,,,</v>
      </c>
    </row>
    <row r="1530" spans="1:5" ht="13.2" x14ac:dyDescent="0.25">
      <c r="A1530" t="s">
        <v>3150</v>
      </c>
      <c r="B1530" t="s">
        <v>3151</v>
      </c>
      <c r="C1530" t="s">
        <v>3152</v>
      </c>
      <c r="D1530" t="str">
        <f ca="1">IFERROR(__xludf.DUMMYFUNCTION("GOOGLETRANSLATE(B1530,""es"",""en"")"),"Casino")</f>
        <v>Casino</v>
      </c>
      <c r="E1530" t="str">
        <f ca="1">IFERROR(__xludf.DUMMYFUNCTION("GOOGLETRANSLATE(C1530,""es"",""en"")"),"Only, , , ,")</f>
        <v>Only, , , ,</v>
      </c>
    </row>
    <row r="1531" spans="1:5" ht="13.2" x14ac:dyDescent="0.25">
      <c r="A1531" t="s">
        <v>3153</v>
      </c>
      <c r="B1531" t="s">
        <v>88</v>
      </c>
      <c r="C1531" t="s">
        <v>3154</v>
      </c>
      <c r="D1531" t="str">
        <f ca="1">IFERROR(__xludf.DUMMYFUNCTION("GOOGLETRANSLATE(B1531,""es"",""en"")"),"Almost")</f>
        <v>Almost</v>
      </c>
      <c r="E1531" t="str">
        <f ca="1">IFERROR(__xludf.DUMMYFUNCTION("GOOGLETRANSLATE(C1531,""es"",""en"")"),"Narrowly, , , ,")</f>
        <v>Narrowly, , , ,</v>
      </c>
    </row>
    <row r="1532" spans="1:5" ht="13.2" x14ac:dyDescent="0.25">
      <c r="A1532" t="s">
        <v>3155</v>
      </c>
      <c r="B1532" t="s">
        <v>3156</v>
      </c>
      <c r="C1532" t="s">
        <v>3157</v>
      </c>
      <c r="D1532" t="str">
        <f ca="1">IFERROR(__xludf.DUMMYFUNCTION("GOOGLETRANSLATE(B1532,""es"",""en"")"),"Measure")</f>
        <v>Measure</v>
      </c>
      <c r="E1532" t="str">
        <f ca="1">IFERROR(__xludf.DUMMYFUNCTION("GOOGLETRANSLATE(C1532,""es"",""en"")"),"Calculate ,,,,")</f>
        <v>Calculate ,,,,</v>
      </c>
    </row>
    <row r="1533" spans="1:5" ht="13.2" x14ac:dyDescent="0.25">
      <c r="A1533" t="s">
        <v>3158</v>
      </c>
      <c r="B1533" t="s">
        <v>3159</v>
      </c>
      <c r="D1533" t="str">
        <f ca="1">IFERROR(__xludf.DUMMYFUNCTION("GOOGLETRANSLATE(B1533,""es"",""en"")"),"Vermin")</f>
        <v>Vermin</v>
      </c>
      <c r="E1533" t="str">
        <f ca="1">IFERROR(__xludf.DUMMYFUNCTION("GOOGLETRANSLATE(C1533,""es"",""en"")"),"#VALUE!")</f>
        <v>#VALUE!</v>
      </c>
    </row>
    <row r="1534" spans="1:5" ht="13.2" x14ac:dyDescent="0.25">
      <c r="A1534" t="s">
        <v>3160</v>
      </c>
      <c r="B1534" t="s">
        <v>3161</v>
      </c>
      <c r="D1534" t="str">
        <f ca="1">IFERROR(__xludf.DUMMYFUNCTION("GOOGLETRANSLATE(B1534,""es"",""en"")"),"Sardine variety")</f>
        <v>Sardine variety</v>
      </c>
      <c r="E1534" t="str">
        <f ca="1">IFERROR(__xludf.DUMMYFUNCTION("GOOGLETRANSLATE(C1534,""es"",""en"")"),"#VALUE!")</f>
        <v>#VALUE!</v>
      </c>
    </row>
    <row r="1535" spans="1:5" ht="13.2" x14ac:dyDescent="0.25">
      <c r="A1535" t="s">
        <v>3162</v>
      </c>
      <c r="B1535" t="s">
        <v>3163</v>
      </c>
      <c r="C1535" t="s">
        <v>3164</v>
      </c>
      <c r="D1535" t="str">
        <f ca="1">IFERROR(__xludf.DUMMYFUNCTION("GOOGLETRANSLATE(B1535,""es"",""en"")"),"Under")</f>
        <v>Under</v>
      </c>
      <c r="E1535" t="str">
        <f ca="1">IFERROR(__xludf.DUMMYFUNCTION("GOOGLETRANSLATE(C1535,""es"",""en"")")," Younger brother, , , ,")</f>
        <v xml:space="preserve"> Younger brother, , , ,</v>
      </c>
    </row>
    <row r="1536" spans="1:5" ht="13.2" x14ac:dyDescent="0.25">
      <c r="A1536" t="s">
        <v>3165</v>
      </c>
      <c r="B1536" t="s">
        <v>3166</v>
      </c>
      <c r="C1536" t="s">
        <v>3167</v>
      </c>
      <c r="D1536" t="str">
        <f ca="1">IFERROR(__xludf.DUMMYFUNCTION("GOOGLETRANSLATE(B1536,""es"",""en"")"),"Below")</f>
        <v>Below</v>
      </c>
      <c r="E1536" t="str">
        <f ca="1">IFERROR(__xludf.DUMMYFUNCTION("GOOGLETRANSLATE(C1536,""es"",""en"")"),"With the Cayuco ,,,,")</f>
        <v>With the Cayuco ,,,,</v>
      </c>
    </row>
    <row r="1537" spans="1:5" ht="13.2" x14ac:dyDescent="0.25">
      <c r="A1537" t="s">
        <v>3168</v>
      </c>
      <c r="B1537" t="s">
        <v>3169</v>
      </c>
      <c r="C1537" t="s">
        <v>3170</v>
      </c>
      <c r="D1537" t="str">
        <f ca="1">IFERROR(__xludf.DUMMYFUNCTION("GOOGLETRANSLATE(B1537,""es"",""en"")"),"Place")</f>
        <v>Place</v>
      </c>
      <c r="E1537" t="str">
        <f ca="1">IFERROR(__xludf.DUMMYFUNCTION("GOOGLETRANSLATE(C1537,""es"",""en"")"),"Put, , , ,")</f>
        <v>Put, , , ,</v>
      </c>
    </row>
    <row r="1538" spans="1:5" ht="13.2" x14ac:dyDescent="0.25">
      <c r="A1538" t="s">
        <v>3171</v>
      </c>
      <c r="B1538" t="s">
        <v>3172</v>
      </c>
      <c r="D1538" t="str">
        <f ca="1">IFERROR(__xludf.DUMMYFUNCTION("GOOGLETRANSLATE(B1538,""es"",""en"")"),"Lifeboat")</f>
        <v>Lifeboat</v>
      </c>
      <c r="E1538" t="str">
        <f ca="1">IFERROR(__xludf.DUMMYFUNCTION("GOOGLETRANSLATE(C1538,""es"",""en"")"),"#VALUE!")</f>
        <v>#VALUE!</v>
      </c>
    </row>
    <row r="1539" spans="1:5" ht="13.2" x14ac:dyDescent="0.25">
      <c r="A1539" t="s">
        <v>3173</v>
      </c>
      <c r="B1539" t="s">
        <v>3174</v>
      </c>
      <c r="C1539" t="s">
        <v>3175</v>
      </c>
      <c r="D1539" t="str">
        <f ca="1">IFERROR(__xludf.DUMMYFUNCTION("GOOGLETRANSLATE(B1539,""es"",""en"")"),"Rope")</f>
        <v>Rope</v>
      </c>
      <c r="E1539" t="str">
        <f ca="1">IFERROR(__xludf.DUMMYFUNCTION("GOOGLETRANSLATE(C1539,""es"",""en"")"),"Rope, , , ,")</f>
        <v>Rope, , , ,</v>
      </c>
    </row>
    <row r="1540" spans="1:5" ht="13.2" x14ac:dyDescent="0.25">
      <c r="A1540" t="s">
        <v>3176</v>
      </c>
      <c r="B1540" t="s">
        <v>3174</v>
      </c>
      <c r="C1540" t="s">
        <v>3175</v>
      </c>
      <c r="D1540" t="str">
        <f ca="1">IFERROR(__xludf.DUMMYFUNCTION("GOOGLETRANSLATE(B1540,""es"",""en"")"),"Rope")</f>
        <v>Rope</v>
      </c>
      <c r="E1540" t="str">
        <f ca="1">IFERROR(__xludf.DUMMYFUNCTION("GOOGLETRANSLATE(C1540,""es"",""en"")"),"Rope, , , ,")</f>
        <v>Rope, , , ,</v>
      </c>
    </row>
    <row r="1541" spans="1:5" ht="13.2" x14ac:dyDescent="0.25">
      <c r="A1541" t="s">
        <v>3177</v>
      </c>
      <c r="B1541" t="s">
        <v>3174</v>
      </c>
      <c r="C1541" t="s">
        <v>3175</v>
      </c>
      <c r="D1541" t="str">
        <f ca="1">IFERROR(__xludf.DUMMYFUNCTION("GOOGLETRANSLATE(B1541,""es"",""en"")"),"Rope")</f>
        <v>Rope</v>
      </c>
      <c r="E1541" t="str">
        <f ca="1">IFERROR(__xludf.DUMMYFUNCTION("GOOGLETRANSLATE(C1541,""es"",""en"")"),"Rope, , , ,")</f>
        <v>Rope, , , ,</v>
      </c>
    </row>
    <row r="1542" spans="1:5" ht="13.2" x14ac:dyDescent="0.25">
      <c r="A1542" t="s">
        <v>3178</v>
      </c>
      <c r="B1542" t="s">
        <v>3179</v>
      </c>
      <c r="D1542" t="str">
        <f ca="1">IFERROR(__xludf.DUMMYFUNCTION("GOOGLETRANSLATE(B1542,""es"",""en"")"),"Keel")</f>
        <v>Keel</v>
      </c>
      <c r="E1542" t="str">
        <f ca="1">IFERROR(__xludf.DUMMYFUNCTION("GOOGLETRANSLATE(C1542,""es"",""en"")"),"#VALUE!")</f>
        <v>#VALUE!</v>
      </c>
    </row>
    <row r="1543" spans="1:5" ht="13.2" x14ac:dyDescent="0.25">
      <c r="A1543" t="s">
        <v>3180</v>
      </c>
      <c r="B1543" t="s">
        <v>3181</v>
      </c>
      <c r="D1543" t="str">
        <f ca="1">IFERROR(__xludf.DUMMYFUNCTION("GOOGLETRANSLATE(B1543,""es"",""en"")"),"Wood")</f>
        <v>Wood</v>
      </c>
      <c r="E1543" t="str">
        <f ca="1">IFERROR(__xludf.DUMMYFUNCTION("GOOGLETRANSLATE(C1543,""es"",""en"")"),"#VALUE!")</f>
        <v>#VALUE!</v>
      </c>
    </row>
    <row r="1544" spans="1:5" ht="13.2" x14ac:dyDescent="0.25">
      <c r="A1544" t="s">
        <v>3182</v>
      </c>
      <c r="B1544" t="s">
        <v>3183</v>
      </c>
      <c r="D1544" t="str">
        <f ca="1">IFERROR(__xludf.DUMMYFUNCTION("GOOGLETRANSLATE(B1544,""es"",""en"")"),"start to run")</f>
        <v>start to run</v>
      </c>
      <c r="E1544" t="str">
        <f ca="1">IFERROR(__xludf.DUMMYFUNCTION("GOOGLETRANSLATE(C1544,""es"",""en"")"),"#VALUE!")</f>
        <v>#VALUE!</v>
      </c>
    </row>
    <row r="1545" spans="1:5" ht="13.2" x14ac:dyDescent="0.25">
      <c r="A1545" t="s">
        <v>3184</v>
      </c>
      <c r="B1545" t="s">
        <v>3185</v>
      </c>
      <c r="C1545" t="s">
        <v>3186</v>
      </c>
      <c r="D1545" t="str">
        <f ca="1">IFERROR(__xludf.DUMMYFUNCTION("GOOGLETRANSLATE(B1545,""es"",""en"")"),"The day before yesterday")</f>
        <v>The day before yesterday</v>
      </c>
      <c r="E1545" t="str">
        <f ca="1">IFERROR(__xludf.DUMMYFUNCTION("GOOGLETRANSLATE(C1545,""es"",""en"")"),"Two days ago, , , ,")</f>
        <v>Two days ago, , , ,</v>
      </c>
    </row>
    <row r="1546" spans="1:5" ht="13.2" x14ac:dyDescent="0.25">
      <c r="A1546" t="s">
        <v>3187</v>
      </c>
      <c r="B1546" t="s">
        <v>3188</v>
      </c>
      <c r="D1546" t="str">
        <f ca="1">IFERROR(__xludf.DUMMYFUNCTION("GOOGLETRANSLATE(B1546,""es"",""en"")"),"Candle")</f>
        <v>Candle</v>
      </c>
      <c r="E1546" t="str">
        <f ca="1">IFERROR(__xludf.DUMMYFUNCTION("GOOGLETRANSLATE(C1546,""es"",""en"")"),"#VALUE!")</f>
        <v>#VALUE!</v>
      </c>
    </row>
    <row r="1547" spans="1:5" ht="13.2" x14ac:dyDescent="0.25">
      <c r="A1547" t="s">
        <v>3189</v>
      </c>
      <c r="B1547" t="s">
        <v>3188</v>
      </c>
      <c r="D1547" t="str">
        <f ca="1">IFERROR(__xludf.DUMMYFUNCTION("GOOGLETRANSLATE(B1547,""es"",""en"")"),"Candle")</f>
        <v>Candle</v>
      </c>
      <c r="E1547" t="str">
        <f ca="1">IFERROR(__xludf.DUMMYFUNCTION("GOOGLETRANSLATE(C1547,""es"",""en"")"),"#VALUE!")</f>
        <v>#VALUE!</v>
      </c>
    </row>
    <row r="1548" spans="1:5" ht="13.2" x14ac:dyDescent="0.25">
      <c r="A1548" t="s">
        <v>3190</v>
      </c>
      <c r="B1548" t="s">
        <v>3191</v>
      </c>
      <c r="D1548" t="str">
        <f ca="1">IFERROR(__xludf.DUMMYFUNCTION("GOOGLETRANSLATE(B1548,""es"",""en"")"),"Bravucón")</f>
        <v>Bravucón</v>
      </c>
      <c r="E1548" t="str">
        <f ca="1">IFERROR(__xludf.DUMMYFUNCTION("GOOGLETRANSLATE(C1548,""es"",""en"")"),"#VALUE!")</f>
        <v>#VALUE!</v>
      </c>
    </row>
    <row r="1549" spans="1:5" ht="13.2" x14ac:dyDescent="0.25">
      <c r="A1549" t="s">
        <v>3192</v>
      </c>
      <c r="B1549" t="s">
        <v>3191</v>
      </c>
      <c r="C1549" t="s">
        <v>3193</v>
      </c>
      <c r="D1549" t="str">
        <f ca="1">IFERROR(__xludf.DUMMYFUNCTION("GOOGLETRANSLATE(B1549,""es"",""en"")"),"Bravucón")</f>
        <v>Bravucón</v>
      </c>
      <c r="E1549" t="str">
        <f ca="1">IFERROR(__xludf.DUMMYFUNCTION("GOOGLETRANSLATE(C1549,""es"",""en"")"),"Choleric, atamant ,,,,")</f>
        <v>Choleric, atamant ,,,,</v>
      </c>
    </row>
    <row r="1550" spans="1:5" ht="13.2" x14ac:dyDescent="0.25">
      <c r="A1550" t="s">
        <v>3194</v>
      </c>
      <c r="B1550" t="s">
        <v>3195</v>
      </c>
      <c r="D1550" t="str">
        <f ca="1">IFERROR(__xludf.DUMMYFUNCTION("GOOGLETRANSLATE(B1550,""es"",""en"")"),"Stern")</f>
        <v>Stern</v>
      </c>
      <c r="E1550" t="str">
        <f ca="1">IFERROR(__xludf.DUMMYFUNCTION("GOOGLETRANSLATE(C1550,""es"",""en"")"),"#VALUE!")</f>
        <v>#VALUE!</v>
      </c>
    </row>
    <row r="1551" spans="1:5" ht="13.2" x14ac:dyDescent="0.25">
      <c r="A1551" t="s">
        <v>3196</v>
      </c>
      <c r="B1551" t="s">
        <v>3195</v>
      </c>
      <c r="D1551" t="str">
        <f ca="1">IFERROR(__xludf.DUMMYFUNCTION("GOOGLETRANSLATE(B1551,""es"",""en"")"),"Stern")</f>
        <v>Stern</v>
      </c>
      <c r="E1551" t="str">
        <f ca="1">IFERROR(__xludf.DUMMYFUNCTION("GOOGLETRANSLATE(C1551,""es"",""en"")"),"#VALUE!")</f>
        <v>#VALUE!</v>
      </c>
    </row>
    <row r="1552" spans="1:5" ht="13.2" x14ac:dyDescent="0.25">
      <c r="A1552" t="s">
        <v>3197</v>
      </c>
      <c r="B1552" t="s">
        <v>3198</v>
      </c>
      <c r="D1552" t="str">
        <f ca="1">IFERROR(__xludf.DUMMYFUNCTION("GOOGLETRANSLATE(B1552,""es"",""en"")"),"Cedar tree")</f>
        <v>Cedar tree</v>
      </c>
      <c r="E1552" t="str">
        <f ca="1">IFERROR(__xludf.DUMMYFUNCTION("GOOGLETRANSLATE(C1552,""es"",""en"")"),"#VALUE!")</f>
        <v>#VALUE!</v>
      </c>
    </row>
    <row r="1553" spans="1:5" ht="13.2" x14ac:dyDescent="0.25">
      <c r="A1553" t="s">
        <v>3197</v>
      </c>
      <c r="B1553" t="s">
        <v>3199</v>
      </c>
      <c r="D1553" t="str">
        <f ca="1">IFERROR(__xludf.DUMMYFUNCTION("GOOGLETRANSLATE(B1553,""es"",""en"")"),"Cedar tree")</f>
        <v>Cedar tree</v>
      </c>
      <c r="E1553" t="str">
        <f ca="1">IFERROR(__xludf.DUMMYFUNCTION("GOOGLETRANSLATE(C1553,""es"",""en"")"),"#VALUE!")</f>
        <v>#VALUE!</v>
      </c>
    </row>
    <row r="1554" spans="1:5" ht="13.2" x14ac:dyDescent="0.25">
      <c r="A1554" t="s">
        <v>3200</v>
      </c>
      <c r="B1554" t="s">
        <v>3201</v>
      </c>
      <c r="C1554" t="s">
        <v>3202</v>
      </c>
      <c r="D1554" t="str">
        <f ca="1">IFERROR(__xludf.DUMMYFUNCTION("GOOGLETRANSLATE(B1554,""es"",""en"")"),"Fight")</f>
        <v>Fight</v>
      </c>
      <c r="E1554" t="str">
        <f ca="1">IFERROR(__xludf.DUMMYFUNCTION("GOOGLETRANSLATE(C1554,""es"",""en"")"),"War ,,,,,")</f>
        <v>War ,,,,,</v>
      </c>
    </row>
    <row r="1555" spans="1:5" ht="13.2" x14ac:dyDescent="0.25">
      <c r="A1555" t="s">
        <v>3203</v>
      </c>
      <c r="B1555" t="s">
        <v>3201</v>
      </c>
      <c r="C1555" t="s">
        <v>3202</v>
      </c>
      <c r="D1555" t="str">
        <f ca="1">IFERROR(__xludf.DUMMYFUNCTION("GOOGLETRANSLATE(B1555,""es"",""en"")"),"Fight")</f>
        <v>Fight</v>
      </c>
      <c r="E1555" t="str">
        <f ca="1">IFERROR(__xludf.DUMMYFUNCTION("GOOGLETRANSLATE(C1555,""es"",""en"")"),"War ,,,,,")</f>
        <v>War ,,,,,</v>
      </c>
    </row>
    <row r="1556" spans="1:5" ht="13.2" x14ac:dyDescent="0.25">
      <c r="A1556" t="s">
        <v>3204</v>
      </c>
      <c r="B1556" t="s">
        <v>3205</v>
      </c>
      <c r="D1556" t="str">
        <f ca="1">IFERROR(__xludf.DUMMYFUNCTION("GOOGLETRANSLATE(B1556,""es"",""en"")"),"Raccoon")</f>
        <v>Raccoon</v>
      </c>
      <c r="E1556" t="str">
        <f ca="1">IFERROR(__xludf.DUMMYFUNCTION("GOOGLETRANSLATE(C1556,""es"",""en"")"),"#VALUE!")</f>
        <v>#VALUE!</v>
      </c>
    </row>
    <row r="1557" spans="1:5" ht="13.2" x14ac:dyDescent="0.25">
      <c r="A1557" t="s">
        <v>3206</v>
      </c>
      <c r="B1557" t="s">
        <v>3201</v>
      </c>
      <c r="D1557" t="str">
        <f ca="1">IFERROR(__xludf.DUMMYFUNCTION("GOOGLETRANSLATE(B1557,""es"",""en"")"),"Fight")</f>
        <v>Fight</v>
      </c>
      <c r="E1557" t="str">
        <f ca="1">IFERROR(__xludf.DUMMYFUNCTION("GOOGLETRANSLATE(C1557,""es"",""en"")"),"#VALUE!")</f>
        <v>#VALUE!</v>
      </c>
    </row>
    <row r="1558" spans="1:5" ht="13.2" x14ac:dyDescent="0.25">
      <c r="A1558" t="s">
        <v>3207</v>
      </c>
      <c r="B1558" t="s">
        <v>3208</v>
      </c>
      <c r="C1558" t="s">
        <v>3209</v>
      </c>
      <c r="D1558" t="s">
        <v>3210</v>
      </c>
      <c r="E1558" t="str">
        <f ca="1">IFERROR(__xludf.DUMMYFUNCTION("GOOGLETRANSLATE(C1558,""es"",""en"")"),"Rabbit, , , ,")</f>
        <v>Rabbit, , , ,</v>
      </c>
    </row>
    <row r="1559" spans="1:5" ht="13.2" x14ac:dyDescent="0.25">
      <c r="A1559" t="s">
        <v>3211</v>
      </c>
      <c r="B1559" t="s">
        <v>3208</v>
      </c>
      <c r="C1559" t="s">
        <v>3209</v>
      </c>
      <c r="D1559" t="s">
        <v>3210</v>
      </c>
      <c r="E1559" t="str">
        <f ca="1">IFERROR(__xludf.DUMMYFUNCTION("GOOGLETRANSLATE(C1559,""es"",""en"")"),"Rabbit, , , ,")</f>
        <v>Rabbit, , , ,</v>
      </c>
    </row>
    <row r="1560" spans="1:5" ht="13.2" x14ac:dyDescent="0.25">
      <c r="A1560" t="s">
        <v>1393</v>
      </c>
      <c r="B1560" t="s">
        <v>1391</v>
      </c>
      <c r="C1560" t="s">
        <v>1392</v>
      </c>
      <c r="D1560" t="str">
        <f ca="1">IFERROR(__xludf.DUMMYFUNCTION("GOOGLETRANSLATE(B1560,""es"",""en"")"),"Brief")</f>
        <v>Brief</v>
      </c>
      <c r="E1560" t="str">
        <f ca="1">IFERROR(__xludf.DUMMYFUNCTION("GOOGLETRANSLATE(C1560,""es"",""en"")"),"Short, , , ,")</f>
        <v>Short, , , ,</v>
      </c>
    </row>
    <row r="1561" spans="1:5" ht="13.2" x14ac:dyDescent="0.25">
      <c r="A1561" t="s">
        <v>1390</v>
      </c>
      <c r="B1561" t="s">
        <v>1391</v>
      </c>
      <c r="C1561" t="s">
        <v>1392</v>
      </c>
      <c r="D1561" t="str">
        <f ca="1">IFERROR(__xludf.DUMMYFUNCTION("GOOGLETRANSLATE(B1561,""es"",""en"")"),"Brief")</f>
        <v>Brief</v>
      </c>
      <c r="E1561" t="str">
        <f ca="1">IFERROR(__xludf.DUMMYFUNCTION("GOOGLETRANSLATE(C1561,""es"",""en"")"),"Short, , , ,")</f>
        <v>Short, , , ,</v>
      </c>
    </row>
    <row r="1562" spans="1:5" ht="13.2" x14ac:dyDescent="0.25">
      <c r="A1562" t="s">
        <v>90</v>
      </c>
      <c r="B1562" t="s">
        <v>86</v>
      </c>
      <c r="D1562" t="str">
        <f ca="1">IFERROR(__xludf.DUMMYFUNCTION("GOOGLETRANSLATE(B1562,""es"",""en"")"),"Short")</f>
        <v>Short</v>
      </c>
      <c r="E1562" t="str">
        <f ca="1">IFERROR(__xludf.DUMMYFUNCTION("GOOGLETRANSLATE(C1562,""es"",""en"")"),"#VALUE!")</f>
        <v>#VALUE!</v>
      </c>
    </row>
    <row r="1563" spans="1:5" ht="13.2" x14ac:dyDescent="0.25">
      <c r="A1563" t="s">
        <v>1394</v>
      </c>
      <c r="B1563" t="s">
        <v>86</v>
      </c>
      <c r="D1563" t="str">
        <f ca="1">IFERROR(__xludf.DUMMYFUNCTION("GOOGLETRANSLATE(B1563,""es"",""en"")"),"Short")</f>
        <v>Short</v>
      </c>
      <c r="E1563" t="str">
        <f ca="1">IFERROR(__xludf.DUMMYFUNCTION("GOOGLETRANSLATE(C1563,""es"",""en"")"),"#VALUE!")</f>
        <v>#VALUE!</v>
      </c>
    </row>
    <row r="1564" spans="1:5" ht="13.2" x14ac:dyDescent="0.25">
      <c r="A1564" t="s">
        <v>3212</v>
      </c>
      <c r="B1564" t="s">
        <v>86</v>
      </c>
      <c r="D1564" t="str">
        <f ca="1">IFERROR(__xludf.DUMMYFUNCTION("GOOGLETRANSLATE(B1564,""es"",""en"")"),"Short")</f>
        <v>Short</v>
      </c>
      <c r="E1564" t="str">
        <f ca="1">IFERROR(__xludf.DUMMYFUNCTION("GOOGLETRANSLATE(C1564,""es"",""en"")"),"#VALUE!")</f>
        <v>#VALUE!</v>
      </c>
    </row>
    <row r="1565" spans="1:5" ht="13.2" x14ac:dyDescent="0.25">
      <c r="A1565" t="s">
        <v>3213</v>
      </c>
      <c r="B1565" t="s">
        <v>3214</v>
      </c>
      <c r="D1565" t="str">
        <f ca="1">IFERROR(__xludf.DUMMYFUNCTION("GOOGLETRANSLATE(B1565,""es"",""en"")"),"Squirrel")</f>
        <v>Squirrel</v>
      </c>
      <c r="E1565" t="str">
        <f ca="1">IFERROR(__xludf.DUMMYFUNCTION("GOOGLETRANSLATE(C1565,""es"",""en"")"),"#VALUE!")</f>
        <v>#VALUE!</v>
      </c>
    </row>
    <row r="1566" spans="1:5" ht="13.2" x14ac:dyDescent="0.25">
      <c r="A1566" t="s">
        <v>3215</v>
      </c>
      <c r="B1566" t="s">
        <v>3214</v>
      </c>
      <c r="D1566" t="str">
        <f ca="1">IFERROR(__xludf.DUMMYFUNCTION("GOOGLETRANSLATE(B1566,""es"",""en"")"),"Squirrel")</f>
        <v>Squirrel</v>
      </c>
      <c r="E1566" t="str">
        <f ca="1">IFERROR(__xludf.DUMMYFUNCTION("GOOGLETRANSLATE(C1566,""es"",""en"")"),"#VALUE!")</f>
        <v>#VALUE!</v>
      </c>
    </row>
    <row r="1567" spans="1:5" ht="13.2" x14ac:dyDescent="0.25">
      <c r="A1567" t="s">
        <v>3216</v>
      </c>
      <c r="B1567" t="s">
        <v>3048</v>
      </c>
      <c r="C1567" t="s">
        <v>3049</v>
      </c>
      <c r="D1567" t="str">
        <f ca="1">IFERROR(__xludf.DUMMYFUNCTION("GOOGLETRANSLATE(B1567,""es"",""en"")"),"On")</f>
        <v>On</v>
      </c>
      <c r="E1567" t="str">
        <f ca="1">IFERROR(__xludf.DUMMYFUNCTION("GOOGLETRANSLATE(C1567,""es"",""en"")"),"About, , , ,")</f>
        <v>About, , , ,</v>
      </c>
    </row>
    <row r="1568" spans="1:5" ht="13.2" x14ac:dyDescent="0.25">
      <c r="A1568" t="s">
        <v>3217</v>
      </c>
      <c r="B1568" t="s">
        <v>3214</v>
      </c>
      <c r="D1568" t="str">
        <f ca="1">IFERROR(__xludf.DUMMYFUNCTION("GOOGLETRANSLATE(B1568,""es"",""en"")"),"Squirrel")</f>
        <v>Squirrel</v>
      </c>
      <c r="E1568" t="str">
        <f ca="1">IFERROR(__xludf.DUMMYFUNCTION("GOOGLETRANSLATE(C1568,""es"",""en"")"),"#VALUE!")</f>
        <v>#VALUE!</v>
      </c>
    </row>
    <row r="1569" spans="1:5" ht="13.2" x14ac:dyDescent="0.25">
      <c r="A1569" t="s">
        <v>3218</v>
      </c>
      <c r="B1569" t="s">
        <v>3219</v>
      </c>
      <c r="D1569" t="str">
        <f ca="1">IFERROR(__xludf.DUMMYFUNCTION("GOOGLETRANSLATE(B1569,""es"",""en"")"),"Ñeque dance")</f>
        <v>Ñeque dance</v>
      </c>
      <c r="E1569" t="str">
        <f ca="1">IFERROR(__xludf.DUMMYFUNCTION("GOOGLETRANSLATE(C1569,""es"",""en"")"),"#VALUE!")</f>
        <v>#VALUE!</v>
      </c>
    </row>
    <row r="1570" spans="1:5" ht="13.2" x14ac:dyDescent="0.25">
      <c r="A1570" t="s">
        <v>3220</v>
      </c>
      <c r="B1570" t="s">
        <v>3221</v>
      </c>
      <c r="D1570" t="str">
        <f ca="1">IFERROR(__xludf.DUMMYFUNCTION("GOOGLETRANSLATE(B1570,""es"",""en"")"),"Hammock")</f>
        <v>Hammock</v>
      </c>
      <c r="E1570" t="str">
        <f ca="1">IFERROR(__xludf.DUMMYFUNCTION("GOOGLETRANSLATE(C1570,""es"",""en"")"),"#VALUE!")</f>
        <v>#VALUE!</v>
      </c>
    </row>
    <row r="1571" spans="1:5" ht="13.2" x14ac:dyDescent="0.25">
      <c r="A1571" t="s">
        <v>3222</v>
      </c>
      <c r="B1571" t="s">
        <v>3221</v>
      </c>
      <c r="D1571" t="str">
        <f ca="1">IFERROR(__xludf.DUMMYFUNCTION("GOOGLETRANSLATE(B1571,""es"",""en"")"),"Hammock")</f>
        <v>Hammock</v>
      </c>
      <c r="E1571" t="str">
        <f ca="1">IFERROR(__xludf.DUMMYFUNCTION("GOOGLETRANSLATE(C1571,""es"",""en"")"),"#VALUE!")</f>
        <v>#VALUE!</v>
      </c>
    </row>
    <row r="1572" spans="1:5" ht="13.2" x14ac:dyDescent="0.25">
      <c r="A1572" t="s">
        <v>3223</v>
      </c>
      <c r="B1572" t="s">
        <v>3224</v>
      </c>
      <c r="C1572" t="s">
        <v>3225</v>
      </c>
      <c r="D1572" t="str">
        <f ca="1">IFERROR(__xludf.DUMMYFUNCTION("GOOGLETRANSLATE(B1572,""es"",""en"")"),"Smoke")</f>
        <v>Smoke</v>
      </c>
      <c r="E1572" t="str">
        <f ca="1">IFERROR(__xludf.DUMMYFUNCTION("GOOGLETRANSLATE(C1572,""es"",""en"")"),"Smoked ,,,,")</f>
        <v>Smoked ,,,,</v>
      </c>
    </row>
    <row r="1573" spans="1:5" ht="13.2" x14ac:dyDescent="0.25">
      <c r="A1573" t="s">
        <v>3226</v>
      </c>
      <c r="B1573" t="s">
        <v>3227</v>
      </c>
      <c r="D1573" t="str">
        <f ca="1">IFERROR(__xludf.DUMMYFUNCTION("GOOGLETRANSLATE(B1573,""es"",""en"")"),"Chimney")</f>
        <v>Chimney</v>
      </c>
      <c r="E1573" t="str">
        <f ca="1">IFERROR(__xludf.DUMMYFUNCTION("GOOGLETRANSLATE(C1573,""es"",""en"")"),"#VALUE!")</f>
        <v>#VALUE!</v>
      </c>
    </row>
    <row r="1574" spans="1:5" ht="13.2" x14ac:dyDescent="0.25">
      <c r="A1574" t="s">
        <v>3228</v>
      </c>
      <c r="B1574" t="s">
        <v>3229</v>
      </c>
      <c r="C1574" t="s">
        <v>3230</v>
      </c>
      <c r="D1574" t="str">
        <f ca="1">IFERROR(__xludf.DUMMYFUNCTION("GOOGLETRANSLATE(B1574,""es"",""en"")"),"Fig")</f>
        <v>Fig</v>
      </c>
      <c r="E1574" t="str">
        <f ca="1">IFERROR(__xludf.DUMMYFUNCTION("GOOGLETRANSLATE(C1574,""es"",""en"")"),"Tobacco ,,,,")</f>
        <v>Tobacco ,,,,</v>
      </c>
    </row>
    <row r="1575" spans="1:5" ht="13.2" x14ac:dyDescent="0.25">
      <c r="A1575" t="s">
        <v>3231</v>
      </c>
      <c r="B1575" t="s">
        <v>3232</v>
      </c>
      <c r="C1575" t="s">
        <v>3233</v>
      </c>
      <c r="D1575" t="str">
        <f ca="1">IFERROR(__xludf.DUMMYFUNCTION("GOOGLETRANSLATE(B1575,""es"",""en"")"),"Furry")</f>
        <v>Furry</v>
      </c>
      <c r="E1575" t="str">
        <f ca="1">IFERROR(__xludf.DUMMYFUNCTION("GOOGLETRANSLATE(C1575,""es"",""en"")"),"Hairy, sunflowing ,,,,")</f>
        <v>Hairy, sunflowing ,,,,</v>
      </c>
    </row>
    <row r="1576" spans="1:5" ht="13.2" x14ac:dyDescent="0.25">
      <c r="A1576" t="s">
        <v>3234</v>
      </c>
      <c r="B1576" t="s">
        <v>3235</v>
      </c>
      <c r="D1576" t="str">
        <f ca="1">IFERROR(__xludf.DUMMYFUNCTION("GOOGLETRANSLATE(B1576,""es"",""en"")"),"Spinning")</f>
        <v>Spinning</v>
      </c>
      <c r="E1576" t="str">
        <f ca="1">IFERROR(__xludf.DUMMYFUNCTION("GOOGLETRANSLATE(C1576,""es"",""en"")"),"#VALUE!")</f>
        <v>#VALUE!</v>
      </c>
    </row>
    <row r="1577" spans="1:5" ht="13.2" x14ac:dyDescent="0.25">
      <c r="A1577" t="s">
        <v>3236</v>
      </c>
      <c r="B1577" t="s">
        <v>3237</v>
      </c>
      <c r="D1577" t="str">
        <f ca="1">IFERROR(__xludf.DUMMYFUNCTION("GOOGLETRANSLATE(B1577,""es"",""en"")"),"Clock")</f>
        <v>Clock</v>
      </c>
      <c r="E1577" t="str">
        <f ca="1">IFERROR(__xludf.DUMMYFUNCTION("GOOGLETRANSLATE(C1577,""es"",""en"")"),"#VALUE!")</f>
        <v>#VALUE!</v>
      </c>
    </row>
    <row r="1578" spans="1:5" ht="13.2" x14ac:dyDescent="0.25">
      <c r="A1578" t="s">
        <v>3050</v>
      </c>
      <c r="B1578" t="s">
        <v>3048</v>
      </c>
      <c r="C1578" t="s">
        <v>3049</v>
      </c>
      <c r="D1578" t="str">
        <f ca="1">IFERROR(__xludf.DUMMYFUNCTION("GOOGLETRANSLATE(B1578,""es"",""en"")"),"On")</f>
        <v>On</v>
      </c>
      <c r="E1578" t="str">
        <f ca="1">IFERROR(__xludf.DUMMYFUNCTION("GOOGLETRANSLATE(C1578,""es"",""en"")"),"About, , , ,")</f>
        <v>About, , , ,</v>
      </c>
    </row>
    <row r="1579" spans="1:5" ht="13.2" x14ac:dyDescent="0.25">
      <c r="A1579" t="s">
        <v>3238</v>
      </c>
      <c r="B1579" t="s">
        <v>3239</v>
      </c>
      <c r="C1579" t="s">
        <v>3240</v>
      </c>
      <c r="D1579" t="str">
        <f ca="1">IFERROR(__xludf.DUMMYFUNCTION("GOOGLETRANSLATE(B1579,""es"",""en"")"),"Sahumar")</f>
        <v>Sahumar</v>
      </c>
      <c r="E1579" t="str">
        <f ca="1">IFERROR(__xludf.DUMMYFUNCTION("GOOGLETRANSLATE(C1579,""es"",""en"")"),"Medicine, sunflowed ,,,,")</f>
        <v>Medicine, sunflowed ,,,,</v>
      </c>
    </row>
    <row r="1580" spans="1:5" ht="13.2" x14ac:dyDescent="0.25">
      <c r="A1580" t="s">
        <v>3241</v>
      </c>
      <c r="B1580" t="s">
        <v>3242</v>
      </c>
      <c r="C1580" t="s">
        <v>3243</v>
      </c>
      <c r="D1580" t="str">
        <f ca="1">IFERROR(__xludf.DUMMYFUNCTION("GOOGLETRANSLATE(B1580,""es"",""en"")"),"Foreign")</f>
        <v>Foreign</v>
      </c>
      <c r="E1580" t="str">
        <f ca="1">IFERROR(__xludf.DUMMYFUNCTION("GOOGLETRANSLATE(C1580,""es"",""en"")"),"Ladino, no guna, not indigenous ,,,")</f>
        <v>Ladino, no guna, not indigenous ,,,</v>
      </c>
    </row>
    <row r="1581" spans="1:5" ht="13.2" x14ac:dyDescent="0.25">
      <c r="A1581" t="s">
        <v>3244</v>
      </c>
      <c r="B1581" t="s">
        <v>3245</v>
      </c>
      <c r="C1581" t="s">
        <v>3246</v>
      </c>
      <c r="D1581" t="str">
        <f ca="1">IFERROR(__xludf.DUMMYFUNCTION("GOOGLETRANSLATE(B1581,""es"",""en"")"),"In the presence of")</f>
        <v>In the presence of</v>
      </c>
      <c r="E1581" t="str">
        <f ca="1">IFERROR(__xludf.DUMMYFUNCTION("GOOGLETRANSLATE(C1581,""es"",""en"")")," In front of, , , ,")</f>
        <v xml:space="preserve"> In front of, , , ,</v>
      </c>
    </row>
    <row r="1582" spans="1:5" ht="13.2" x14ac:dyDescent="0.25">
      <c r="A1582" t="s">
        <v>3247</v>
      </c>
      <c r="B1582" t="s">
        <v>3248</v>
      </c>
      <c r="C1582" t="s">
        <v>3249</v>
      </c>
      <c r="D1582" t="str">
        <f ca="1">IFERROR(__xludf.DUMMYFUNCTION("GOOGLETRANSLATE(B1582,""es"",""en"")"),"Expensive")</f>
        <v>Expensive</v>
      </c>
      <c r="E1582" t="str">
        <f ca="1">IFERROR(__xludf.DUMMYFUNCTION("GOOGLETRANSLATE(C1582,""es"",""en"")"),"Face, countenance ,,,,")</f>
        <v>Face, countenance ,,,,</v>
      </c>
    </row>
    <row r="1583" spans="1:5" ht="13.2" x14ac:dyDescent="0.25">
      <c r="A1583" t="s">
        <v>3250</v>
      </c>
      <c r="B1583" t="s">
        <v>3248</v>
      </c>
      <c r="C1583" t="s">
        <v>3251</v>
      </c>
      <c r="D1583" t="str">
        <f ca="1">IFERROR(__xludf.DUMMYFUNCTION("GOOGLETRANSLATE(B1583,""es"",""en"")"),"Expensive")</f>
        <v>Expensive</v>
      </c>
      <c r="E1583" t="str">
        <f ca="1">IFERROR(__xludf.DUMMYFUNCTION("GOOGLETRANSLATE(C1583,""es"",""en"")"),"Face, , , ,")</f>
        <v>Face, , , ,</v>
      </c>
    </row>
    <row r="1584" spans="1:5" ht="13.2" x14ac:dyDescent="0.25">
      <c r="A1584" t="s">
        <v>3252</v>
      </c>
      <c r="B1584" t="s">
        <v>3253</v>
      </c>
      <c r="C1584" t="s">
        <v>3254</v>
      </c>
      <c r="D1584" t="str">
        <f ca="1">IFERROR(__xludf.DUMMYFUNCTION("GOOGLETRANSLATE(B1584,""es"",""en"")"),"To portray")</f>
        <v>To portray</v>
      </c>
      <c r="E1584" t="str">
        <f ca="1">IFERROR(__xludf.DUMMYFUNCTION("GOOGLETRANSLATE(C1584,""es"",""en"")"),"To photograph, , , ,")</f>
        <v>To photograph, , , ,</v>
      </c>
    </row>
    <row r="1585" spans="1:5" ht="13.2" x14ac:dyDescent="0.25">
      <c r="A1585" t="s">
        <v>3255</v>
      </c>
      <c r="B1585" t="s">
        <v>3253</v>
      </c>
      <c r="C1585" t="s">
        <v>3254</v>
      </c>
      <c r="D1585" t="str">
        <f ca="1">IFERROR(__xludf.DUMMYFUNCTION("GOOGLETRANSLATE(B1585,""es"",""en"")"),"To portray")</f>
        <v>To portray</v>
      </c>
      <c r="E1585" t="str">
        <f ca="1">IFERROR(__xludf.DUMMYFUNCTION("GOOGLETRANSLATE(C1585,""es"",""en"")"),"To photograph, , , ,")</f>
        <v>To photograph, , , ,</v>
      </c>
    </row>
    <row r="1586" spans="1:5" ht="13.2" x14ac:dyDescent="0.25">
      <c r="A1586" t="s">
        <v>3256</v>
      </c>
      <c r="B1586" t="s">
        <v>3253</v>
      </c>
      <c r="C1586" t="s">
        <v>3254</v>
      </c>
      <c r="D1586" t="str">
        <f ca="1">IFERROR(__xludf.DUMMYFUNCTION("GOOGLETRANSLATE(B1586,""es"",""en"")"),"To portray")</f>
        <v>To portray</v>
      </c>
      <c r="E1586" t="str">
        <f ca="1">IFERROR(__xludf.DUMMYFUNCTION("GOOGLETRANSLATE(C1586,""es"",""en"")"),"To photograph, , , ,")</f>
        <v>To photograph, , , ,</v>
      </c>
    </row>
    <row r="1587" spans="1:5" ht="13.2" x14ac:dyDescent="0.25">
      <c r="A1587" t="s">
        <v>3257</v>
      </c>
      <c r="B1587" t="s">
        <v>3258</v>
      </c>
      <c r="D1587" t="str">
        <f ca="1">IFERROR(__xludf.DUMMYFUNCTION("GOOGLETRANSLATE(B1587,""es"",""en"")"),"Cheek")</f>
        <v>Cheek</v>
      </c>
      <c r="E1587" t="str">
        <f ca="1">IFERROR(__xludf.DUMMYFUNCTION("GOOGLETRANSLATE(C1587,""es"",""en"")"),"#VALUE!")</f>
        <v>#VALUE!</v>
      </c>
    </row>
    <row r="1588" spans="1:5" ht="13.2" x14ac:dyDescent="0.25">
      <c r="A1588" t="s">
        <v>3259</v>
      </c>
      <c r="B1588" t="s">
        <v>3258</v>
      </c>
      <c r="D1588" t="str">
        <f ca="1">IFERROR(__xludf.DUMMYFUNCTION("GOOGLETRANSLATE(B1588,""es"",""en"")"),"Cheek")</f>
        <v>Cheek</v>
      </c>
      <c r="E1588" t="str">
        <f ca="1">IFERROR(__xludf.DUMMYFUNCTION("GOOGLETRANSLATE(C1588,""es"",""en"")"),"#VALUE!")</f>
        <v>#VALUE!</v>
      </c>
    </row>
    <row r="1589" spans="1:5" ht="13.2" x14ac:dyDescent="0.25">
      <c r="A1589" t="s">
        <v>3051</v>
      </c>
      <c r="B1589" t="s">
        <v>3048</v>
      </c>
      <c r="C1589" t="s">
        <v>3049</v>
      </c>
      <c r="D1589" t="str">
        <f ca="1">IFERROR(__xludf.DUMMYFUNCTION("GOOGLETRANSLATE(B1589,""es"",""en"")"),"On")</f>
        <v>On</v>
      </c>
      <c r="E1589" t="str">
        <f ca="1">IFERROR(__xludf.DUMMYFUNCTION("GOOGLETRANSLATE(C1589,""es"",""en"")"),"About, , , ,")</f>
        <v>About, , , ,</v>
      </c>
    </row>
    <row r="1590" spans="1:5" ht="13.2" x14ac:dyDescent="0.25">
      <c r="A1590" t="s">
        <v>3260</v>
      </c>
      <c r="B1590" t="s">
        <v>3261</v>
      </c>
      <c r="D1590" t="str">
        <f ca="1">IFERROR(__xludf.DUMMYFUNCTION("GOOGLETRANSLATE(B1590,""es"",""en"")"),"Kiss")</f>
        <v>Kiss</v>
      </c>
      <c r="E1590" t="str">
        <f ca="1">IFERROR(__xludf.DUMMYFUNCTION("GOOGLETRANSLATE(C1590,""es"",""en"")"),"#VALUE!")</f>
        <v>#VALUE!</v>
      </c>
    </row>
    <row r="1591" spans="1:5" ht="13.2" x14ac:dyDescent="0.25">
      <c r="A1591" t="s">
        <v>3262</v>
      </c>
      <c r="B1591" t="s">
        <v>3263</v>
      </c>
      <c r="C1591" t="s">
        <v>3264</v>
      </c>
      <c r="D1591" t="str">
        <f ca="1">IFERROR(__xludf.DUMMYFUNCTION("GOOGLETRANSLATE(B1591,""es"",""en"")"),"Photography")</f>
        <v>Photography</v>
      </c>
      <c r="E1591" t="str">
        <f ca="1">IFERROR(__xludf.DUMMYFUNCTION("GOOGLETRANSLATE(C1591,""es"",""en"")"),"Photo, , , ,")</f>
        <v>Photo, , , ,</v>
      </c>
    </row>
    <row r="1592" spans="1:5" ht="13.2" x14ac:dyDescent="0.25">
      <c r="A1592" t="s">
        <v>3265</v>
      </c>
      <c r="B1592" t="s">
        <v>3266</v>
      </c>
      <c r="D1592" t="str">
        <f ca="1">IFERROR(__xludf.DUMMYFUNCTION("GOOGLETRANSLATE(B1592,""es"",""en"")"),"Cashew")</f>
        <v>Cashew</v>
      </c>
      <c r="E1592" t="str">
        <f ca="1">IFERROR(__xludf.DUMMYFUNCTION("GOOGLETRANSLATE(C1592,""es"",""en"")"),"#VALUE!")</f>
        <v>#VALUE!</v>
      </c>
    </row>
    <row r="1593" spans="1:5" ht="13.2" x14ac:dyDescent="0.25">
      <c r="A1593" t="s">
        <v>3267</v>
      </c>
      <c r="B1593" t="s">
        <v>3268</v>
      </c>
      <c r="D1593" t="str">
        <f ca="1">IFERROR(__xludf.DUMMYFUNCTION("GOOGLETRANSLATE(B1593,""es"",""en"")"),"Early")</f>
        <v>Early</v>
      </c>
      <c r="E1593" t="str">
        <f ca="1">IFERROR(__xludf.DUMMYFUNCTION("GOOGLETRANSLATE(C1593,""es"",""en"")"),"#VALUE!")</f>
        <v>#VALUE!</v>
      </c>
    </row>
    <row r="1594" spans="1:5" ht="13.2" x14ac:dyDescent="0.25">
      <c r="A1594" t="s">
        <v>3269</v>
      </c>
      <c r="B1594" t="s">
        <v>3268</v>
      </c>
      <c r="D1594" t="str">
        <f ca="1">IFERROR(__xludf.DUMMYFUNCTION("GOOGLETRANSLATE(B1594,""es"",""en"")"),"Early")</f>
        <v>Early</v>
      </c>
      <c r="E1594" t="str">
        <f ca="1">IFERROR(__xludf.DUMMYFUNCTION("GOOGLETRANSLATE(C1594,""es"",""en"")"),"#VALUE!")</f>
        <v>#VALUE!</v>
      </c>
    </row>
    <row r="1595" spans="1:5" ht="13.2" x14ac:dyDescent="0.25">
      <c r="A1595" t="s">
        <v>3270</v>
      </c>
      <c r="B1595" t="s">
        <v>3268</v>
      </c>
      <c r="D1595" t="str">
        <f ca="1">IFERROR(__xludf.DUMMYFUNCTION("GOOGLETRANSLATE(B1595,""es"",""en"")"),"Early")</f>
        <v>Early</v>
      </c>
      <c r="E1595" t="str">
        <f ca="1">IFERROR(__xludf.DUMMYFUNCTION("GOOGLETRANSLATE(C1595,""es"",""en"")"),"#VALUE!")</f>
        <v>#VALUE!</v>
      </c>
    </row>
    <row r="1596" spans="1:5" ht="13.2" x14ac:dyDescent="0.25">
      <c r="A1596" t="s">
        <v>3271</v>
      </c>
      <c r="B1596" t="s">
        <v>1317</v>
      </c>
      <c r="D1596" t="str">
        <f ca="1">IFERROR(__xludf.DUMMYFUNCTION("GOOGLETRANSLATE(B1596,""es"",""en"")"),"Sewing thread")</f>
        <v>Sewing thread</v>
      </c>
      <c r="E1596" t="str">
        <f ca="1">IFERROR(__xludf.DUMMYFUNCTION("GOOGLETRANSLATE(C1596,""es"",""en"")"),"#VALUE!")</f>
        <v>#VALUE!</v>
      </c>
    </row>
    <row r="1597" spans="1:5" ht="13.2" x14ac:dyDescent="0.25">
      <c r="A1597" t="s">
        <v>3272</v>
      </c>
      <c r="B1597" t="s">
        <v>1317</v>
      </c>
      <c r="D1597" t="str">
        <f ca="1">IFERROR(__xludf.DUMMYFUNCTION("GOOGLETRANSLATE(B1597,""es"",""en"")"),"Sewing thread")</f>
        <v>Sewing thread</v>
      </c>
      <c r="E1597" t="str">
        <f ca="1">IFERROR(__xludf.DUMMYFUNCTION("GOOGLETRANSLATE(C1597,""es"",""en"")"),"#VALUE!")</f>
        <v>#VALUE!</v>
      </c>
    </row>
    <row r="1598" spans="1:5" ht="13.2" x14ac:dyDescent="0.25">
      <c r="A1598" t="s">
        <v>3273</v>
      </c>
      <c r="B1598" t="s">
        <v>3274</v>
      </c>
      <c r="D1598" t="str">
        <f ca="1">IFERROR(__xludf.DUMMYFUNCTION("GOOGLETRANSLATE(B1598,""es"",""en"")"),"Foreign language")</f>
        <v>Foreign language</v>
      </c>
      <c r="E1598" t="str">
        <f ca="1">IFERROR(__xludf.DUMMYFUNCTION("GOOGLETRANSLATE(C1598,""es"",""en"")"),"#VALUE!")</f>
        <v>#VALUE!</v>
      </c>
    </row>
    <row r="1599" spans="1:5" ht="13.2" x14ac:dyDescent="0.25">
      <c r="A1599" t="s">
        <v>3275</v>
      </c>
      <c r="B1599" t="s">
        <v>3274</v>
      </c>
      <c r="D1599" t="str">
        <f ca="1">IFERROR(__xludf.DUMMYFUNCTION("GOOGLETRANSLATE(B1599,""es"",""en"")"),"Foreign language")</f>
        <v>Foreign language</v>
      </c>
      <c r="E1599" t="str">
        <f ca="1">IFERROR(__xludf.DUMMYFUNCTION("GOOGLETRANSLATE(C1599,""es"",""en"")"),"#VALUE!")</f>
        <v>#VALUE!</v>
      </c>
    </row>
    <row r="1600" spans="1:5" ht="13.2" x14ac:dyDescent="0.25">
      <c r="A1600" t="s">
        <v>3276</v>
      </c>
      <c r="B1600" t="s">
        <v>3048</v>
      </c>
      <c r="C1600" t="s">
        <v>3049</v>
      </c>
      <c r="D1600" t="str">
        <f ca="1">IFERROR(__xludf.DUMMYFUNCTION("GOOGLETRANSLATE(B1600,""es"",""en"")"),"On")</f>
        <v>On</v>
      </c>
      <c r="E1600" t="str">
        <f ca="1">IFERROR(__xludf.DUMMYFUNCTION("GOOGLETRANSLATE(C1600,""es"",""en"")"),"About, , , ,")</f>
        <v>About, , , ,</v>
      </c>
    </row>
    <row r="1601" spans="1:5" ht="13.2" x14ac:dyDescent="0.25">
      <c r="A1601" t="s">
        <v>3277</v>
      </c>
      <c r="B1601" t="s">
        <v>3274</v>
      </c>
      <c r="D1601" t="str">
        <f ca="1">IFERROR(__xludf.DUMMYFUNCTION("GOOGLETRANSLATE(B1601,""es"",""en"")"),"Foreign language")</f>
        <v>Foreign language</v>
      </c>
      <c r="E1601" t="str">
        <f ca="1">IFERROR(__xludf.DUMMYFUNCTION("GOOGLETRANSLATE(C1601,""es"",""en"")"),"#VALUE!")</f>
        <v>#VALUE!</v>
      </c>
    </row>
    <row r="1602" spans="1:5" ht="13.2" x14ac:dyDescent="0.25">
      <c r="A1602" t="s">
        <v>3278</v>
      </c>
      <c r="B1602" t="s">
        <v>3279</v>
      </c>
      <c r="C1602" t="s">
        <v>3280</v>
      </c>
      <c r="D1602" t="str">
        <f ca="1">IFERROR(__xludf.DUMMYFUNCTION("GOOGLETRANSLATE(B1602,""es"",""en"")"),"Fugitive")</f>
        <v>Fugitive</v>
      </c>
      <c r="E1602" t="str">
        <f ca="1">IFERROR(__xludf.DUMMYFUNCTION("GOOGLETRANSLATE(C1602,""es"",""en"")"),"Fugitive ,,,,")</f>
        <v>Fugitive ,,,,</v>
      </c>
    </row>
    <row r="1603" spans="1:5" ht="13.2" x14ac:dyDescent="0.25">
      <c r="A1603" t="s">
        <v>3281</v>
      </c>
      <c r="B1603" t="s">
        <v>3282</v>
      </c>
      <c r="C1603" t="s">
        <v>3283</v>
      </c>
      <c r="D1603" t="str">
        <f ca="1">IFERROR(__xludf.DUMMYFUNCTION("GOOGLETRANSLATE(B1603,""es"",""en"")"),"Escape")</f>
        <v>Escape</v>
      </c>
      <c r="E1603" t="str">
        <f ca="1">IFERROR(__xludf.DUMMYFUNCTION("GOOGLETRANSLATE(C1603,""es"",""en"")"),"Run away, escape ,,,,")</f>
        <v>Run away, escape ,,,,</v>
      </c>
    </row>
    <row r="1604" spans="1:5" ht="13.2" x14ac:dyDescent="0.25">
      <c r="A1604" t="s">
        <v>3284</v>
      </c>
      <c r="B1604" t="s">
        <v>3285</v>
      </c>
      <c r="D1604" t="str">
        <f ca="1">IFERROR(__xludf.DUMMYFUNCTION("GOOGLETRANSLATE(B1604,""es"",""en"")"),"Very early")</f>
        <v>Very early</v>
      </c>
      <c r="E1604" t="str">
        <f ca="1">IFERROR(__xludf.DUMMYFUNCTION("GOOGLETRANSLATE(C1604,""es"",""en"")"),"#VALUE!")</f>
        <v>#VALUE!</v>
      </c>
    </row>
    <row r="1605" spans="1:5" ht="13.2" x14ac:dyDescent="0.25">
      <c r="A1605" t="s">
        <v>3286</v>
      </c>
      <c r="B1605" t="s">
        <v>3287</v>
      </c>
      <c r="D1605" t="str">
        <f ca="1">IFERROR(__xludf.DUMMYFUNCTION("GOOGLETRANSLATE(B1605,""es"",""en"")"),"Blue Head Lora")</f>
        <v>Blue Head Lora</v>
      </c>
      <c r="E1605" t="str">
        <f ca="1">IFERROR(__xludf.DUMMYFUNCTION("GOOGLETRANSLATE(C1605,""es"",""en"")"),"#VALUE!")</f>
        <v>#VALUE!</v>
      </c>
    </row>
    <row r="1606" spans="1:5" ht="13.2" x14ac:dyDescent="0.25">
      <c r="A1606" t="s">
        <v>3288</v>
      </c>
      <c r="B1606" t="s">
        <v>3289</v>
      </c>
      <c r="C1606" t="s">
        <v>3290</v>
      </c>
      <c r="D1606" t="str">
        <f ca="1">IFERROR(__xludf.DUMMYFUNCTION("GOOGLETRANSLATE(B1606,""es"",""en"")"),"NELE OF HISTORY")</f>
        <v>NELE OF HISTORY</v>
      </c>
      <c r="E1606" t="str">
        <f ca="1">IFERROR(__xludf.DUMMYFUNCTION("GOOGLETRANSLATE(C1606,""es"",""en"")"),"Bird Specialist ,,,,")</f>
        <v>Bird Specialist ,,,,</v>
      </c>
    </row>
    <row r="1607" spans="1:5" ht="13.2" x14ac:dyDescent="0.25">
      <c r="A1607" t="s">
        <v>3291</v>
      </c>
      <c r="B1607" t="s">
        <v>3289</v>
      </c>
      <c r="C1607" t="s">
        <v>3290</v>
      </c>
      <c r="D1607" t="str">
        <f ca="1">IFERROR(__xludf.DUMMYFUNCTION("GOOGLETRANSLATE(B1607,""es"",""en"")"),"NELE OF HISTORY")</f>
        <v>NELE OF HISTORY</v>
      </c>
      <c r="E1607" t="str">
        <f ca="1">IFERROR(__xludf.DUMMYFUNCTION("GOOGLETRANSLATE(C1607,""es"",""en"")"),"Bird Specialist ,,,,")</f>
        <v>Bird Specialist ,,,,</v>
      </c>
    </row>
    <row r="1608" spans="1:5" ht="13.2" x14ac:dyDescent="0.25">
      <c r="A1608" t="s">
        <v>3292</v>
      </c>
      <c r="B1608" t="s">
        <v>3293</v>
      </c>
      <c r="D1608" t="str">
        <f ca="1">IFERROR(__xludf.DUMMYFUNCTION("GOOGLETRANSLATE(B1608,""es"",""en"")"),"Banana")</f>
        <v>Banana</v>
      </c>
      <c r="E1608" t="str">
        <f ca="1">IFERROR(__xludf.DUMMYFUNCTION("GOOGLETRANSLATE(C1608,""es"",""en"")"),"#VALUE!")</f>
        <v>#VALUE!</v>
      </c>
    </row>
    <row r="1609" spans="1:5" ht="13.2" x14ac:dyDescent="0.25">
      <c r="A1609" t="s">
        <v>3294</v>
      </c>
      <c r="B1609" t="s">
        <v>3295</v>
      </c>
      <c r="C1609" t="s">
        <v>3296</v>
      </c>
      <c r="D1609" t="str">
        <f ca="1">IFERROR(__xludf.DUMMYFUNCTION("GOOGLETRANSLATE(B1609,""es"",""en"")"),"City")</f>
        <v>City</v>
      </c>
      <c r="E1609" t="str">
        <f ca="1">IFERROR(__xludf.DUMMYFUNCTION("GOOGLETRANSLATE(C1609,""es"",""en"")"),"Community of foreigner ,,,,")</f>
        <v>Community of foreigner ,,,,</v>
      </c>
    </row>
    <row r="1610" spans="1:5" ht="13.2" x14ac:dyDescent="0.25">
      <c r="A1610" t="s">
        <v>3297</v>
      </c>
      <c r="B1610" t="s">
        <v>3295</v>
      </c>
      <c r="C1610" t="s">
        <v>3298</v>
      </c>
      <c r="D1610" t="str">
        <f ca="1">IFERROR(__xludf.DUMMYFUNCTION("GOOGLETRANSLATE(B1610,""es"",""en"")"),"City")</f>
        <v>City</v>
      </c>
      <c r="E1610" t="str">
        <f ca="1">IFERROR(__xludf.DUMMYFUNCTION("GOOGLETRANSLATE(C1610,""es"",""en"")"),"Community of foreigners ,,,,")</f>
        <v>Community of foreigners ,,,,</v>
      </c>
    </row>
    <row r="1611" spans="1:5" ht="13.2" x14ac:dyDescent="0.25">
      <c r="A1611" t="s">
        <v>3299</v>
      </c>
      <c r="B1611" t="s">
        <v>3300</v>
      </c>
      <c r="D1611" t="str">
        <f ca="1">IFERROR(__xludf.DUMMYFUNCTION("GOOGLETRANSLATE(B1611,""es"",""en"")"),"Face down")</f>
        <v>Face down</v>
      </c>
      <c r="E1611" t="str">
        <f ca="1">IFERROR(__xludf.DUMMYFUNCTION("GOOGLETRANSLATE(C1611,""es"",""en"")"),"#VALUE!")</f>
        <v>#VALUE!</v>
      </c>
    </row>
    <row r="1612" spans="1:5" ht="13.2" x14ac:dyDescent="0.25">
      <c r="A1612" t="s">
        <v>3301</v>
      </c>
      <c r="B1612" t="s">
        <v>3302</v>
      </c>
      <c r="C1612" t="s">
        <v>3303</v>
      </c>
      <c r="D1612" t="str">
        <f ca="1">IFERROR(__xludf.DUMMYFUNCTION("GOOGLETRANSLATE(B1612,""es"",""en"")"),"First creature on Earth")</f>
        <v>First creature on Earth</v>
      </c>
      <c r="E1612" t="str">
        <f ca="1">IFERROR(__xludf.DUMMYFUNCTION("GOOGLETRANSLATE(C1612,""es"",""en"")")," Father of trees ,,,,")</f>
        <v xml:space="preserve"> Father of trees ,,,,</v>
      </c>
    </row>
    <row r="1613" spans="1:5" ht="13.2" x14ac:dyDescent="0.25">
      <c r="A1613" t="s">
        <v>3304</v>
      </c>
      <c r="B1613" t="s">
        <v>3305</v>
      </c>
      <c r="D1613" t="str">
        <f ca="1">IFERROR(__xludf.DUMMYFUNCTION("GOOGLETRANSLATE(B1613,""es"",""en"")"),"Yam")</f>
        <v>Yam</v>
      </c>
      <c r="E1613" t="str">
        <f ca="1">IFERROR(__xludf.DUMMYFUNCTION("GOOGLETRANSLATE(C1613,""es"",""en"")"),"#VALUE!")</f>
        <v>#VALUE!</v>
      </c>
    </row>
    <row r="1614" spans="1:5" ht="13.2" x14ac:dyDescent="0.25">
      <c r="A1614" t="s">
        <v>3306</v>
      </c>
      <c r="B1614" t="s">
        <v>3307</v>
      </c>
      <c r="D1614" t="str">
        <f ca="1">IFERROR(__xludf.DUMMYFUNCTION("GOOGLETRANSLATE(B1614,""es"",""en"")"),"Grandson")</f>
        <v>Grandson</v>
      </c>
      <c r="E1614" t="str">
        <f ca="1">IFERROR(__xludf.DUMMYFUNCTION("GOOGLETRANSLATE(C1614,""es"",""en"")"),"#VALUE!")</f>
        <v>#VALUE!</v>
      </c>
    </row>
    <row r="1615" spans="1:5" ht="13.2" x14ac:dyDescent="0.25">
      <c r="A1615" t="s">
        <v>3308</v>
      </c>
      <c r="B1615" t="s">
        <v>3309</v>
      </c>
      <c r="C1615" t="s">
        <v>1783</v>
      </c>
      <c r="D1615" t="str">
        <f ca="1">IFERROR(__xludf.DUMMYFUNCTION("GOOGLETRANSLATE(B1615,""es"",""en"")"),"Wet")</f>
        <v>Wet</v>
      </c>
      <c r="E1615" t="str">
        <f ca="1">IFERROR(__xludf.DUMMYFUNCTION("GOOGLETRANSLATE(C1615,""es"",""en"")"),"Soggy, , , ,")</f>
        <v>Soggy, , , ,</v>
      </c>
    </row>
    <row r="1616" spans="1:5" ht="13.2" x14ac:dyDescent="0.25">
      <c r="A1616" t="s">
        <v>3310</v>
      </c>
      <c r="B1616" t="s">
        <v>3309</v>
      </c>
      <c r="D1616" t="str">
        <f ca="1">IFERROR(__xludf.DUMMYFUNCTION("GOOGLETRANSLATE(B1616,""es"",""en"")"),"Wet")</f>
        <v>Wet</v>
      </c>
      <c r="E1616" t="str">
        <f ca="1">IFERROR(__xludf.DUMMYFUNCTION("GOOGLETRANSLATE(C1616,""es"",""en"")"),"#VALUE!")</f>
        <v>#VALUE!</v>
      </c>
    </row>
    <row r="1617" spans="1:5" ht="13.2" x14ac:dyDescent="0.25">
      <c r="A1617" t="s">
        <v>3311</v>
      </c>
      <c r="B1617" t="s">
        <v>3312</v>
      </c>
      <c r="C1617" t="s">
        <v>3313</v>
      </c>
      <c r="D1617" t="str">
        <f ca="1">IFERROR(__xludf.DUMMYFUNCTION("GOOGLETRANSLATE(B1617,""es"",""en"")"),"Elongate")</f>
        <v>Elongate</v>
      </c>
      <c r="E1617" t="str">
        <f ca="1">IFERROR(__xludf.DUMMYFUNCTION("GOOGLETRANSLATE(C1617,""es"",""en"")"),"Long, , , ,")</f>
        <v>Long, , , ,</v>
      </c>
    </row>
    <row r="1618" spans="1:5" ht="13.2" x14ac:dyDescent="0.25">
      <c r="A1618" t="s">
        <v>3314</v>
      </c>
      <c r="B1618" t="s">
        <v>3312</v>
      </c>
      <c r="C1618" t="s">
        <v>3313</v>
      </c>
      <c r="D1618" t="str">
        <f ca="1">IFERROR(__xludf.DUMMYFUNCTION("GOOGLETRANSLATE(B1618,""es"",""en"")"),"Elongate")</f>
        <v>Elongate</v>
      </c>
      <c r="E1618" t="str">
        <f ca="1">IFERROR(__xludf.DUMMYFUNCTION("GOOGLETRANSLATE(C1618,""es"",""en"")"),"Long, , , ,")</f>
        <v>Long, , , ,</v>
      </c>
    </row>
    <row r="1619" spans="1:5" ht="13.2" x14ac:dyDescent="0.25">
      <c r="A1619" t="s">
        <v>1506</v>
      </c>
      <c r="B1619" t="s">
        <v>1504</v>
      </c>
      <c r="C1619" t="s">
        <v>1508</v>
      </c>
      <c r="D1619" t="str">
        <f ca="1">IFERROR(__xludf.DUMMYFUNCTION("GOOGLETRANSLATE(B1619,""es"",""en"")"),"Near")</f>
        <v>Near</v>
      </c>
      <c r="E1619" t="str">
        <f ca="1">IFERROR(__xludf.DUMMYFUNCTION("GOOGLETRANSLATE(C1619,""es"",""en"")"),"Next to, close ,,,")</f>
        <v>Next to, close ,,,</v>
      </c>
    </row>
    <row r="1620" spans="1:5" ht="13.2" x14ac:dyDescent="0.25">
      <c r="A1620" t="s">
        <v>1509</v>
      </c>
      <c r="B1620" t="s">
        <v>1504</v>
      </c>
      <c r="C1620" t="s">
        <v>1511</v>
      </c>
      <c r="D1620" t="str">
        <f ca="1">IFERROR(__xludf.DUMMYFUNCTION("GOOGLETRANSLATE(B1620,""es"",""en"")"),"Near")</f>
        <v>Near</v>
      </c>
      <c r="E1620" t="str">
        <f ca="1">IFERROR(__xludf.DUMMYFUNCTION("GOOGLETRANSLATE(C1620,""es"",""en"")"),"Cerquita ,,,,")</f>
        <v>Cerquita ,,,,</v>
      </c>
    </row>
    <row r="1621" spans="1:5" ht="13.2" x14ac:dyDescent="0.25">
      <c r="A1621" t="s">
        <v>1503</v>
      </c>
      <c r="B1621" t="s">
        <v>1504</v>
      </c>
      <c r="C1621" t="s">
        <v>3315</v>
      </c>
      <c r="D1621" t="str">
        <f ca="1">IFERROR(__xludf.DUMMYFUNCTION("GOOGLETRANSLATE(B1621,""es"",""en"")"),"Near")</f>
        <v>Near</v>
      </c>
      <c r="E1621" t="str">
        <f ca="1">IFERROR(__xludf.DUMMYFUNCTION("GOOGLETRANSLATE(C1621,""es"",""en"")"),"Next to, attached to ,,")</f>
        <v>Next to, attached to ,,</v>
      </c>
    </row>
    <row r="1622" spans="1:5" ht="13.2" x14ac:dyDescent="0.25">
      <c r="A1622" t="s">
        <v>935</v>
      </c>
      <c r="B1622" t="s">
        <v>934</v>
      </c>
      <c r="D1622" t="str">
        <f ca="1">IFERROR(__xludf.DUMMYFUNCTION("GOOGLETRANSLATE(B1622,""es"",""en"")"),"Sneeze")</f>
        <v>Sneeze</v>
      </c>
      <c r="E1622" t="str">
        <f ca="1">IFERROR(__xludf.DUMMYFUNCTION("GOOGLETRANSLATE(C1622,""es"",""en"")"),"#VALUE!")</f>
        <v>#VALUE!</v>
      </c>
    </row>
    <row r="1623" spans="1:5" ht="13.2" x14ac:dyDescent="0.25">
      <c r="A1623" t="s">
        <v>3316</v>
      </c>
      <c r="B1623" t="s">
        <v>3317</v>
      </c>
      <c r="D1623" t="str">
        <f ca="1">IFERROR(__xludf.DUMMYFUNCTION("GOOGLETRANSLATE(B1623,""es"",""en"")"),"Cerquita")</f>
        <v>Cerquita</v>
      </c>
      <c r="E1623" t="str">
        <f ca="1">IFERROR(__xludf.DUMMYFUNCTION("GOOGLETRANSLATE(C1623,""es"",""en"")"),"#VALUE!")</f>
        <v>#VALUE!</v>
      </c>
    </row>
    <row r="1624" spans="1:5" ht="13.2" x14ac:dyDescent="0.25">
      <c r="A1624" t="s">
        <v>3318</v>
      </c>
      <c r="B1624" t="s">
        <v>3319</v>
      </c>
      <c r="D1624" t="str">
        <f ca="1">IFERROR(__xludf.DUMMYFUNCTION("GOOGLETRANSLATE(B1624,""es"",""en"")"),"Get close")</f>
        <v>Get close</v>
      </c>
      <c r="E1624" t="str">
        <f ca="1">IFERROR(__xludf.DUMMYFUNCTION("GOOGLETRANSLATE(C1624,""es"",""en"")"),"#VALUE!")</f>
        <v>#VALUE!</v>
      </c>
    </row>
    <row r="1625" spans="1:5" ht="13.2" x14ac:dyDescent="0.25">
      <c r="A1625" t="s">
        <v>1251</v>
      </c>
      <c r="B1625" t="s">
        <v>3319</v>
      </c>
      <c r="D1625" t="str">
        <f ca="1">IFERROR(__xludf.DUMMYFUNCTION("GOOGLETRANSLATE(B1625,""es"",""en"")"),"Get close")</f>
        <v>Get close</v>
      </c>
      <c r="E1625" t="str">
        <f ca="1">IFERROR(__xludf.DUMMYFUNCTION("GOOGLETRANSLATE(C1625,""es"",""en"")"),"#VALUE!")</f>
        <v>#VALUE!</v>
      </c>
    </row>
    <row r="1626" spans="1:5" ht="13.2" x14ac:dyDescent="0.25">
      <c r="A1626" t="s">
        <v>3320</v>
      </c>
      <c r="B1626" t="s">
        <v>1384</v>
      </c>
      <c r="D1626" t="str">
        <f ca="1">IFERROR(__xludf.DUMMYFUNCTION("GOOGLETRANSLATE(B1626,""es"",""en"")"),"Penis")</f>
        <v>Penis</v>
      </c>
      <c r="E1626" t="str">
        <f ca="1">IFERROR(__xludf.DUMMYFUNCTION("GOOGLETRANSLATE(C1626,""es"",""en"")"),"#VALUE!")</f>
        <v>#VALUE!</v>
      </c>
    </row>
    <row r="1627" spans="1:5" ht="13.2" x14ac:dyDescent="0.25">
      <c r="A1627" t="s">
        <v>1401</v>
      </c>
      <c r="B1627" t="s">
        <v>1384</v>
      </c>
      <c r="D1627" t="str">
        <f ca="1">IFERROR(__xludf.DUMMYFUNCTION("GOOGLETRANSLATE(B1627,""es"",""en"")"),"Penis")</f>
        <v>Penis</v>
      </c>
      <c r="E1627" t="str">
        <f ca="1">IFERROR(__xludf.DUMMYFUNCTION("GOOGLETRANSLATE(C1627,""es"",""en"")"),"#VALUE!")</f>
        <v>#VALUE!</v>
      </c>
    </row>
    <row r="1628" spans="1:5" ht="13.2" x14ac:dyDescent="0.25">
      <c r="A1628" t="s">
        <v>1383</v>
      </c>
      <c r="B1628" t="s">
        <v>1384</v>
      </c>
      <c r="D1628" t="str">
        <f ca="1">IFERROR(__xludf.DUMMYFUNCTION("GOOGLETRANSLATE(B1628,""es"",""en"")"),"Penis")</f>
        <v>Penis</v>
      </c>
      <c r="E1628" t="str">
        <f ca="1">IFERROR(__xludf.DUMMYFUNCTION("GOOGLETRANSLATE(C1628,""es"",""en"")"),"#VALUE!")</f>
        <v>#VALUE!</v>
      </c>
    </row>
    <row r="1629" spans="1:5" ht="13.2" x14ac:dyDescent="0.25">
      <c r="A1629" t="s">
        <v>3321</v>
      </c>
      <c r="B1629" t="s">
        <v>1384</v>
      </c>
      <c r="D1629" t="str">
        <f ca="1">IFERROR(__xludf.DUMMYFUNCTION("GOOGLETRANSLATE(B1629,""es"",""en"")"),"Penis")</f>
        <v>Penis</v>
      </c>
      <c r="E1629" t="str">
        <f ca="1">IFERROR(__xludf.DUMMYFUNCTION("GOOGLETRANSLATE(C1629,""es"",""en"")"),"#VALUE!")</f>
        <v>#VALUE!</v>
      </c>
    </row>
    <row r="1630" spans="1:5" ht="13.2" x14ac:dyDescent="0.25">
      <c r="A1630" t="s">
        <v>3322</v>
      </c>
      <c r="B1630" t="s">
        <v>3323</v>
      </c>
      <c r="D1630" t="s">
        <v>3324</v>
      </c>
      <c r="E1630" t="str">
        <f ca="1">IFERROR(__xludf.DUMMYFUNCTION("GOOGLETRANSLATE(C1630,""es"",""en"")"),"#VALUE!")</f>
        <v>#VALUE!</v>
      </c>
    </row>
    <row r="1631" spans="1:5" ht="13.2" x14ac:dyDescent="0.25">
      <c r="A1631" t="s">
        <v>3325</v>
      </c>
      <c r="B1631" t="s">
        <v>3326</v>
      </c>
      <c r="C1631" t="s">
        <v>3327</v>
      </c>
      <c r="D1631" t="s">
        <v>3328</v>
      </c>
      <c r="E1631" t="str">
        <f ca="1">IFERROR(__xludf.DUMMYFUNCTION("GOOGLETRANSLATE(C1631,""es"",""en"")"),"Narrow, , , ,")</f>
        <v>Narrow, , , ,</v>
      </c>
    </row>
    <row r="1632" spans="1:5" ht="13.2" x14ac:dyDescent="0.25">
      <c r="A1632" t="s">
        <v>3329</v>
      </c>
      <c r="B1632" t="s">
        <v>3326</v>
      </c>
      <c r="C1632" t="s">
        <v>3327</v>
      </c>
      <c r="D1632" t="s">
        <v>3328</v>
      </c>
      <c r="E1632" t="str">
        <f ca="1">IFERROR(__xludf.DUMMYFUNCTION("GOOGLETRANSLATE(C1632,""es"",""en"")"),"Narrow, , , ,")</f>
        <v>Narrow, , , ,</v>
      </c>
    </row>
    <row r="1633" spans="1:5" ht="13.2" x14ac:dyDescent="0.25">
      <c r="A1633" t="s">
        <v>933</v>
      </c>
      <c r="B1633" t="s">
        <v>934</v>
      </c>
      <c r="D1633" t="str">
        <f ca="1">IFERROR(__xludf.DUMMYFUNCTION("GOOGLETRANSLATE(B1633,""es"",""en"")"),"Sneeze")</f>
        <v>Sneeze</v>
      </c>
      <c r="E1633" t="str">
        <f ca="1">IFERROR(__xludf.DUMMYFUNCTION("GOOGLETRANSLATE(C1633,""es"",""en"")"),"#VALUE!")</f>
        <v>#VALUE!</v>
      </c>
    </row>
    <row r="1634" spans="1:5" ht="13.2" x14ac:dyDescent="0.25">
      <c r="A1634" t="s">
        <v>3310</v>
      </c>
      <c r="B1634" t="s">
        <v>3309</v>
      </c>
      <c r="D1634" t="str">
        <f ca="1">IFERROR(__xludf.DUMMYFUNCTION("GOOGLETRANSLATE(B1634,""es"",""en"")"),"Wet")</f>
        <v>Wet</v>
      </c>
      <c r="E1634" t="str">
        <f ca="1">IFERROR(__xludf.DUMMYFUNCTION("GOOGLETRANSLATE(C1634,""es"",""en"")"),"#VALUE!")</f>
        <v>#VALUE!</v>
      </c>
    </row>
    <row r="1635" spans="1:5" ht="13.2" x14ac:dyDescent="0.25">
      <c r="A1635" t="s">
        <v>3308</v>
      </c>
      <c r="B1635" t="s">
        <v>3309</v>
      </c>
      <c r="D1635" t="str">
        <f ca="1">IFERROR(__xludf.DUMMYFUNCTION("GOOGLETRANSLATE(B1635,""es"",""en"")"),"Wet")</f>
        <v>Wet</v>
      </c>
      <c r="E1635" t="str">
        <f ca="1">IFERROR(__xludf.DUMMYFUNCTION("GOOGLETRANSLATE(C1635,""es"",""en"")"),"#VALUE!")</f>
        <v>#VALUE!</v>
      </c>
    </row>
    <row r="1636" spans="1:5" ht="13.2" x14ac:dyDescent="0.25">
      <c r="A1636" t="s">
        <v>3330</v>
      </c>
      <c r="B1636" t="s">
        <v>3331</v>
      </c>
      <c r="C1636" t="s">
        <v>3332</v>
      </c>
      <c r="D1636" t="str">
        <f ca="1">IFERROR(__xludf.DUMMYFUNCTION("GOOGLETRANSLATE(B1636,""es"",""en"")"),"Fat")</f>
        <v>Fat</v>
      </c>
      <c r="E1636" t="str">
        <f ca="1">IFERROR(__xludf.DUMMYFUNCTION("GOOGLETRANSLATE(C1636,""es"",""en"")"),"Obese ,,,,")</f>
        <v>Obese ,,,,</v>
      </c>
    </row>
    <row r="1637" spans="1:5" ht="13.2" x14ac:dyDescent="0.25">
      <c r="A1637" t="s">
        <v>3333</v>
      </c>
      <c r="B1637" t="s">
        <v>3331</v>
      </c>
      <c r="D1637" t="str">
        <f ca="1">IFERROR(__xludf.DUMMYFUNCTION("GOOGLETRANSLATE(B1637,""es"",""en"")"),"Fat")</f>
        <v>Fat</v>
      </c>
      <c r="E1637" t="str">
        <f ca="1">IFERROR(__xludf.DUMMYFUNCTION("GOOGLETRANSLATE(C1637,""es"",""en"")"),"#VALUE!")</f>
        <v>#VALUE!</v>
      </c>
    </row>
    <row r="1638" spans="1:5" ht="13.2" x14ac:dyDescent="0.25">
      <c r="A1638" t="s">
        <v>3334</v>
      </c>
      <c r="B1638" t="s">
        <v>3331</v>
      </c>
      <c r="D1638" t="str">
        <f ca="1">IFERROR(__xludf.DUMMYFUNCTION("GOOGLETRANSLATE(B1638,""es"",""en"")"),"Fat")</f>
        <v>Fat</v>
      </c>
      <c r="E1638" t="str">
        <f ca="1">IFERROR(__xludf.DUMMYFUNCTION("GOOGLETRANSLATE(C1638,""es"",""en"")"),"#VALUE!")</f>
        <v>#VALUE!</v>
      </c>
    </row>
    <row r="1639" spans="1:5" ht="13.2" x14ac:dyDescent="0.25">
      <c r="A1639" t="s">
        <v>3335</v>
      </c>
      <c r="B1639" t="s">
        <v>3336</v>
      </c>
      <c r="D1639" t="str">
        <f ca="1">IFERROR(__xludf.DUMMYFUNCTION("GOOGLETRANSLATE(B1639,""es"",""en"")"),"Get wet")</f>
        <v>Get wet</v>
      </c>
      <c r="E1639" t="str">
        <f ca="1">IFERROR(__xludf.DUMMYFUNCTION("GOOGLETRANSLATE(C1639,""es"",""en"")"),"#VALUE!")</f>
        <v>#VALUE!</v>
      </c>
    </row>
    <row r="1640" spans="1:5" ht="13.2" x14ac:dyDescent="0.25">
      <c r="A1640" t="s">
        <v>3337</v>
      </c>
      <c r="B1640" t="s">
        <v>3336</v>
      </c>
      <c r="D1640" t="str">
        <f ca="1">IFERROR(__xludf.DUMMYFUNCTION("GOOGLETRANSLATE(B1640,""es"",""en"")"),"Get wet")</f>
        <v>Get wet</v>
      </c>
      <c r="E1640" t="str">
        <f ca="1">IFERROR(__xludf.DUMMYFUNCTION("GOOGLETRANSLATE(C1640,""es"",""en"")"),"#VALUE!")</f>
        <v>#VALUE!</v>
      </c>
    </row>
    <row r="1641" spans="1:5" ht="13.2" x14ac:dyDescent="0.25">
      <c r="A1641" t="s">
        <v>3338</v>
      </c>
      <c r="B1641" t="s">
        <v>484</v>
      </c>
      <c r="C1641" t="s">
        <v>3339</v>
      </c>
      <c r="D1641" t="str">
        <f ca="1">IFERROR(__xludf.DUMMYFUNCTION("GOOGLETRANSLATE(B1641,""es"",""en"")"),"One")</f>
        <v>One</v>
      </c>
      <c r="E1641" t="str">
        <f ca="1">IFERROR(__xludf.DUMMYFUNCTION("GOOGLETRANSLATE(C1641,""es"",""en"")"),"Elongated object ,,,,")</f>
        <v>Elongated object ,,,,</v>
      </c>
    </row>
    <row r="1642" spans="1:5" ht="13.2" x14ac:dyDescent="0.25">
      <c r="A1642" t="s">
        <v>3340</v>
      </c>
      <c r="B1642" t="s">
        <v>484</v>
      </c>
      <c r="D1642" t="str">
        <f ca="1">IFERROR(__xludf.DUMMYFUNCTION("GOOGLETRANSLATE(B1642,""es"",""en"")"),"One")</f>
        <v>One</v>
      </c>
      <c r="E1642" t="str">
        <f ca="1">IFERROR(__xludf.DUMMYFUNCTION("GOOGLETRANSLATE(C1642,""es"",""en"")"),"#VALUE!")</f>
        <v>#VALUE!</v>
      </c>
    </row>
    <row r="1643" spans="1:5" ht="13.2" x14ac:dyDescent="0.25">
      <c r="A1643" t="s">
        <v>3341</v>
      </c>
      <c r="B1643" t="s">
        <v>3342</v>
      </c>
      <c r="D1643" t="s">
        <v>3343</v>
      </c>
      <c r="E1643" t="str">
        <f ca="1">IFERROR(__xludf.DUMMYFUNCTION("GOOGLETRANSLATE(C1643,""es"",""en"")"),"#VALUE!")</f>
        <v>#VALUE!</v>
      </c>
    </row>
    <row r="1644" spans="1:5" ht="13.2" x14ac:dyDescent="0.25">
      <c r="A1644" t="s">
        <v>3344</v>
      </c>
      <c r="B1644" t="s">
        <v>3345</v>
      </c>
      <c r="D1644" t="str">
        <f ca="1">IFERROR(__xludf.DUMMYFUNCTION("GOOGLETRANSLATE(B1644,""es"",""en"")"),"Variety of bees")</f>
        <v>Variety of bees</v>
      </c>
      <c r="E1644" t="str">
        <f ca="1">IFERROR(__xludf.DUMMYFUNCTION("GOOGLETRANSLATE(C1644,""es"",""en"")"),"#VALUE!")</f>
        <v>#VALUE!</v>
      </c>
    </row>
    <row r="1645" spans="1:5" ht="13.2" x14ac:dyDescent="0.25">
      <c r="A1645" t="s">
        <v>1254</v>
      </c>
      <c r="B1645" t="s">
        <v>1252</v>
      </c>
      <c r="C1645" t="s">
        <v>3346</v>
      </c>
      <c r="D1645" t="str">
        <f ca="1">IFERROR(__xludf.DUMMYFUNCTION("GOOGLETRANSLATE(B1645,""es"",""en"")"),"Arrive")</f>
        <v>Arrive</v>
      </c>
      <c r="E1645" t="str">
        <f ca="1">IFERROR(__xludf.DUMMYFUNCTION("GOOGLETRANSLATE(C1645,""es"",""en"")"),"Achieve, achieve ,,,")</f>
        <v>Achieve, achieve ,,,</v>
      </c>
    </row>
    <row r="1646" spans="1:5" ht="13.2" x14ac:dyDescent="0.25">
      <c r="A1646" t="s">
        <v>172</v>
      </c>
      <c r="B1646" t="s">
        <v>3347</v>
      </c>
      <c r="C1646" t="s">
        <v>3348</v>
      </c>
      <c r="D1646" t="str">
        <f ca="1">IFERROR(__xludf.DUMMYFUNCTION("GOOGLETRANSLATE(B1646,""es"",""en"")"),"Baby")</f>
        <v>Baby</v>
      </c>
      <c r="E1646" t="str">
        <f ca="1">IFERROR(__xludf.DUMMYFUNCTION("GOOGLETRANSLATE(C1646,""es"",""en"")"),"Baby ,,,,")</f>
        <v>Baby ,,,,</v>
      </c>
    </row>
    <row r="1647" spans="1:5" ht="13.2" x14ac:dyDescent="0.25">
      <c r="A1647" t="s">
        <v>169</v>
      </c>
      <c r="B1647" t="s">
        <v>3347</v>
      </c>
      <c r="C1647" t="s">
        <v>3349</v>
      </c>
      <c r="D1647" t="str">
        <f ca="1">IFERROR(__xludf.DUMMYFUNCTION("GOOGLETRANSLATE(B1647,""es"",""en"")"),"Baby")</f>
        <v>Baby</v>
      </c>
      <c r="E1647" t="str">
        <f ca="1">IFERROR(__xludf.DUMMYFUNCTION("GOOGLETRANSLATE(C1647,""es"",""en"")"),"Deer, , , ,")</f>
        <v>Deer, , , ,</v>
      </c>
    </row>
    <row r="1648" spans="1:5" ht="13.2" x14ac:dyDescent="0.25">
      <c r="A1648" t="s">
        <v>3350</v>
      </c>
      <c r="B1648" t="s">
        <v>3351</v>
      </c>
      <c r="C1648" t="s">
        <v>3352</v>
      </c>
      <c r="D1648" t="s">
        <v>3353</v>
      </c>
      <c r="E1648" t="s">
        <v>3354</v>
      </c>
    </row>
    <row r="1649" spans="1:5" ht="13.2" x14ac:dyDescent="0.25">
      <c r="A1649" t="s">
        <v>3355</v>
      </c>
      <c r="B1649" t="s">
        <v>3351</v>
      </c>
      <c r="C1649" t="s">
        <v>3352</v>
      </c>
      <c r="D1649" t="s">
        <v>3353</v>
      </c>
      <c r="E1649" t="s">
        <v>3354</v>
      </c>
    </row>
    <row r="1650" spans="1:5" ht="13.2" x14ac:dyDescent="0.25">
      <c r="A1650" t="s">
        <v>3356</v>
      </c>
      <c r="B1650" t="s">
        <v>3357</v>
      </c>
      <c r="C1650" t="s">
        <v>3358</v>
      </c>
      <c r="D1650" t="str">
        <f ca="1">IFERROR(__xludf.DUMMYFUNCTION("GOOGLETRANSLATE(B1650,""es"",""en"")"),"Tremble")</f>
        <v>Tremble</v>
      </c>
      <c r="E1650" t="str">
        <f ca="1">IFERROR(__xludf.DUMMYFUNCTION("GOOGLETRANSLATE(C1650,""es"",""en"")"),"Shiver ,,,,")</f>
        <v>Shiver ,,,,</v>
      </c>
    </row>
    <row r="1651" spans="1:5" ht="13.2" x14ac:dyDescent="0.25">
      <c r="A1651" t="s">
        <v>3359</v>
      </c>
      <c r="B1651" t="s">
        <v>3360</v>
      </c>
      <c r="C1651" t="s">
        <v>3361</v>
      </c>
      <c r="D1651" t="str">
        <f ca="1">IFERROR(__xludf.DUMMYFUNCTION("GOOGLETRANSLATE(B1651,""es"",""en"")"),"This")</f>
        <v>This</v>
      </c>
      <c r="E1651" t="str">
        <f ca="1">IFERROR(__xludf.DUMMYFUNCTION("GOOGLETRANSLATE(C1651,""es"",""en"")"),"This, that ,,")</f>
        <v>This, that ,,</v>
      </c>
    </row>
    <row r="1652" spans="1:5" ht="13.2" x14ac:dyDescent="0.25">
      <c r="A1652" t="s">
        <v>3362</v>
      </c>
      <c r="B1652" t="s">
        <v>3360</v>
      </c>
      <c r="C1652" t="s">
        <v>3361</v>
      </c>
      <c r="D1652" t="str">
        <f ca="1">IFERROR(__xludf.DUMMYFUNCTION("GOOGLETRANSLATE(B1652,""es"",""en"")"),"This")</f>
        <v>This</v>
      </c>
      <c r="E1652" t="str">
        <f ca="1">IFERROR(__xludf.DUMMYFUNCTION("GOOGLETRANSLATE(C1652,""es"",""en"")"),"This, that ,,")</f>
        <v>This, that ,,</v>
      </c>
    </row>
    <row r="1653" spans="1:5" ht="13.2" x14ac:dyDescent="0.25">
      <c r="A1653" t="s">
        <v>3363</v>
      </c>
      <c r="B1653" t="s">
        <v>3360</v>
      </c>
      <c r="C1653" t="s">
        <v>3361</v>
      </c>
      <c r="D1653" t="str">
        <f ca="1">IFERROR(__xludf.DUMMYFUNCTION("GOOGLETRANSLATE(B1653,""es"",""en"")"),"This")</f>
        <v>This</v>
      </c>
      <c r="E1653" t="str">
        <f ca="1">IFERROR(__xludf.DUMMYFUNCTION("GOOGLETRANSLATE(C1653,""es"",""en"")"),"This, that ,,")</f>
        <v>This, that ,,</v>
      </c>
    </row>
    <row r="1654" spans="1:5" ht="13.2" x14ac:dyDescent="0.25">
      <c r="A1654" t="s">
        <v>3364</v>
      </c>
      <c r="B1654" t="s">
        <v>3365</v>
      </c>
      <c r="C1654" t="s">
        <v>3366</v>
      </c>
      <c r="D1654" t="str">
        <f ca="1">IFERROR(__xludf.DUMMYFUNCTION("GOOGLETRANSLATE(B1654,""es"",""en"")"),"There")</f>
        <v>There</v>
      </c>
      <c r="E1654" t="str">
        <f ca="1">IFERROR(__xludf.DUMMYFUNCTION("GOOGLETRANSLATE(C1654,""es"",""en"")"),"Far, distant ,,,,")</f>
        <v>Far, distant ,,,,</v>
      </c>
    </row>
    <row r="1655" spans="1:5" ht="13.2" x14ac:dyDescent="0.25">
      <c r="A1655" t="s">
        <v>3367</v>
      </c>
      <c r="B1655" t="s">
        <v>3368</v>
      </c>
      <c r="D1655" t="str">
        <f ca="1">IFERROR(__xludf.DUMMYFUNCTION("GOOGLETRANSLATE(B1655,""es"",""en"")"),"Over there")</f>
        <v>Over there</v>
      </c>
      <c r="E1655" t="str">
        <f ca="1">IFERROR(__xludf.DUMMYFUNCTION("GOOGLETRANSLATE(C1655,""es"",""en"")"),"#VALUE!")</f>
        <v>#VALUE!</v>
      </c>
    </row>
    <row r="1656" spans="1:5" ht="13.2" x14ac:dyDescent="0.25">
      <c r="A1656" t="s">
        <v>3369</v>
      </c>
      <c r="B1656" t="s">
        <v>3370</v>
      </c>
      <c r="D1656" t="str">
        <f ca="1">IFERROR(__xludf.DUMMYFUNCTION("GOOGLETRANSLATE(B1656,""es"",""en"")"),"September")</f>
        <v>September</v>
      </c>
      <c r="E1656" t="str">
        <f ca="1">IFERROR(__xludf.DUMMYFUNCTION("GOOGLETRANSLATE(C1656,""es"",""en"")"),"#VALUE!")</f>
        <v>#VALUE!</v>
      </c>
    </row>
    <row r="1657" spans="1:5" ht="13.2" x14ac:dyDescent="0.25">
      <c r="A1657" t="s">
        <v>3371</v>
      </c>
      <c r="B1657" t="s">
        <v>3345</v>
      </c>
      <c r="D1657" t="str">
        <f ca="1">IFERROR(__xludf.DUMMYFUNCTION("GOOGLETRANSLATE(B1657,""es"",""en"")"),"Variety of bees")</f>
        <v>Variety of bees</v>
      </c>
      <c r="E1657" t="str">
        <f ca="1">IFERROR(__xludf.DUMMYFUNCTION("GOOGLETRANSLATE(C1657,""es"",""en"")"),"#VALUE!")</f>
        <v>#VALUE!</v>
      </c>
    </row>
    <row r="1658" spans="1:5" ht="13.2" x14ac:dyDescent="0.25">
      <c r="A1658" t="s">
        <v>3372</v>
      </c>
      <c r="B1658" t="s">
        <v>3373</v>
      </c>
      <c r="C1658" t="s">
        <v>3374</v>
      </c>
      <c r="D1658" t="str">
        <f ca="1">IFERROR(__xludf.DUMMYFUNCTION("GOOGLETRANSLATE(B1658,""es"",""en"")"),"Peccary")</f>
        <v>Peccary</v>
      </c>
      <c r="E1658" t="str">
        <f ca="1">IFERROR(__xludf.DUMMYFUNCTION("GOOGLETRANSLATE(C1658,""es"",""en"")"),"PUCTO DE MONTE ,,,,")</f>
        <v>PUCTO DE MONTE ,,,,</v>
      </c>
    </row>
    <row r="1659" spans="1:5" ht="13.2" x14ac:dyDescent="0.25">
      <c r="A1659" t="s">
        <v>3375</v>
      </c>
      <c r="B1659" t="s">
        <v>3376</v>
      </c>
      <c r="C1659" t="s">
        <v>3377</v>
      </c>
      <c r="D1659" t="str">
        <f ca="1">IFERROR(__xludf.DUMMYFUNCTION("GOOGLETRANSLATE(B1659,""es"",""en"")"),"Collect")</f>
        <v>Collect</v>
      </c>
      <c r="E1659" t="str">
        <f ca="1">IFERROR(__xludf.DUMMYFUNCTION("GOOGLETRANSLATE(C1659,""es"",""en"")"),"Chop ,,,,,")</f>
        <v>Chop ,,,,,</v>
      </c>
    </row>
    <row r="1660" spans="1:5" ht="13.2" x14ac:dyDescent="0.25">
      <c r="A1660" t="s">
        <v>3378</v>
      </c>
      <c r="B1660" t="s">
        <v>3376</v>
      </c>
      <c r="D1660" t="str">
        <f ca="1">IFERROR(__xludf.DUMMYFUNCTION("GOOGLETRANSLATE(B1660,""es"",""en"")"),"Collect")</f>
        <v>Collect</v>
      </c>
      <c r="E1660" t="str">
        <f ca="1">IFERROR(__xludf.DUMMYFUNCTION("GOOGLETRANSLATE(C1660,""es"",""en"")"),"#VALUE!")</f>
        <v>#VALUE!</v>
      </c>
    </row>
    <row r="1661" spans="1:5" ht="13.2" x14ac:dyDescent="0.25">
      <c r="A1661" t="s">
        <v>3379</v>
      </c>
      <c r="B1661" t="s">
        <v>3380</v>
      </c>
      <c r="D1661" t="str">
        <f ca="1">IFERROR(__xludf.DUMMYFUNCTION("GOOGLETRANSLATE(B1661,""es"",""en"")"),"Hawk")</f>
        <v>Hawk</v>
      </c>
      <c r="E1661" t="str">
        <f ca="1">IFERROR(__xludf.DUMMYFUNCTION("GOOGLETRANSLATE(C1661,""es"",""en"")"),"#VALUE!")</f>
        <v>#VALUE!</v>
      </c>
    </row>
    <row r="1662" spans="1:5" ht="13.2" x14ac:dyDescent="0.25">
      <c r="A1662" t="s">
        <v>3381</v>
      </c>
      <c r="B1662" t="s">
        <v>3382</v>
      </c>
      <c r="D1662" t="str">
        <f ca="1">IFERROR(__xludf.DUMMYFUNCTION("GOOGLETRANSLATE(B1662,""es"",""en"")"),"Here")</f>
        <v>Here</v>
      </c>
      <c r="E1662" t="str">
        <f ca="1">IFERROR(__xludf.DUMMYFUNCTION("GOOGLETRANSLATE(C1662,""es"",""en"")"),"#VALUE!")</f>
        <v>#VALUE!</v>
      </c>
    </row>
    <row r="1663" spans="1:5" ht="13.2" x14ac:dyDescent="0.25">
      <c r="A1663" t="s">
        <v>3383</v>
      </c>
      <c r="B1663" t="s">
        <v>3384</v>
      </c>
      <c r="C1663" t="s">
        <v>3385</v>
      </c>
      <c r="D1663" t="str">
        <f ca="1">IFERROR(__xludf.DUMMYFUNCTION("GOOGLETRANSLATE(B1663,""es"",""en"")"),"Here")</f>
        <v>Here</v>
      </c>
      <c r="E1663" t="str">
        <f ca="1">IFERROR(__xludf.DUMMYFUNCTION("GOOGLETRANSLATE(C1663,""es"",""en"")"),"Here, , , ,")</f>
        <v>Here, , , ,</v>
      </c>
    </row>
    <row r="1664" spans="1:5" ht="13.2" x14ac:dyDescent="0.25">
      <c r="A1664" t="s">
        <v>3386</v>
      </c>
      <c r="B1664" t="s">
        <v>3387</v>
      </c>
      <c r="D1664" t="str">
        <f ca="1">IFERROR(__xludf.DUMMYFUNCTION("GOOGLETRANSLATE(B1664,""es"",""en"")"),"So")</f>
        <v>So</v>
      </c>
      <c r="E1664" t="str">
        <f ca="1">IFERROR(__xludf.DUMMYFUNCTION("GOOGLETRANSLATE(C1664,""es"",""en"")"),"#VALUE!")</f>
        <v>#VALUE!</v>
      </c>
    </row>
    <row r="1665" spans="1:5" ht="13.2" x14ac:dyDescent="0.25">
      <c r="A1665" t="s">
        <v>3388</v>
      </c>
      <c r="B1665" t="s">
        <v>3387</v>
      </c>
      <c r="C1665" t="s">
        <v>3389</v>
      </c>
      <c r="D1665" t="str">
        <f ca="1">IFERROR(__xludf.DUMMYFUNCTION("GOOGLETRANSLATE(B1665,""es"",""en"")"),"So")</f>
        <v>So</v>
      </c>
      <c r="E1665" t="str">
        <f ca="1">IFERROR(__xludf.DUMMYFUNCTION("GOOGLETRANSLATE(C1665,""es"",""en"")"),"This way, , , ,")</f>
        <v>This way, , , ,</v>
      </c>
    </row>
    <row r="1666" spans="1:5" ht="13.2" x14ac:dyDescent="0.25">
      <c r="A1666" t="s">
        <v>3390</v>
      </c>
      <c r="B1666" t="s">
        <v>3391</v>
      </c>
      <c r="C1666" t="s">
        <v>3392</v>
      </c>
      <c r="D1666" t="str">
        <f ca="1">IFERROR(__xludf.DUMMYFUNCTION("GOOGLETRANSLATE(B1666,""es"",""en"")"),"Happy")</f>
        <v>Happy</v>
      </c>
      <c r="E1666" t="str">
        <f ca="1">IFERROR(__xludf.DUMMYFUNCTION("GOOGLETRANSLATE(C1666,""es"",""en"")"),"Radiant ,,,,")</f>
        <v>Radiant ,,,,</v>
      </c>
    </row>
    <row r="1667" spans="1:5" ht="13.2" x14ac:dyDescent="0.25">
      <c r="A1667" t="s">
        <v>3393</v>
      </c>
      <c r="B1667" t="s">
        <v>3391</v>
      </c>
      <c r="D1667" t="str">
        <f ca="1">IFERROR(__xludf.DUMMYFUNCTION("GOOGLETRANSLATE(B1667,""es"",""en"")"),"Happy")</f>
        <v>Happy</v>
      </c>
      <c r="E1667" t="str">
        <f ca="1">IFERROR(__xludf.DUMMYFUNCTION("GOOGLETRANSLATE(C1667,""es"",""en"")"),"#VALUE!")</f>
        <v>#VALUE!</v>
      </c>
    </row>
    <row r="1668" spans="1:5" ht="13.2" x14ac:dyDescent="0.25">
      <c r="A1668" t="s">
        <v>3394</v>
      </c>
      <c r="B1668" t="s">
        <v>3395</v>
      </c>
      <c r="C1668" t="s">
        <v>3396</v>
      </c>
      <c r="D1668" t="str">
        <f ca="1">IFERROR(__xludf.DUMMYFUNCTION("GOOGLETRANSLATE(B1668,""es"",""en"")"),"Sign")</f>
        <v>Sign</v>
      </c>
      <c r="E1668" t="str">
        <f ca="1">IFERROR(__xludf.DUMMYFUNCTION("GOOGLETRANSLATE(C1668,""es"",""en"")"),"Annoy, , , ,")</f>
        <v>Annoy, , , ,</v>
      </c>
    </row>
    <row r="1669" spans="1:5" ht="13.2" x14ac:dyDescent="0.25">
      <c r="A1669" t="s">
        <v>3397</v>
      </c>
      <c r="B1669" t="s">
        <v>3398</v>
      </c>
      <c r="C1669" t="s">
        <v>3399</v>
      </c>
      <c r="D1669" t="str">
        <f ca="1">IFERROR(__xludf.DUMMYFUNCTION("GOOGLETRANSLATE(B1669,""es"",""en"")"),"Enjoy")</f>
        <v>Enjoy</v>
      </c>
      <c r="E1669" t="str">
        <f ca="1">IFERROR(__xludf.DUMMYFUNCTION("GOOGLETRANSLATE(C1669,""es"",""en"")"),"Enjoy, rejoice ,,,,")</f>
        <v>Enjoy, rejoice ,,,,</v>
      </c>
    </row>
    <row r="1670" spans="1:5" ht="13.2" x14ac:dyDescent="0.25">
      <c r="A1670" t="s">
        <v>3400</v>
      </c>
      <c r="B1670" t="s">
        <v>3401</v>
      </c>
      <c r="D1670" t="str">
        <f ca="1">IFERROR(__xludf.DUMMYFUNCTION("GOOGLETRANSLATE(B1670,""es"",""en"")"),"Guágara")</f>
        <v>Guágara</v>
      </c>
      <c r="E1670" t="str">
        <f ca="1">IFERROR(__xludf.DUMMYFUNCTION("GOOGLETRANSLATE(C1670,""es"",""en"")"),"#VALUE!")</f>
        <v>#VALUE!</v>
      </c>
    </row>
    <row r="1671" spans="1:5" ht="13.2" x14ac:dyDescent="0.25">
      <c r="A1671" t="s">
        <v>3402</v>
      </c>
      <c r="B1671" t="s">
        <v>3403</v>
      </c>
      <c r="D1671" t="str">
        <f ca="1">IFERROR(__xludf.DUMMYFUNCTION("GOOGLETRANSLATE(B1671,""es"",""en"")"),"Toucan")</f>
        <v>Toucan</v>
      </c>
      <c r="E1671" t="str">
        <f ca="1">IFERROR(__xludf.DUMMYFUNCTION("GOOGLETRANSLATE(C1671,""es"",""en"")"),"#VALUE!")</f>
        <v>#VALUE!</v>
      </c>
    </row>
    <row r="1672" spans="1:5" ht="13.2" x14ac:dyDescent="0.25">
      <c r="A1672" t="s">
        <v>3404</v>
      </c>
      <c r="B1672" t="s">
        <v>3405</v>
      </c>
      <c r="C1672" t="s">
        <v>3406</v>
      </c>
      <c r="D1672" t="str">
        <f ca="1">IFERROR(__xludf.DUMMYFUNCTION("GOOGLETRANSLATE(B1672,""es"",""en"")"),"Spoon")</f>
        <v>Spoon</v>
      </c>
      <c r="E1672" t="str">
        <f ca="1">IFERROR(__xludf.DUMMYFUNCTION("GOOGLETRANSLATE(C1672,""es"",""en"")"),"Ladle ,,,,")</f>
        <v>Ladle ,,,,</v>
      </c>
    </row>
    <row r="1673" spans="1:5" ht="13.2" x14ac:dyDescent="0.25">
      <c r="A1673" t="s">
        <v>3407</v>
      </c>
      <c r="B1673" t="s">
        <v>3408</v>
      </c>
      <c r="C1673" t="s">
        <v>3409</v>
      </c>
      <c r="D1673" t="str">
        <f ca="1">IFERROR(__xludf.DUMMYFUNCTION("GOOGLETRANSLATE(B1673,""es"",""en"")"),"End")</f>
        <v>End</v>
      </c>
      <c r="E1673" t="str">
        <f ca="1">IFERROR(__xludf.DUMMYFUNCTION("GOOGLETRANSLATE(C1673,""es"",""en"")"),"So far, , , ,")</f>
        <v>So far, , , ,</v>
      </c>
    </row>
    <row r="1674" spans="1:5" ht="13.2" x14ac:dyDescent="0.25">
      <c r="A1674" t="s">
        <v>3410</v>
      </c>
      <c r="B1674" t="s">
        <v>3408</v>
      </c>
      <c r="C1674" t="s">
        <v>3409</v>
      </c>
      <c r="D1674" t="str">
        <f ca="1">IFERROR(__xludf.DUMMYFUNCTION("GOOGLETRANSLATE(B1674,""es"",""en"")"),"End")</f>
        <v>End</v>
      </c>
      <c r="E1674" t="str">
        <f ca="1">IFERROR(__xludf.DUMMYFUNCTION("GOOGLETRANSLATE(C1674,""es"",""en"")"),"So far, , , ,")</f>
        <v>So far, , , ,</v>
      </c>
    </row>
    <row r="1675" spans="1:5" ht="13.2" x14ac:dyDescent="0.25">
      <c r="A1675" t="s">
        <v>667</v>
      </c>
      <c r="B1675" t="s">
        <v>3411</v>
      </c>
      <c r="D1675" t="str">
        <f ca="1">IFERROR(__xludf.DUMMYFUNCTION("GOOGLETRANSLATE(B1675,""es"",""en"")"),"Over there")</f>
        <v>Over there</v>
      </c>
      <c r="E1675" t="str">
        <f ca="1">IFERROR(__xludf.DUMMYFUNCTION("GOOGLETRANSLATE(C1675,""es"",""en"")"),"#VALUE!")</f>
        <v>#VALUE!</v>
      </c>
    </row>
    <row r="1676" spans="1:5" ht="13.2" x14ac:dyDescent="0.25">
      <c r="A1676" t="s">
        <v>668</v>
      </c>
      <c r="B1676" t="s">
        <v>3411</v>
      </c>
      <c r="D1676" t="str">
        <f ca="1">IFERROR(__xludf.DUMMYFUNCTION("GOOGLETRANSLATE(B1676,""es"",""en"")"),"Over there")</f>
        <v>Over there</v>
      </c>
      <c r="E1676" t="str">
        <f ca="1">IFERROR(__xludf.DUMMYFUNCTION("GOOGLETRANSLATE(C1676,""es"",""en"")"),"#VALUE!")</f>
        <v>#VALUE!</v>
      </c>
    </row>
    <row r="1677" spans="1:5" ht="13.2" x14ac:dyDescent="0.25">
      <c r="A1677" t="s">
        <v>664</v>
      </c>
      <c r="B1677" t="s">
        <v>3411</v>
      </c>
      <c r="D1677" t="str">
        <f ca="1">IFERROR(__xludf.DUMMYFUNCTION("GOOGLETRANSLATE(B1677,""es"",""en"")"),"Over there")</f>
        <v>Over there</v>
      </c>
      <c r="E1677" t="str">
        <f ca="1">IFERROR(__xludf.DUMMYFUNCTION("GOOGLETRANSLATE(C1677,""es"",""en"")"),"#VALUE!")</f>
        <v>#VALUE!</v>
      </c>
    </row>
    <row r="1678" spans="1:5" ht="13.2" x14ac:dyDescent="0.25">
      <c r="A1678" t="s">
        <v>3412</v>
      </c>
      <c r="B1678" t="s">
        <v>3413</v>
      </c>
      <c r="D1678" t="s">
        <v>3414</v>
      </c>
      <c r="E1678" t="str">
        <f ca="1">IFERROR(__xludf.DUMMYFUNCTION("GOOGLETRANSLATE(C1678,""es"",""en"")"),"#VALUE!")</f>
        <v>#VALUE!</v>
      </c>
    </row>
    <row r="1679" spans="1:5" ht="13.2" x14ac:dyDescent="0.25">
      <c r="A1679" t="s">
        <v>3415</v>
      </c>
      <c r="B1679" t="s">
        <v>3416</v>
      </c>
      <c r="D1679" t="str">
        <f ca="1">IFERROR(__xludf.DUMMYFUNCTION("GOOGLETRANSLATE(B1679,""es"",""en"")"),"Tear a fabric")</f>
        <v>Tear a fabric</v>
      </c>
      <c r="E1679" t="str">
        <f ca="1">IFERROR(__xludf.DUMMYFUNCTION("GOOGLETRANSLATE(C1679,""es"",""en"")"),"#VALUE!")</f>
        <v>#VALUE!</v>
      </c>
    </row>
    <row r="1680" spans="1:5" ht="13.2" x14ac:dyDescent="0.25">
      <c r="A1680" t="s">
        <v>3388</v>
      </c>
      <c r="B1680" t="s">
        <v>3387</v>
      </c>
      <c r="C1680" t="s">
        <v>3389</v>
      </c>
      <c r="D1680" t="str">
        <f ca="1">IFERROR(__xludf.DUMMYFUNCTION("GOOGLETRANSLATE(B1680,""es"",""en"")"),"So")</f>
        <v>So</v>
      </c>
      <c r="E1680" t="str">
        <f ca="1">IFERROR(__xludf.DUMMYFUNCTION("GOOGLETRANSLATE(C1680,""es"",""en"")"),"This way, , , ,")</f>
        <v>This way, , , ,</v>
      </c>
    </row>
    <row r="1681" spans="1:5" ht="13.2" x14ac:dyDescent="0.25">
      <c r="A1681" t="s">
        <v>3386</v>
      </c>
      <c r="B1681" t="s">
        <v>3387</v>
      </c>
      <c r="C1681" t="s">
        <v>3417</v>
      </c>
      <c r="D1681" t="str">
        <f ca="1">IFERROR(__xludf.DUMMYFUNCTION("GOOGLETRANSLATE(B1681,""es"",""en"")"),"So")</f>
        <v>So</v>
      </c>
      <c r="E1681" t="str">
        <f ca="1">IFERROR(__xludf.DUMMYFUNCTION("GOOGLETRANSLATE(C1681,""es"",""en"")")," This way, , , ,")</f>
        <v xml:space="preserve"> This way, , , ,</v>
      </c>
    </row>
    <row r="1682" spans="1:5" ht="13.2" x14ac:dyDescent="0.25">
      <c r="A1682" t="s">
        <v>3418</v>
      </c>
      <c r="B1682" t="s">
        <v>3419</v>
      </c>
      <c r="D1682" t="str">
        <f ca="1">IFERROR(__xludf.DUMMYFUNCTION("GOOGLETRANSLATE(B1682,""es"",""en"")"),"Spit")</f>
        <v>Spit</v>
      </c>
      <c r="E1682" t="str">
        <f ca="1">IFERROR(__xludf.DUMMYFUNCTION("GOOGLETRANSLATE(C1682,""es"",""en"")"),"#VALUE!")</f>
        <v>#VALUE!</v>
      </c>
    </row>
    <row r="1683" spans="1:5" ht="13.2" x14ac:dyDescent="0.25">
      <c r="A1683" t="s">
        <v>3420</v>
      </c>
      <c r="B1683" t="s">
        <v>3419</v>
      </c>
      <c r="D1683" t="str">
        <f ca="1">IFERROR(__xludf.DUMMYFUNCTION("GOOGLETRANSLATE(B1683,""es"",""en"")"),"Spit")</f>
        <v>Spit</v>
      </c>
      <c r="E1683" t="str">
        <f ca="1">IFERROR(__xludf.DUMMYFUNCTION("GOOGLETRANSLATE(C1683,""es"",""en"")"),"#VALUE!")</f>
        <v>#VALUE!</v>
      </c>
    </row>
    <row r="1684" spans="1:5" ht="13.2" x14ac:dyDescent="0.25">
      <c r="A1684" t="s">
        <v>3421</v>
      </c>
      <c r="B1684" t="s">
        <v>3422</v>
      </c>
      <c r="D1684" t="str">
        <f ca="1">IFERROR(__xludf.DUMMYFUNCTION("GOOGLETRANSLATE(B1684,""es"",""en"")"),"Made")</f>
        <v>Made</v>
      </c>
      <c r="E1684" t="str">
        <f ca="1">IFERROR(__xludf.DUMMYFUNCTION("GOOGLETRANSLATE(C1684,""es"",""en"")"),"#VALUE!")</f>
        <v>#VALUE!</v>
      </c>
    </row>
    <row r="1685" spans="1:5" ht="13.2" x14ac:dyDescent="0.25">
      <c r="A1685" t="s">
        <v>3423</v>
      </c>
      <c r="B1685" t="s">
        <v>3424</v>
      </c>
      <c r="D1685" t="str">
        <f ca="1">IFERROR(__xludf.DUMMYFUNCTION("GOOGLETRANSLATE(B1685,""es"",""en"")"),"Laziness")</f>
        <v>Laziness</v>
      </c>
      <c r="E1685" t="str">
        <f ca="1">IFERROR(__xludf.DUMMYFUNCTION("GOOGLETRANSLATE(C1685,""es"",""en"")"),"#VALUE!")</f>
        <v>#VALUE!</v>
      </c>
    </row>
    <row r="1686" spans="1:5" ht="13.2" x14ac:dyDescent="0.25">
      <c r="A1686" t="s">
        <v>3425</v>
      </c>
      <c r="B1686" t="s">
        <v>3426</v>
      </c>
      <c r="C1686" t="s">
        <v>3427</v>
      </c>
      <c r="D1686" t="str">
        <f ca="1">IFERROR(__xludf.DUMMYFUNCTION("GOOGLETRANSLATE(B1686,""es"",""en"")"),"Lazy")</f>
        <v>Lazy</v>
      </c>
      <c r="E1686" t="str">
        <f ca="1">IFERROR(__xludf.DUMMYFUNCTION("GOOGLETRANSLATE(C1686,""es"",""en"")"),"Lazy, , , ,")</f>
        <v>Lazy, , , ,</v>
      </c>
    </row>
    <row r="1687" spans="1:5" ht="13.2" x14ac:dyDescent="0.25">
      <c r="A1687" t="s">
        <v>3428</v>
      </c>
      <c r="B1687" t="s">
        <v>3429</v>
      </c>
      <c r="D1687" t="str">
        <f ca="1">IFERROR(__xludf.DUMMYFUNCTION("GOOGLETRANSLATE(B1687,""es"",""en"")"),"Whistle")</f>
        <v>Whistle</v>
      </c>
      <c r="E1687" t="str">
        <f ca="1">IFERROR(__xludf.DUMMYFUNCTION("GOOGLETRANSLATE(C1687,""es"",""en"")"),"#VALUE!")</f>
        <v>#VALUE!</v>
      </c>
    </row>
    <row r="1688" spans="1:5" ht="13.2" x14ac:dyDescent="0.25">
      <c r="A1688" t="s">
        <v>3430</v>
      </c>
      <c r="B1688" t="s">
        <v>3431</v>
      </c>
      <c r="C1688" t="s">
        <v>3432</v>
      </c>
      <c r="D1688" t="str">
        <f ca="1">IFERROR(__xludf.DUMMYFUNCTION("GOOGLETRANSLATE(B1688,""es"",""en"")"),"Saliva")</f>
        <v>Saliva</v>
      </c>
      <c r="E1688" t="str">
        <f ca="1">IFERROR(__xludf.DUMMYFUNCTION("GOOGLETRANSLATE(C1688,""es"",""en"")"),"Baba ,,,,")</f>
        <v>Baba ,,,,</v>
      </c>
    </row>
    <row r="1689" spans="1:5" ht="13.2" x14ac:dyDescent="0.25">
      <c r="A1689" t="s">
        <v>3433</v>
      </c>
      <c r="B1689" t="s">
        <v>3431</v>
      </c>
      <c r="D1689" t="str">
        <f ca="1">IFERROR(__xludf.DUMMYFUNCTION("GOOGLETRANSLATE(B1689,""es"",""en"")"),"Saliva")</f>
        <v>Saliva</v>
      </c>
      <c r="E1689" t="str">
        <f ca="1">IFERROR(__xludf.DUMMYFUNCTION("GOOGLETRANSLATE(C1689,""es"",""en"")"),"#VALUE!")</f>
        <v>#VALUE!</v>
      </c>
    </row>
    <row r="1690" spans="1:5" ht="13.2" x14ac:dyDescent="0.25">
      <c r="A1690" t="s">
        <v>3434</v>
      </c>
      <c r="B1690" t="s">
        <v>3435</v>
      </c>
      <c r="C1690" t="s">
        <v>3436</v>
      </c>
      <c r="D1690" t="str">
        <f ca="1">IFERROR(__xludf.DUMMYFUNCTION("GOOGLETRANSLATE(B1690,""es"",""en"")"),"Jaguar")</f>
        <v>Jaguar</v>
      </c>
      <c r="E1690" t="str">
        <f ca="1">IFERROR(__xludf.DUMMYFUNCTION("GOOGLETRANSLATE(C1690,""es"",""en"")"),"Dog, , , ,")</f>
        <v>Dog, , , ,</v>
      </c>
    </row>
    <row r="1691" spans="1:5" ht="13.2" x14ac:dyDescent="0.25">
      <c r="A1691" t="s">
        <v>3437</v>
      </c>
      <c r="B1691" t="s">
        <v>3431</v>
      </c>
      <c r="D1691" t="str">
        <f ca="1">IFERROR(__xludf.DUMMYFUNCTION("GOOGLETRANSLATE(B1691,""es"",""en"")"),"Saliva")</f>
        <v>Saliva</v>
      </c>
      <c r="E1691" t="str">
        <f ca="1">IFERROR(__xludf.DUMMYFUNCTION("GOOGLETRANSLATE(C1691,""es"",""en"")"),"#VALUE!")</f>
        <v>#VALUE!</v>
      </c>
    </row>
    <row r="1692" spans="1:5" ht="13.2" x14ac:dyDescent="0.25">
      <c r="A1692" t="s">
        <v>3438</v>
      </c>
      <c r="B1692" t="s">
        <v>3439</v>
      </c>
      <c r="D1692" t="s">
        <v>3440</v>
      </c>
      <c r="E1692" t="str">
        <f ca="1">IFERROR(__xludf.DUMMYFUNCTION("GOOGLETRANSLATE(C1692,""es"",""en"")"),"#VALUE!")</f>
        <v>#VALUE!</v>
      </c>
    </row>
    <row r="1693" spans="1:5" ht="13.2" x14ac:dyDescent="0.25">
      <c r="A1693" t="s">
        <v>3441</v>
      </c>
      <c r="B1693" t="s">
        <v>3442</v>
      </c>
      <c r="D1693" t="str">
        <f ca="1">IFERROR(__xludf.DUMMYFUNCTION("GOOGLETRANSLATE(B1693,""es"",""en"")"),"Very deep waters")</f>
        <v>Very deep waters</v>
      </c>
      <c r="E1693" t="str">
        <f ca="1">IFERROR(__xludf.DUMMYFUNCTION("GOOGLETRANSLATE(C1693,""es"",""en"")"),"#VALUE!")</f>
        <v>#VALUE!</v>
      </c>
    </row>
    <row r="1694" spans="1:5" ht="13.2" x14ac:dyDescent="0.25">
      <c r="A1694" t="s">
        <v>3443</v>
      </c>
      <c r="B1694" t="s">
        <v>3444</v>
      </c>
      <c r="C1694" t="s">
        <v>3445</v>
      </c>
      <c r="D1694" t="str">
        <f ca="1">IFERROR(__xludf.DUMMYFUNCTION("GOOGLETRANSLATE(B1694,""es"",""en"")"),"Sympathize")</f>
        <v>Sympathize</v>
      </c>
      <c r="E1694" t="str">
        <f ca="1">IFERROR(__xludf.DUMMYFUNCTION("GOOGLETRANSLATE(C1694,""es"",""en"")"),"Shake towards another person")</f>
        <v>Shake towards another person</v>
      </c>
    </row>
    <row r="1695" spans="1:5" ht="13.2" x14ac:dyDescent="0.25">
      <c r="A1695" t="s">
        <v>3446</v>
      </c>
      <c r="B1695" t="s">
        <v>3447</v>
      </c>
      <c r="C1695" t="s">
        <v>3448</v>
      </c>
      <c r="D1695" t="str">
        <f ca="1">IFERROR(__xludf.DUMMYFUNCTION("GOOGLETRANSLATE(B1695,""es"",""en"")"),"Suffer")</f>
        <v>Suffer</v>
      </c>
      <c r="E1695" t="str">
        <f ca="1">IFERROR(__xludf.DUMMYFUNCTION("GOOGLETRANSLATE(C1695,""es"",""en"")"),"Impoverished, missing ,,,,")</f>
        <v>Impoverished, missing ,,,,</v>
      </c>
    </row>
    <row r="1696" spans="1:5" ht="13.2" x14ac:dyDescent="0.25">
      <c r="A1696" t="s">
        <v>3449</v>
      </c>
      <c r="B1696" t="s">
        <v>3450</v>
      </c>
      <c r="C1696" t="s">
        <v>3451</v>
      </c>
      <c r="D1696" t="str">
        <f ca="1">IFERROR(__xludf.DUMMYFUNCTION("GOOGLETRANSLATE(B1696,""es"",""en"")"),"Sadness")</f>
        <v>Sadness</v>
      </c>
      <c r="E1696" t="str">
        <f ca="1">IFERROR(__xludf.DUMMYFUNCTION("GOOGLETRANSLATE(C1696,""es"",""en"")"),"Hightenance ,,,,")</f>
        <v>Hightenance ,,,,</v>
      </c>
    </row>
    <row r="1697" spans="1:5" ht="13.2" x14ac:dyDescent="0.25">
      <c r="A1697" t="s">
        <v>3452</v>
      </c>
      <c r="B1697" t="s">
        <v>3450</v>
      </c>
      <c r="D1697" t="str">
        <f ca="1">IFERROR(__xludf.DUMMYFUNCTION("GOOGLETRANSLATE(B1697,""es"",""en"")"),"Sadness")</f>
        <v>Sadness</v>
      </c>
      <c r="E1697" t="str">
        <f ca="1">IFERROR(__xludf.DUMMYFUNCTION("GOOGLETRANSLATE(C1697,""es"",""en"")"),"#VALUE!")</f>
        <v>#VALUE!</v>
      </c>
    </row>
    <row r="1698" spans="1:5" ht="13.2" x14ac:dyDescent="0.25">
      <c r="A1698" t="s">
        <v>3453</v>
      </c>
      <c r="B1698" t="s">
        <v>3454</v>
      </c>
      <c r="C1698" t="s">
        <v>3455</v>
      </c>
      <c r="D1698" t="str">
        <f ca="1">IFERROR(__xludf.DUMMYFUNCTION("GOOGLETRANSLATE(B1698,""es"",""en"")"),"Sign")</f>
        <v>Sign</v>
      </c>
      <c r="E1698" t="str">
        <f ca="1">IFERROR(__xludf.DUMMYFUNCTION("GOOGLETRANSLATE(C1698,""es"",""en"")"),"Symbol, , , ,")</f>
        <v>Symbol, , , ,</v>
      </c>
    </row>
    <row r="1699" spans="1:5" ht="13.2" x14ac:dyDescent="0.25">
      <c r="A1699" t="s">
        <v>3456</v>
      </c>
      <c r="B1699" t="s">
        <v>1425</v>
      </c>
      <c r="C1699" t="s">
        <v>3457</v>
      </c>
      <c r="D1699" t="str">
        <f ca="1">IFERROR(__xludf.DUMMYFUNCTION("GOOGLETRANSLATE(B1699,""es"",""en"")"),"Equal")</f>
        <v>Equal</v>
      </c>
      <c r="E1699" t="str">
        <f ca="1">IFERROR(__xludf.DUMMYFUNCTION("GOOGLETRANSLATE(C1699,""es"",""en"")"),"Fair, , , ,")</f>
        <v>Fair, , , ,</v>
      </c>
    </row>
    <row r="1700" spans="1:5" ht="13.2" x14ac:dyDescent="0.25">
      <c r="A1700" t="s">
        <v>3458</v>
      </c>
      <c r="B1700" t="s">
        <v>1425</v>
      </c>
      <c r="C1700" t="s">
        <v>3457</v>
      </c>
      <c r="D1700" t="str">
        <f ca="1">IFERROR(__xludf.DUMMYFUNCTION("GOOGLETRANSLATE(B1700,""es"",""en"")"),"Equal")</f>
        <v>Equal</v>
      </c>
      <c r="E1700" t="str">
        <f ca="1">IFERROR(__xludf.DUMMYFUNCTION("GOOGLETRANSLATE(C1700,""es"",""en"")"),"Fair, , , ,")</f>
        <v>Fair, , , ,</v>
      </c>
    </row>
    <row r="1701" spans="1:5" ht="13.2" x14ac:dyDescent="0.25">
      <c r="A1701" t="s">
        <v>3459</v>
      </c>
      <c r="B1701" t="s">
        <v>3460</v>
      </c>
      <c r="C1701" t="s">
        <v>3461</v>
      </c>
      <c r="D1701" t="str">
        <f ca="1">IFERROR(__xludf.DUMMYFUNCTION("GOOGLETRANSLATE(B1701,""es"",""en"")"),"Abrise the flower")</f>
        <v>Abrise the flower</v>
      </c>
      <c r="E1701" t="str">
        <f ca="1">IFERROR(__xludf.DUMMYFUNCTION("GOOGLETRANSLATE(C1701,""es"",""en"")"),"to sprout, , , ,")</f>
        <v>to sprout, , , ,</v>
      </c>
    </row>
    <row r="1702" spans="1:5" ht="13.2" x14ac:dyDescent="0.25">
      <c r="A1702" t="s">
        <v>3462</v>
      </c>
      <c r="B1702" t="s">
        <v>3463</v>
      </c>
      <c r="C1702" t="s">
        <v>3464</v>
      </c>
      <c r="D1702" t="str">
        <f ca="1">IFERROR(__xludf.DUMMYFUNCTION("GOOGLETRANSLATE(B1702,""es"",""en"")"),"To experience")</f>
        <v>To experience</v>
      </c>
      <c r="E1702" t="str">
        <f ca="1">IFERROR(__xludf.DUMMYFUNCTION("GOOGLETRANSLATE(C1702,""es"",""en"")"),"Prove, , , ,")</f>
        <v>Prove, , , ,</v>
      </c>
    </row>
    <row r="1703" spans="1:5" ht="13.2" x14ac:dyDescent="0.25">
      <c r="A1703" t="s">
        <v>3465</v>
      </c>
      <c r="B1703" t="s">
        <v>3466</v>
      </c>
      <c r="D1703" t="str">
        <f ca="1">IFERROR(__xludf.DUMMYFUNCTION("GOOGLETRANSLATE(B1703,""es"",""en"")"),"Symbolism")</f>
        <v>Symbolism</v>
      </c>
      <c r="E1703" t="str">
        <f ca="1">IFERROR(__xludf.DUMMYFUNCTION("GOOGLETRANSLATE(C1703,""es"",""en"")"),"#VALUE!")</f>
        <v>#VALUE!</v>
      </c>
    </row>
    <row r="1704" spans="1:5" ht="13.2" x14ac:dyDescent="0.25">
      <c r="A1704" t="s">
        <v>3467</v>
      </c>
      <c r="B1704" t="s">
        <v>3466</v>
      </c>
      <c r="D1704" t="str">
        <f ca="1">IFERROR(__xludf.DUMMYFUNCTION("GOOGLETRANSLATE(B1704,""es"",""en"")"),"Symbolism")</f>
        <v>Symbolism</v>
      </c>
      <c r="E1704" t="str">
        <f ca="1">IFERROR(__xludf.DUMMYFUNCTION("GOOGLETRANSLATE(C1704,""es"",""en"")"),"#VALUE!")</f>
        <v>#VALUE!</v>
      </c>
    </row>
    <row r="1705" spans="1:5" ht="13.2" x14ac:dyDescent="0.25">
      <c r="A1705" t="s">
        <v>3468</v>
      </c>
      <c r="B1705" t="s">
        <v>3469</v>
      </c>
      <c r="C1705" t="s">
        <v>3470</v>
      </c>
      <c r="D1705" t="str">
        <f ca="1">IFERROR(__xludf.DUMMYFUNCTION("GOOGLETRANSLATE(B1705,""es"",""en"")"),"Prove")</f>
        <v>Prove</v>
      </c>
      <c r="E1705" t="str">
        <f ca="1">IFERROR(__xludf.DUMMYFUNCTION("GOOGLETRANSLATE(C1705,""es"",""en"")"),"Measure, , , ,")</f>
        <v>Measure, , , ,</v>
      </c>
    </row>
    <row r="1706" spans="1:5" ht="13.2" x14ac:dyDescent="0.25">
      <c r="A1706" t="s">
        <v>3471</v>
      </c>
      <c r="B1706" t="s">
        <v>3469</v>
      </c>
      <c r="C1706" t="s">
        <v>3470</v>
      </c>
      <c r="D1706" t="str">
        <f ca="1">IFERROR(__xludf.DUMMYFUNCTION("GOOGLETRANSLATE(B1706,""es"",""en"")"),"Prove")</f>
        <v>Prove</v>
      </c>
      <c r="E1706" t="str">
        <f ca="1">IFERROR(__xludf.DUMMYFUNCTION("GOOGLETRANSLATE(C1706,""es"",""en"")"),"Measure, , , ,")</f>
        <v>Measure, , , ,</v>
      </c>
    </row>
    <row r="1707" spans="1:5" ht="13.2" x14ac:dyDescent="0.25">
      <c r="A1707" t="s">
        <v>3472</v>
      </c>
      <c r="B1707" t="s">
        <v>3473</v>
      </c>
      <c r="C1707" t="s">
        <v>3474</v>
      </c>
      <c r="D1707" t="str">
        <f ca="1">IFERROR(__xludf.DUMMYFUNCTION("GOOGLETRANSLATE(B1707,""es"",""en"")"),"Sweat")</f>
        <v>Sweat</v>
      </c>
      <c r="E1707" t="str">
        <f ca="1">IFERROR(__xludf.DUMMYFUNCTION("GOOGLETRANSLATE(C1707,""es"",""en"")"),"Perspire ,,,,")</f>
        <v>Perspire ,,,,</v>
      </c>
    </row>
    <row r="1708" spans="1:5" ht="13.2" x14ac:dyDescent="0.25">
      <c r="A1708" t="s">
        <v>3475</v>
      </c>
      <c r="B1708" t="s">
        <v>3476</v>
      </c>
      <c r="C1708" t="s">
        <v>3477</v>
      </c>
      <c r="D1708" t="str">
        <f ca="1">IFERROR(__xludf.DUMMYFUNCTION("GOOGLETRANSLATE(B1708,""es"",""en"")"),"Trinket")</f>
        <v>Trinket</v>
      </c>
      <c r="E1708" t="str">
        <f ca="1">IFERROR(__xludf.DUMMYFUNCTION("GOOGLETRANSLATE(C1708,""es"",""en"")"),"Necklace, chaquira ,,,,")</f>
        <v>Necklace, chaquira ,,,,</v>
      </c>
    </row>
    <row r="1709" spans="1:5" ht="13.2" x14ac:dyDescent="0.25">
      <c r="A1709" t="s">
        <v>3478</v>
      </c>
      <c r="B1709" t="s">
        <v>3476</v>
      </c>
      <c r="D1709" t="str">
        <f ca="1">IFERROR(__xludf.DUMMYFUNCTION("GOOGLETRANSLATE(B1709,""es"",""en"")"),"Trinket")</f>
        <v>Trinket</v>
      </c>
      <c r="E1709" t="str">
        <f ca="1">IFERROR(__xludf.DUMMYFUNCTION("GOOGLETRANSLATE(C1709,""es"",""en"")"),"#VALUE!")</f>
        <v>#VALUE!</v>
      </c>
    </row>
    <row r="1710" spans="1:5" ht="13.2" x14ac:dyDescent="0.25">
      <c r="A1710" t="s">
        <v>1036</v>
      </c>
      <c r="B1710" t="s">
        <v>1034</v>
      </c>
      <c r="D1710" t="str">
        <f ca="1">IFERROR(__xludf.DUMMYFUNCTION("GOOGLETRANSLATE(B1710,""es"",""en"")"),"Pee")</f>
        <v>Pee</v>
      </c>
      <c r="E1710" t="str">
        <f ca="1">IFERROR(__xludf.DUMMYFUNCTION("GOOGLETRANSLATE(C1710,""es"",""en"")"),"#VALUE!")</f>
        <v>#VALUE!</v>
      </c>
    </row>
    <row r="1711" spans="1:5" ht="13.2" x14ac:dyDescent="0.25">
      <c r="A1711" t="s">
        <v>1033</v>
      </c>
      <c r="B1711" t="s">
        <v>1034</v>
      </c>
      <c r="D1711" t="str">
        <f ca="1">IFERROR(__xludf.DUMMYFUNCTION("GOOGLETRANSLATE(B1711,""es"",""en"")"),"Pee")</f>
        <v>Pee</v>
      </c>
      <c r="E1711" t="str">
        <f ca="1">IFERROR(__xludf.DUMMYFUNCTION("GOOGLETRANSLATE(C1711,""es"",""en"")"),"#VALUE!")</f>
        <v>#VALUE!</v>
      </c>
    </row>
    <row r="1712" spans="1:5" ht="13.2" x14ac:dyDescent="0.25">
      <c r="A1712" t="s">
        <v>3479</v>
      </c>
      <c r="B1712" t="s">
        <v>3480</v>
      </c>
      <c r="D1712" t="str">
        <f ca="1">IFERROR(__xludf.DUMMYFUNCTION("GOOGLETRANSLATE(B1712,""es"",""en"")"),"Nose")</f>
        <v>Nose</v>
      </c>
      <c r="E1712" t="str">
        <f ca="1">IFERROR(__xludf.DUMMYFUNCTION("GOOGLETRANSLATE(C1712,""es"",""en"")"),"#VALUE!")</f>
        <v>#VALUE!</v>
      </c>
    </row>
    <row r="1713" spans="1:5" ht="13.2" x14ac:dyDescent="0.25">
      <c r="A1713" t="s">
        <v>3481</v>
      </c>
      <c r="B1713" t="s">
        <v>3482</v>
      </c>
      <c r="C1713" t="s">
        <v>3483</v>
      </c>
      <c r="D1713" t="str">
        <f ca="1">IFERROR(__xludf.DUMMYFUNCTION("GOOGLETRANSLATE(B1713,""es"",""en"")"),"Urine")</f>
        <v>Urine</v>
      </c>
      <c r="E1713" t="str">
        <f ca="1">IFERROR(__xludf.DUMMYFUNCTION("GOOGLETRANSLATE(C1713,""es"",""en"")"),"Oríne ,,,,")</f>
        <v>Oríne ,,,,</v>
      </c>
    </row>
    <row r="1714" spans="1:5" ht="13.2" x14ac:dyDescent="0.25">
      <c r="A1714" t="s">
        <v>3484</v>
      </c>
      <c r="B1714" t="s">
        <v>3485</v>
      </c>
      <c r="D1714" t="str">
        <f ca="1">IFERROR(__xludf.DUMMYFUNCTION("GOOGLETRANSLATE(B1714,""es"",""en"")"),"DIERO SIGHTS WELLS")</f>
        <v>DIERO SIGHTS WELLS</v>
      </c>
      <c r="E1714" t="str">
        <f ca="1">IFERROR(__xludf.DUMMYFUNCTION("GOOGLETRANSLATE(C1714,""es"",""en"")"),"#VALUE!")</f>
        <v>#VALUE!</v>
      </c>
    </row>
    <row r="1715" spans="1:5" ht="13.2" x14ac:dyDescent="0.25">
      <c r="A1715" t="s">
        <v>3486</v>
      </c>
      <c r="B1715" t="s">
        <v>3487</v>
      </c>
      <c r="D1715" t="str">
        <f ca="1">IFERROR(__xludf.DUMMYFUNCTION("GOOGLETRANSLATE(B1715,""es"",""en"")"),"Liquid depth measurement")</f>
        <v>Liquid depth measurement</v>
      </c>
      <c r="E1715" t="str">
        <f ca="1">IFERROR(__xludf.DUMMYFUNCTION("GOOGLETRANSLATE(C1715,""es"",""en"")"),"#VALUE!")</f>
        <v>#VALUE!</v>
      </c>
    </row>
    <row r="1716" spans="1:5" ht="13.2" x14ac:dyDescent="0.25">
      <c r="A1716" t="s">
        <v>116</v>
      </c>
      <c r="B1716" t="s">
        <v>114</v>
      </c>
      <c r="D1716" t="str">
        <f ca="1">IFERROR(__xludf.DUMMYFUNCTION("GOOGLETRANSLATE(B1716,""es"",""en"")"),"Swallow")</f>
        <v>Swallow</v>
      </c>
      <c r="E1716" t="str">
        <f ca="1">IFERROR(__xludf.DUMMYFUNCTION("GOOGLETRANSLATE(C1716,""es"",""en"")"),"#VALUE!")</f>
        <v>#VALUE!</v>
      </c>
    </row>
    <row r="1717" spans="1:5" ht="13.2" x14ac:dyDescent="0.25">
      <c r="A1717" t="s">
        <v>3488</v>
      </c>
      <c r="B1717" t="s">
        <v>114</v>
      </c>
      <c r="D1717" t="str">
        <f ca="1">IFERROR(__xludf.DUMMYFUNCTION("GOOGLETRANSLATE(B1717,""es"",""en"")"),"Swallow")</f>
        <v>Swallow</v>
      </c>
      <c r="E1717" t="str">
        <f ca="1">IFERROR(__xludf.DUMMYFUNCTION("GOOGLETRANSLATE(C1717,""es"",""en"")"),"#VALUE!")</f>
        <v>#VALUE!</v>
      </c>
    </row>
    <row r="1718" spans="1:5" ht="13.2" x14ac:dyDescent="0.25">
      <c r="A1718" t="s">
        <v>3489</v>
      </c>
      <c r="B1718" t="s">
        <v>3490</v>
      </c>
      <c r="D1718" t="str">
        <f ca="1">IFERROR(__xludf.DUMMYFUNCTION("GOOGLETRANSLATE(B1718,""es"",""en"")"),"Blender")</f>
        <v>Blender</v>
      </c>
      <c r="E1718" t="str">
        <f ca="1">IFERROR(__xludf.DUMMYFUNCTION("GOOGLETRANSLATE(C1718,""es"",""en"")"),"#VALUE!")</f>
        <v>#VALUE!</v>
      </c>
    </row>
    <row r="1719" spans="1:5" ht="13.2" x14ac:dyDescent="0.25">
      <c r="A1719" t="s">
        <v>3491</v>
      </c>
      <c r="B1719" t="s">
        <v>3492</v>
      </c>
      <c r="C1719" t="s">
        <v>3493</v>
      </c>
      <c r="D1719" t="str">
        <f ca="1">IFERROR(__xludf.DUMMYFUNCTION("GOOGLETRANSLATE(B1719,""es"",""en"")"),"I don't know")</f>
        <v>I don't know</v>
      </c>
      <c r="E1719" t="str">
        <f ca="1">IFERROR(__xludf.DUMMYFUNCTION("GOOGLETRANSLATE(C1719,""es"",""en"")")," Who knows, , , ,")</f>
        <v xml:space="preserve"> Who knows, , , ,</v>
      </c>
    </row>
    <row r="1720" spans="1:5" ht="13.2" x14ac:dyDescent="0.25">
      <c r="A1720" t="s">
        <v>3494</v>
      </c>
      <c r="B1720" t="s">
        <v>3492</v>
      </c>
      <c r="D1720" t="str">
        <f ca="1">IFERROR(__xludf.DUMMYFUNCTION("GOOGLETRANSLATE(B1720,""es"",""en"")"),"I don't know")</f>
        <v>I don't know</v>
      </c>
      <c r="E1720" t="str">
        <f ca="1">IFERROR(__xludf.DUMMYFUNCTION("GOOGLETRANSLATE(C1720,""es"",""en"")"),"#VALUE!")</f>
        <v>#VALUE!</v>
      </c>
    </row>
    <row r="1721" spans="1:5" ht="13.2" x14ac:dyDescent="0.25">
      <c r="A1721" t="s">
        <v>3495</v>
      </c>
      <c r="B1721" t="s">
        <v>3492</v>
      </c>
      <c r="D1721" t="str">
        <f ca="1">IFERROR(__xludf.DUMMYFUNCTION("GOOGLETRANSLATE(B1721,""es"",""en"")"),"I don't know")</f>
        <v>I don't know</v>
      </c>
      <c r="E1721" t="str">
        <f ca="1">IFERROR(__xludf.DUMMYFUNCTION("GOOGLETRANSLATE(C1721,""es"",""en"")"),"#VALUE!")</f>
        <v>#VALUE!</v>
      </c>
    </row>
    <row r="1722" spans="1:5" ht="13.2" x14ac:dyDescent="0.25">
      <c r="A1722" t="s">
        <v>3496</v>
      </c>
      <c r="B1722" t="s">
        <v>3497</v>
      </c>
      <c r="C1722" t="s">
        <v>3498</v>
      </c>
      <c r="D1722" t="str">
        <f ca="1">IFERROR(__xludf.DUMMYFUNCTION("GOOGLETRANSLATE(B1722,""es"",""en"")"),"Know")</f>
        <v>Know</v>
      </c>
      <c r="E1722" t="str">
        <f ca="1">IFERROR(__xludf.DUMMYFUNCTION("GOOGLETRANSLATE(C1722,""es"",""en"")"),"Know, be aware ,,,")</f>
        <v>Know, be aware ,,,</v>
      </c>
    </row>
    <row r="1723" spans="1:5" ht="13.2" x14ac:dyDescent="0.25">
      <c r="A1723" t="s">
        <v>3499</v>
      </c>
      <c r="B1723" t="s">
        <v>3500</v>
      </c>
      <c r="C1723" t="s">
        <v>3501</v>
      </c>
      <c r="D1723" t="str">
        <f ca="1">IFERROR(__xludf.DUMMYFUNCTION("GOOGLETRANSLATE(B1723,""es"",""en"")"),"Nose")</f>
        <v>Nose</v>
      </c>
      <c r="E1723" t="str">
        <f ca="1">IFERROR(__xludf.DUMMYFUNCTION("GOOGLETRANSLATE(C1723,""es"",""en"")"),"Front, the one that goes first ,,,")</f>
        <v>Front, the one that goes first ,,,</v>
      </c>
    </row>
    <row r="1724" spans="1:5" ht="13.2" x14ac:dyDescent="0.25">
      <c r="A1724" t="s">
        <v>3502</v>
      </c>
      <c r="B1724" t="s">
        <v>3503</v>
      </c>
      <c r="C1724" t="s">
        <v>3504</v>
      </c>
      <c r="D1724" t="str">
        <f ca="1">IFERROR(__xludf.DUMMYFUNCTION("GOOGLETRANSLATE(B1724,""es"",""en"")"),"Door")</f>
        <v>Door</v>
      </c>
      <c r="E1724" t="str">
        <f ca="1">IFERROR(__xludf.DUMMYFUNCTION("GOOGLETRANSLATE(C1724,""es"",""en"")"),"Gate ,,,,")</f>
        <v>Gate ,,,,</v>
      </c>
    </row>
    <row r="1725" spans="1:5" ht="13.2" x14ac:dyDescent="0.25">
      <c r="A1725" t="s">
        <v>3505</v>
      </c>
      <c r="B1725" t="s">
        <v>3503</v>
      </c>
      <c r="C1725" t="s">
        <v>3504</v>
      </c>
      <c r="D1725" t="str">
        <f ca="1">IFERROR(__xludf.DUMMYFUNCTION("GOOGLETRANSLATE(B1725,""es"",""en"")"),"Door")</f>
        <v>Door</v>
      </c>
      <c r="E1725" t="str">
        <f ca="1">IFERROR(__xludf.DUMMYFUNCTION("GOOGLETRANSLATE(C1725,""es"",""en"")"),"Gate ,,,,")</f>
        <v>Gate ,,,,</v>
      </c>
    </row>
    <row r="1726" spans="1:5" ht="13.2" x14ac:dyDescent="0.25">
      <c r="A1726" t="s">
        <v>3506</v>
      </c>
      <c r="B1726" t="s">
        <v>3503</v>
      </c>
      <c r="D1726" t="str">
        <f ca="1">IFERROR(__xludf.DUMMYFUNCTION("GOOGLETRANSLATE(B1726,""es"",""en"")"),"Door")</f>
        <v>Door</v>
      </c>
      <c r="E1726" t="str">
        <f ca="1">IFERROR(__xludf.DUMMYFUNCTION("GOOGLETRANSLATE(C1726,""es"",""en"")"),"#VALUE!")</f>
        <v>#VALUE!</v>
      </c>
    </row>
    <row r="1727" spans="1:5" ht="13.2" x14ac:dyDescent="0.25">
      <c r="A1727" t="s">
        <v>3507</v>
      </c>
      <c r="B1727" t="s">
        <v>3508</v>
      </c>
      <c r="C1727" t="s">
        <v>3509</v>
      </c>
      <c r="D1727" t="str">
        <f ca="1">IFERROR(__xludf.DUMMYFUNCTION("GOOGLETRANSLATE(B1727,""es"",""en"")"),"Miss")</f>
        <v>Miss</v>
      </c>
      <c r="E1727" t="str">
        <f ca="1">IFERROR(__xludf.DUMMYFUNCTION("GOOGLETRANSLATE(C1727,""es"",""en"")"),"Young, single ,,,")</f>
        <v>Young, single ,,,</v>
      </c>
    </row>
    <row r="1728" spans="1:5" ht="13.2" x14ac:dyDescent="0.25">
      <c r="A1728" t="s">
        <v>2612</v>
      </c>
      <c r="B1728" t="s">
        <v>3510</v>
      </c>
      <c r="D1728" t="str">
        <f ca="1">IFERROR(__xludf.DUMMYFUNCTION("GOOGLETRANSLATE(B1728,""es"",""en"")"),"Step to puberty")</f>
        <v>Step to puberty</v>
      </c>
      <c r="E1728" t="str">
        <f ca="1">IFERROR(__xludf.DUMMYFUNCTION("GOOGLETRANSLATE(C1728,""es"",""en"")"),"#VALUE!")</f>
        <v>#VALUE!</v>
      </c>
    </row>
    <row r="1729" spans="1:5" ht="13.2" x14ac:dyDescent="0.25">
      <c r="A1729" t="s">
        <v>2610</v>
      </c>
      <c r="B1729" t="s">
        <v>3511</v>
      </c>
      <c r="D1729" t="str">
        <f ca="1">IFERROR(__xludf.DUMMYFUNCTION("GOOGLETRANSLATE(B1729,""es"",""en"")"),"Step to puberty")</f>
        <v>Step to puberty</v>
      </c>
      <c r="E1729" t="str">
        <f ca="1">IFERROR(__xludf.DUMMYFUNCTION("GOOGLETRANSLATE(C1729,""es"",""en"")"),"#VALUE!")</f>
        <v>#VALUE!</v>
      </c>
    </row>
    <row r="1730" spans="1:5" ht="13.2" x14ac:dyDescent="0.25">
      <c r="A1730" t="s">
        <v>3512</v>
      </c>
      <c r="B1730" t="s">
        <v>3513</v>
      </c>
      <c r="C1730" t="s">
        <v>3514</v>
      </c>
      <c r="D1730" t="str">
        <f ca="1">IFERROR(__xludf.DUMMYFUNCTION("GOOGLETRANSLATE(B1730,""es"",""en"")"),"Inside")</f>
        <v>Inside</v>
      </c>
      <c r="E1730" t="str">
        <f ca="1">IFERROR(__xludf.DUMMYFUNCTION("GOOGLETRANSLATE(C1730,""es"",""en"")"),"Inside, , , ,")</f>
        <v>Inside, , , ,</v>
      </c>
    </row>
    <row r="1731" spans="1:5" ht="13.2" x14ac:dyDescent="0.25">
      <c r="A1731" t="s">
        <v>3515</v>
      </c>
      <c r="B1731" t="s">
        <v>3513</v>
      </c>
      <c r="C1731" t="s">
        <v>3514</v>
      </c>
      <c r="D1731" t="str">
        <f ca="1">IFERROR(__xludf.DUMMYFUNCTION("GOOGLETRANSLATE(B1731,""es"",""en"")"),"Inside")</f>
        <v>Inside</v>
      </c>
      <c r="E1731" t="str">
        <f ca="1">IFERROR(__xludf.DUMMYFUNCTION("GOOGLETRANSLATE(C1731,""es"",""en"")"),"Inside, , , ,")</f>
        <v>Inside, , , ,</v>
      </c>
    </row>
    <row r="1732" spans="1:5" ht="13.2" x14ac:dyDescent="0.25">
      <c r="A1732" t="s">
        <v>2881</v>
      </c>
      <c r="B1732" t="s">
        <v>1198</v>
      </c>
      <c r="C1732" t="s">
        <v>3516</v>
      </c>
      <c r="D1732" t="str">
        <f ca="1">IFERROR(__xludf.DUMMYFUNCTION("GOOGLETRANSLATE(B1732,""es"",""en"")"),"No")</f>
        <v>No</v>
      </c>
      <c r="E1732" t="str">
        <f ca="1">IFERROR(__xludf.DUMMYFUNCTION("GOOGLETRANSLATE(C1732,""es"",""en"")"),"Do not want something ,,,,")</f>
        <v>Do not want something ,,,,</v>
      </c>
    </row>
    <row r="1733" spans="1:5" ht="13.2" x14ac:dyDescent="0.25">
      <c r="A1733" t="s">
        <v>2879</v>
      </c>
      <c r="B1733" t="s">
        <v>1198</v>
      </c>
      <c r="D1733" t="str">
        <f ca="1">IFERROR(__xludf.DUMMYFUNCTION("GOOGLETRANSLATE(B1733,""es"",""en"")"),"No")</f>
        <v>No</v>
      </c>
      <c r="E1733" t="str">
        <f ca="1">IFERROR(__xludf.DUMMYFUNCTION("GOOGLETRANSLATE(C1733,""es"",""en"")"),"#VALUE!")</f>
        <v>#VALUE!</v>
      </c>
    </row>
    <row r="1734" spans="1:5" ht="13.2" x14ac:dyDescent="0.25">
      <c r="A1734" t="s">
        <v>3517</v>
      </c>
      <c r="B1734" t="s">
        <v>3500</v>
      </c>
      <c r="C1734" t="s">
        <v>3518</v>
      </c>
      <c r="D1734" t="str">
        <f ca="1">IFERROR(__xludf.DUMMYFUNCTION("GOOGLETRANSLATE(B1734,""es"",""en"")"),"Nose")</f>
        <v>Nose</v>
      </c>
      <c r="E1734" t="str">
        <f ca="1">IFERROR(__xludf.DUMMYFUNCTION("GOOGLETRANSLATE(C1734,""es"",""en"")"),"Front, the one that goes first ,,,")</f>
        <v>Front, the one that goes first ,,,</v>
      </c>
    </row>
    <row r="1735" spans="1:5" ht="13.2" x14ac:dyDescent="0.25">
      <c r="A1735" t="s">
        <v>2804</v>
      </c>
      <c r="B1735" t="s">
        <v>2209</v>
      </c>
      <c r="D1735" t="str">
        <f ca="1">IFERROR(__xludf.DUMMYFUNCTION("GOOGLETRANSLATE(B1735,""es"",""en"")"),"Smell")</f>
        <v>Smell</v>
      </c>
      <c r="E1735" t="str">
        <f ca="1">IFERROR(__xludf.DUMMYFUNCTION("GOOGLETRANSLATE(C1735,""es"",""en"")"),"#VALUE!")</f>
        <v>#VALUE!</v>
      </c>
    </row>
    <row r="1736" spans="1:5" ht="13.2" x14ac:dyDescent="0.25">
      <c r="A1736" t="s">
        <v>3519</v>
      </c>
      <c r="B1736" t="s">
        <v>2209</v>
      </c>
      <c r="D1736" t="str">
        <f ca="1">IFERROR(__xludf.DUMMYFUNCTION("GOOGLETRANSLATE(B1736,""es"",""en"")"),"Smell")</f>
        <v>Smell</v>
      </c>
      <c r="E1736" t="str">
        <f ca="1">IFERROR(__xludf.DUMMYFUNCTION("GOOGLETRANSLATE(C1736,""es"",""en"")"),"#VALUE!")</f>
        <v>#VALUE!</v>
      </c>
    </row>
    <row r="1737" spans="1:5" ht="13.2" x14ac:dyDescent="0.25">
      <c r="A1737" t="s">
        <v>3520</v>
      </c>
      <c r="B1737" t="s">
        <v>3521</v>
      </c>
      <c r="D1737" t="str">
        <f ca="1">IFERROR(__xludf.DUMMYFUNCTION("GOOGLETRANSLATE(B1737,""es"",""en"")"),"Key")</f>
        <v>Key</v>
      </c>
      <c r="E1737" t="str">
        <f ca="1">IFERROR(__xludf.DUMMYFUNCTION("GOOGLETRANSLATE(C1737,""es"",""en"")"),"#VALUE!")</f>
        <v>#VALUE!</v>
      </c>
    </row>
    <row r="1738" spans="1:5" ht="13.2" x14ac:dyDescent="0.25">
      <c r="A1738" t="s">
        <v>3522</v>
      </c>
      <c r="B1738" t="s">
        <v>3523</v>
      </c>
      <c r="D1738" t="str">
        <f ca="1">IFERROR(__xludf.DUMMYFUNCTION("GOOGLETRANSLATE(B1738,""es"",""en"")"),"Key ring")</f>
        <v>Key ring</v>
      </c>
      <c r="E1738" t="str">
        <f ca="1">IFERROR(__xludf.DUMMYFUNCTION("GOOGLETRANSLATE(C1738,""es"",""en"")"),"#VALUE!")</f>
        <v>#VALUE!</v>
      </c>
    </row>
    <row r="1739" spans="1:5" ht="13.2" x14ac:dyDescent="0.25">
      <c r="A1739" t="s">
        <v>3524</v>
      </c>
      <c r="B1739" t="s">
        <v>3525</v>
      </c>
      <c r="D1739" t="str">
        <f ca="1">IFERROR(__xludf.DUMMYFUNCTION("GOOGLETRANSLATE(B1739,""es"",""en"")"),"Pretty big")</f>
        <v>Pretty big</v>
      </c>
      <c r="E1739" t="str">
        <f ca="1">IFERROR(__xludf.DUMMYFUNCTION("GOOGLETRANSLATE(C1739,""es"",""en"")"),"#VALUE!")</f>
        <v>#VALUE!</v>
      </c>
    </row>
    <row r="1740" spans="1:5" ht="13.2" x14ac:dyDescent="0.25">
      <c r="A1740" t="s">
        <v>3146</v>
      </c>
      <c r="B1740" t="s">
        <v>3525</v>
      </c>
      <c r="D1740" t="str">
        <f ca="1">IFERROR(__xludf.DUMMYFUNCTION("GOOGLETRANSLATE(B1740,""es"",""en"")"),"Pretty big")</f>
        <v>Pretty big</v>
      </c>
      <c r="E1740" t="str">
        <f ca="1">IFERROR(__xludf.DUMMYFUNCTION("GOOGLETRANSLATE(C1740,""es"",""en"")"),"#VALUE!")</f>
        <v>#VALUE!</v>
      </c>
    </row>
    <row r="1741" spans="1:5" ht="13.2" x14ac:dyDescent="0.25">
      <c r="A1741" t="s">
        <v>3526</v>
      </c>
      <c r="B1741" t="s">
        <v>3527</v>
      </c>
      <c r="D1741" t="str">
        <f ca="1">IFERROR(__xludf.DUMMYFUNCTION("GOOGLETRANSLATE(B1741,""es"",""en"")"),"Drip")</f>
        <v>Drip</v>
      </c>
      <c r="E1741" t="str">
        <f ca="1">IFERROR(__xludf.DUMMYFUNCTION("GOOGLETRANSLATE(C1741,""es"",""en"")"),"#VALUE!")</f>
        <v>#VALUE!</v>
      </c>
    </row>
    <row r="1742" spans="1:5" ht="13.2" x14ac:dyDescent="0.25">
      <c r="A1742" t="s">
        <v>3528</v>
      </c>
      <c r="B1742" t="s">
        <v>3527</v>
      </c>
      <c r="D1742" t="str">
        <f ca="1">IFERROR(__xludf.DUMMYFUNCTION("GOOGLETRANSLATE(B1742,""es"",""en"")"),"Drip")</f>
        <v>Drip</v>
      </c>
      <c r="E1742" t="str">
        <f ca="1">IFERROR(__xludf.DUMMYFUNCTION("GOOGLETRANSLATE(C1742,""es"",""en"")"),"#VALUE!")</f>
        <v>#VALUE!</v>
      </c>
    </row>
    <row r="1743" spans="1:5" ht="13.2" x14ac:dyDescent="0.25">
      <c r="A1743" t="s">
        <v>3529</v>
      </c>
      <c r="B1743" t="s">
        <v>3530</v>
      </c>
      <c r="D1743" t="str">
        <f ca="1">IFERROR(__xludf.DUMMYFUNCTION("GOOGLETRANSLATE(B1743,""es"",""en"")"),"Head")</f>
        <v>Head</v>
      </c>
      <c r="E1743" t="str">
        <f ca="1">IFERROR(__xludf.DUMMYFUNCTION("GOOGLETRANSLATE(C1743,""es"",""en"")"),"#VALUE!")</f>
        <v>#VALUE!</v>
      </c>
    </row>
    <row r="1744" spans="1:5" ht="13.2" x14ac:dyDescent="0.25">
      <c r="A1744" t="s">
        <v>1419</v>
      </c>
      <c r="B1744" t="s">
        <v>1416</v>
      </c>
      <c r="C1744" t="s">
        <v>3531</v>
      </c>
      <c r="D1744" t="str">
        <f ca="1">IFERROR(__xludf.DUMMYFUNCTION("GOOGLETRANSLATE(B1744,""es"",""en"")"),"Lame")</f>
        <v>Lame</v>
      </c>
      <c r="E1744" t="str">
        <f ca="1">IFERROR(__xludf.DUMMYFUNCTION("GOOGLETRANSLATE(C1744,""es"",""en"")"),"BRINCOS ,,,,,")</f>
        <v>BRINCOS ,,,,,</v>
      </c>
    </row>
    <row r="1745" spans="1:5" ht="13.2" x14ac:dyDescent="0.25">
      <c r="A1745" t="s">
        <v>3532</v>
      </c>
      <c r="B1745" t="s">
        <v>3533</v>
      </c>
      <c r="D1745" t="str">
        <f ca="1">IFERROR(__xludf.DUMMYFUNCTION("GOOGLETRANSLATE(B1745,""es"",""en"")"),"Avocado")</f>
        <v>Avocado</v>
      </c>
      <c r="E1745" t="str">
        <f ca="1">IFERROR(__xludf.DUMMYFUNCTION("GOOGLETRANSLATE(C1745,""es"",""en"")"),"#VALUE!")</f>
        <v>#VALUE!</v>
      </c>
    </row>
    <row r="1746" spans="1:5" ht="13.2" x14ac:dyDescent="0.25">
      <c r="A1746" t="s">
        <v>1415</v>
      </c>
      <c r="B1746" t="s">
        <v>1416</v>
      </c>
      <c r="D1746" t="str">
        <f ca="1">IFERROR(__xludf.DUMMYFUNCTION("GOOGLETRANSLATE(B1746,""es"",""en"")"),"Lame")</f>
        <v>Lame</v>
      </c>
      <c r="E1746" t="str">
        <f ca="1">IFERROR(__xludf.DUMMYFUNCTION("GOOGLETRANSLATE(C1746,""es"",""en"")"),"#VALUE!")</f>
        <v>#VALUE!</v>
      </c>
    </row>
    <row r="1747" spans="1:5" ht="13.2" x14ac:dyDescent="0.25">
      <c r="A1747" t="s">
        <v>2599</v>
      </c>
      <c r="B1747" t="s">
        <v>2593</v>
      </c>
      <c r="C1747" t="s">
        <v>2594</v>
      </c>
      <c r="D1747" t="str">
        <f ca="1">IFERROR(__xludf.DUMMYFUNCTION("GOOGLETRANSLATE(B1747,""es"",""en"")"),"Smaller size")</f>
        <v>Smaller size</v>
      </c>
      <c r="E1747" t="str">
        <f ca="1">IFERROR(__xludf.DUMMYFUNCTION("GOOGLETRANSLATE(C1747,""es"",""en"")"),"Not so small ,,,,")</f>
        <v>Not so small ,,,,</v>
      </c>
    </row>
    <row r="1748" spans="1:5" ht="13.2" x14ac:dyDescent="0.25">
      <c r="A1748" t="s">
        <v>3534</v>
      </c>
      <c r="B1748" t="s">
        <v>3535</v>
      </c>
      <c r="D1748" t="str">
        <f ca="1">IFERROR(__xludf.DUMMYFUNCTION("GOOGLETRANSLATE(B1748,""es"",""en"")"),"Not so small")</f>
        <v>Not so small</v>
      </c>
      <c r="E1748" t="str">
        <f ca="1">IFERROR(__xludf.DUMMYFUNCTION("GOOGLETRANSLATE(C1748,""es"",""en"")"),"#VALUE!")</f>
        <v>#VALUE!</v>
      </c>
    </row>
    <row r="1749" spans="1:5" ht="13.2" x14ac:dyDescent="0.25">
      <c r="A1749" t="s">
        <v>2592</v>
      </c>
      <c r="B1749" t="s">
        <v>2593</v>
      </c>
      <c r="D1749" t="str">
        <f ca="1">IFERROR(__xludf.DUMMYFUNCTION("GOOGLETRANSLATE(B1749,""es"",""en"")"),"Smaller size")</f>
        <v>Smaller size</v>
      </c>
      <c r="E1749" t="str">
        <f ca="1">IFERROR(__xludf.DUMMYFUNCTION("GOOGLETRANSLATE(C1749,""es"",""en"")"),"#VALUE!")</f>
        <v>#VALUE!</v>
      </c>
    </row>
    <row r="1750" spans="1:5" ht="13.2" x14ac:dyDescent="0.25">
      <c r="A1750" t="s">
        <v>3536</v>
      </c>
      <c r="B1750" t="s">
        <v>3537</v>
      </c>
      <c r="C1750" t="s">
        <v>3538</v>
      </c>
      <c r="D1750" t="str">
        <f ca="1">IFERROR(__xludf.DUMMYFUNCTION("GOOGLETRANSLATE(B1750,""es"",""en"")"),"Large")</f>
        <v>Large</v>
      </c>
      <c r="E1750" t="str">
        <f ca="1">IFERROR(__xludf.DUMMYFUNCTION("GOOGLETRANSLATE(C1750,""es"",""en"")"),"Abundant, , , ,")</f>
        <v>Abundant, , , ,</v>
      </c>
    </row>
    <row r="1751" spans="1:5" ht="13.2" x14ac:dyDescent="0.25">
      <c r="A1751" t="s">
        <v>3539</v>
      </c>
      <c r="B1751" t="s">
        <v>3540</v>
      </c>
      <c r="D1751" t="str">
        <f ca="1">IFERROR(__xludf.DUMMYFUNCTION("GOOGLETRANSLATE(B1751,""es"",""en"")"),"Abundant")</f>
        <v>Abundant</v>
      </c>
      <c r="E1751" t="str">
        <f ca="1">IFERROR(__xludf.DUMMYFUNCTION("GOOGLETRANSLATE(C1751,""es"",""en"")"),"#VALUE!")</f>
        <v>#VALUE!</v>
      </c>
    </row>
    <row r="1752" spans="1:5" ht="13.2" x14ac:dyDescent="0.25">
      <c r="A1752" t="s">
        <v>1527</v>
      </c>
      <c r="B1752" t="s">
        <v>3537</v>
      </c>
      <c r="C1752" t="s">
        <v>3538</v>
      </c>
      <c r="D1752" t="str">
        <f ca="1">IFERROR(__xludf.DUMMYFUNCTION("GOOGLETRANSLATE(B1752,""es"",""en"")"),"Large")</f>
        <v>Large</v>
      </c>
      <c r="E1752" t="str">
        <f ca="1">IFERROR(__xludf.DUMMYFUNCTION("GOOGLETRANSLATE(C1752,""es"",""en"")"),"Abundant, , , ,")</f>
        <v>Abundant, , , ,</v>
      </c>
    </row>
    <row r="1753" spans="1:5" ht="13.2" x14ac:dyDescent="0.25">
      <c r="A1753" t="s">
        <v>3541</v>
      </c>
      <c r="B1753" t="s">
        <v>3542</v>
      </c>
      <c r="C1753" t="s">
        <v>3543</v>
      </c>
      <c r="D1753" t="str">
        <f ca="1">IFERROR(__xludf.DUMMYFUNCTION("GOOGLETRANSLATE(B1753,""es"",""en"")"),"Mountain")</f>
        <v>Mountain</v>
      </c>
      <c r="E1753" t="str">
        <f ca="1">IFERROR(__xludf.DUMMYFUNCTION("GOOGLETRANSLATE(C1753,""es"",""en"")"),"Territory, , , ,")</f>
        <v>Territory, , , ,</v>
      </c>
    </row>
    <row r="1754" spans="1:5" ht="13.2" x14ac:dyDescent="0.25">
      <c r="A1754" t="s">
        <v>3544</v>
      </c>
      <c r="B1754" t="s">
        <v>3545</v>
      </c>
      <c r="C1754" t="s">
        <v>3546</v>
      </c>
      <c r="D1754" t="s">
        <v>3547</v>
      </c>
      <c r="E1754" t="str">
        <f ca="1">IFERROR(__xludf.DUMMYFUNCTION("GOOGLETRANSLATE(C1754,""es"",""en"")"),"Yellow tail fish")</f>
        <v>Yellow tail fish</v>
      </c>
    </row>
    <row r="1755" spans="1:5" ht="13.2" x14ac:dyDescent="0.25">
      <c r="A1755" t="s">
        <v>3548</v>
      </c>
      <c r="B1755" t="s">
        <v>3549</v>
      </c>
      <c r="D1755" t="s">
        <v>3550</v>
      </c>
      <c r="E1755" t="str">
        <f ca="1">IFERROR(__xludf.DUMMYFUNCTION("GOOGLETRANSLATE(C1755,""es"",""en"")"),"#VALUE!")</f>
        <v>#VALUE!</v>
      </c>
    </row>
    <row r="1756" spans="1:5" ht="13.2" x14ac:dyDescent="0.25">
      <c r="A1756" t="s">
        <v>3119</v>
      </c>
      <c r="B1756" t="s">
        <v>3116</v>
      </c>
      <c r="C1756" t="s">
        <v>3551</v>
      </c>
      <c r="D1756" t="str">
        <f ca="1">IFERROR(__xludf.DUMMYFUNCTION("GOOGLETRANSLATE(B1756,""es"",""en"")"),"Burning")</f>
        <v>Burning</v>
      </c>
      <c r="E1756" t="str">
        <f ca="1">IFERROR(__xludf.DUMMYFUNCTION("GOOGLETRANSLATE(C1756,""es"",""en"")"),"Burning")</f>
        <v>Burning</v>
      </c>
    </row>
    <row r="1757" spans="1:5" ht="13.2" x14ac:dyDescent="0.25">
      <c r="A1757" t="s">
        <v>3552</v>
      </c>
      <c r="B1757" t="s">
        <v>3553</v>
      </c>
      <c r="C1757" t="s">
        <v>3554</v>
      </c>
      <c r="D1757" t="str">
        <f ca="1">IFERROR(__xludf.DUMMYFUNCTION("GOOGLETRANSLATE(B1757,""es"",""en"")"),"Deaf")</f>
        <v>Deaf</v>
      </c>
      <c r="E1757" t="str">
        <f ca="1">IFERROR(__xludf.DUMMYFUNCTION("GOOGLETRANSLATE(C1757,""es"",""en"")"),"Does not follow orders ,,,,,")</f>
        <v>Does not follow orders ,,,,,</v>
      </c>
    </row>
    <row r="1758" spans="1:5" ht="13.2" x14ac:dyDescent="0.25">
      <c r="A1758" t="s">
        <v>3555</v>
      </c>
      <c r="B1758" t="s">
        <v>3556</v>
      </c>
      <c r="C1758" t="s">
        <v>3557</v>
      </c>
      <c r="D1758" t="str">
        <f ca="1">IFERROR(__xludf.DUMMYFUNCTION("GOOGLETRANSLATE(B1758,""es"",""en"")"),"Appear")</f>
        <v>Appear</v>
      </c>
      <c r="E1758" t="str">
        <f ca="1">IFERROR(__xludf.DUMMYFUNCTION("GOOGLETRANSLATE(C1758,""es"",""en"")"),"Simulate, pretend ,,,,")</f>
        <v>Simulate, pretend ,,,,</v>
      </c>
    </row>
    <row r="1759" spans="1:5" ht="13.2" x14ac:dyDescent="0.25">
      <c r="A1759" t="s">
        <v>3558</v>
      </c>
      <c r="B1759" t="s">
        <v>3559</v>
      </c>
      <c r="D1759" t="str">
        <f ca="1">IFERROR(__xludf.DUMMYFUNCTION("GOOGLETRANSLATE(B1759,""es"",""en"")"),"Wild pig")</f>
        <v>Wild pig</v>
      </c>
      <c r="E1759" t="str">
        <f ca="1">IFERROR(__xludf.DUMMYFUNCTION("GOOGLETRANSLATE(C1759,""es"",""en"")"),"#VALUE!")</f>
        <v>#VALUE!</v>
      </c>
    </row>
    <row r="1760" spans="1:5" ht="13.2" x14ac:dyDescent="0.25">
      <c r="A1760" t="s">
        <v>3560</v>
      </c>
      <c r="B1760" t="s">
        <v>3561</v>
      </c>
      <c r="C1760" t="s">
        <v>3562</v>
      </c>
      <c r="D1760" t="str">
        <f ca="1">IFERROR(__xludf.DUMMYFUNCTION("GOOGLETRANSLATE(B1760,""es"",""en"")"),"Drill")</f>
        <v>Drill</v>
      </c>
      <c r="E1760" t="str">
        <f ca="1">IFERROR(__xludf.DUMMYFUNCTION("GOOGLETRANSLATE(C1760,""es"",""en"")"),"Drill, , , ,")</f>
        <v>Drill, , , ,</v>
      </c>
    </row>
    <row r="1761" spans="1:5" ht="13.2" x14ac:dyDescent="0.25">
      <c r="A1761" t="s">
        <v>3563</v>
      </c>
      <c r="B1761" t="s">
        <v>3564</v>
      </c>
      <c r="C1761" t="s">
        <v>3565</v>
      </c>
      <c r="D1761" t="str">
        <f ca="1">IFERROR(__xludf.DUMMYFUNCTION("GOOGLETRANSLATE(B1761,""es"",""en"")"),"Beside")</f>
        <v>Beside</v>
      </c>
      <c r="E1761" t="str">
        <f ca="1">IFERROR(__xludf.DUMMYFUNCTION("GOOGLETRANSLATE(C1761,""es"",""en"")"),"Immediately after, , , ,")</f>
        <v>Immediately after, , , ,</v>
      </c>
    </row>
    <row r="1762" spans="1:5" ht="13.2" x14ac:dyDescent="0.25">
      <c r="A1762" t="s">
        <v>3566</v>
      </c>
      <c r="B1762" t="s">
        <v>3564</v>
      </c>
      <c r="D1762" t="str">
        <f ca="1">IFERROR(__xludf.DUMMYFUNCTION("GOOGLETRANSLATE(B1762,""es"",""en"")"),"Beside")</f>
        <v>Beside</v>
      </c>
      <c r="E1762" t="str">
        <f ca="1">IFERROR(__xludf.DUMMYFUNCTION("GOOGLETRANSLATE(C1762,""es"",""en"")"),"#VALUE!")</f>
        <v>#VALUE!</v>
      </c>
    </row>
    <row r="1763" spans="1:5" ht="13.2" x14ac:dyDescent="0.25">
      <c r="A1763" t="s">
        <v>3567</v>
      </c>
      <c r="B1763" t="s">
        <v>3568</v>
      </c>
      <c r="D1763" t="str">
        <f ca="1">IFERROR(__xludf.DUMMYFUNCTION("GOOGLETRANSLATE(B1763,""es"",""en"")"),"Eel")</f>
        <v>Eel</v>
      </c>
      <c r="E1763" t="str">
        <f ca="1">IFERROR(__xludf.DUMMYFUNCTION("GOOGLETRANSLATE(C1763,""es"",""en"")"),"#VALUE!")</f>
        <v>#VALUE!</v>
      </c>
    </row>
    <row r="1764" spans="1:5" ht="13.2" x14ac:dyDescent="0.25">
      <c r="A1764" t="s">
        <v>3569</v>
      </c>
      <c r="B1764" t="s">
        <v>3570</v>
      </c>
      <c r="C1764" t="s">
        <v>3571</v>
      </c>
      <c r="D1764" t="str">
        <f ca="1">IFERROR(__xludf.DUMMYFUNCTION("GOOGLETRANSLATE(B1764,""es"",""en"")"),"Top")</f>
        <v>Top</v>
      </c>
      <c r="E1764" t="str">
        <f ca="1">IFERROR(__xludf.DUMMYFUNCTION("GOOGLETRANSLATE(C1764,""es"",""en"")"),"Summit, , , ,")</f>
        <v>Summit, , , ,</v>
      </c>
    </row>
    <row r="1765" spans="1:5" ht="13.2" x14ac:dyDescent="0.25">
      <c r="A1765" t="s">
        <v>3572</v>
      </c>
      <c r="B1765" t="s">
        <v>3570</v>
      </c>
      <c r="C1765" t="s">
        <v>3571</v>
      </c>
      <c r="D1765" t="str">
        <f ca="1">IFERROR(__xludf.DUMMYFUNCTION("GOOGLETRANSLATE(B1765,""es"",""en"")"),"Top")</f>
        <v>Top</v>
      </c>
      <c r="E1765" t="str">
        <f ca="1">IFERROR(__xludf.DUMMYFUNCTION("GOOGLETRANSLATE(C1765,""es"",""en"")"),"Summit, , , ,")</f>
        <v>Summit, , , ,</v>
      </c>
    </row>
    <row r="1766" spans="1:5" ht="13.2" x14ac:dyDescent="0.25">
      <c r="A1766" t="s">
        <v>3573</v>
      </c>
      <c r="B1766" t="s">
        <v>3570</v>
      </c>
      <c r="C1766" t="s">
        <v>3571</v>
      </c>
      <c r="D1766" t="str">
        <f ca="1">IFERROR(__xludf.DUMMYFUNCTION("GOOGLETRANSLATE(B1766,""es"",""en"")"),"Top")</f>
        <v>Top</v>
      </c>
      <c r="E1766" t="str">
        <f ca="1">IFERROR(__xludf.DUMMYFUNCTION("GOOGLETRANSLATE(C1766,""es"",""en"")"),"Summit, , , ,")</f>
        <v>Summit, , , ,</v>
      </c>
    </row>
    <row r="1767" spans="1:5" ht="13.2" x14ac:dyDescent="0.25">
      <c r="A1767" t="s">
        <v>3574</v>
      </c>
      <c r="B1767" t="s">
        <v>3575</v>
      </c>
      <c r="D1767" t="str">
        <f ca="1">IFERROR(__xludf.DUMMYFUNCTION("GOOGLETRANSLATE(B1767,""es"",""en"")"),"Tangle")</f>
        <v>Tangle</v>
      </c>
      <c r="E1767" t="str">
        <f ca="1">IFERROR(__xludf.DUMMYFUNCTION("GOOGLETRANSLATE(C1767,""es"",""en"")"),"#VALUE!")</f>
        <v>#VALUE!</v>
      </c>
    </row>
    <row r="1768" spans="1:5" ht="13.2" x14ac:dyDescent="0.25">
      <c r="A1768" t="s">
        <v>1022</v>
      </c>
      <c r="B1768" t="s">
        <v>997</v>
      </c>
      <c r="C1768" t="s">
        <v>998</v>
      </c>
      <c r="D1768" t="str">
        <f ca="1">IFERROR(__xludf.DUMMYFUNCTION("GOOGLETRANSLATE(B1768,""es"",""en"")"),"Friend")</f>
        <v>Friend</v>
      </c>
      <c r="E1768" t="str">
        <f ca="1">IFERROR(__xludf.DUMMYFUNCTION("GOOGLETRANSLATE(C1768,""es"",""en"")"),"Partner, known, ally,")</f>
        <v>Partner, known, ally,</v>
      </c>
    </row>
    <row r="1769" spans="1:5" ht="13.2" x14ac:dyDescent="0.25">
      <c r="A1769" t="s">
        <v>3576</v>
      </c>
      <c r="B1769" t="s">
        <v>3570</v>
      </c>
      <c r="C1769" t="s">
        <v>3571</v>
      </c>
      <c r="D1769" t="str">
        <f ca="1">IFERROR(__xludf.DUMMYFUNCTION("GOOGLETRANSLATE(B1769,""es"",""en"")"),"Top")</f>
        <v>Top</v>
      </c>
      <c r="E1769" t="str">
        <f ca="1">IFERROR(__xludf.DUMMYFUNCTION("GOOGLETRANSLATE(C1769,""es"",""en"")"),"Summit, , , ,")</f>
        <v>Summit, , , ,</v>
      </c>
    </row>
    <row r="1770" spans="1:5" ht="13.2" x14ac:dyDescent="0.25">
      <c r="A1770" t="s">
        <v>3577</v>
      </c>
      <c r="B1770" t="s">
        <v>3578</v>
      </c>
      <c r="D1770" t="str">
        <f ca="1">IFERROR(__xludf.DUMMYFUNCTION("GOOGLETRANSLATE(B1770,""es"",""en"")"),"South wind")</f>
        <v>South wind</v>
      </c>
      <c r="E1770" t="str">
        <f ca="1">IFERROR(__xludf.DUMMYFUNCTION("GOOGLETRANSLATE(C1770,""es"",""en"")"),"#VALUE!")</f>
        <v>#VALUE!</v>
      </c>
    </row>
    <row r="1771" spans="1:5" ht="13.2" x14ac:dyDescent="0.25">
      <c r="A1771" t="s">
        <v>3579</v>
      </c>
      <c r="B1771" t="s">
        <v>3578</v>
      </c>
      <c r="D1771" t="str">
        <f ca="1">IFERROR(__xludf.DUMMYFUNCTION("GOOGLETRANSLATE(B1771,""es"",""en"")"),"South wind")</f>
        <v>South wind</v>
      </c>
      <c r="E1771" t="str">
        <f ca="1">IFERROR(__xludf.DUMMYFUNCTION("GOOGLETRANSLATE(C1771,""es"",""en"")"),"#VALUE!")</f>
        <v>#VALUE!</v>
      </c>
    </row>
    <row r="1772" spans="1:5" ht="13.2" x14ac:dyDescent="0.25">
      <c r="A1772" t="s">
        <v>3580</v>
      </c>
      <c r="B1772" t="s">
        <v>3581</v>
      </c>
      <c r="C1772" t="s">
        <v>3582</v>
      </c>
      <c r="D1772" t="str">
        <f ca="1">IFERROR(__xludf.DUMMYFUNCTION("GOOGLETRANSLATE(B1772,""es"",""en"")"),"Compete")</f>
        <v>Compete</v>
      </c>
      <c r="E1772" t="str">
        <f ca="1">IFERROR(__xludf.DUMMYFUNCTION("GOOGLETRANSLATE(C1772,""es"",""en"")"),"Dispute, , , ,")</f>
        <v>Dispute, , , ,</v>
      </c>
    </row>
    <row r="1773" spans="1:5" ht="13.2" x14ac:dyDescent="0.25">
      <c r="A1773" t="s">
        <v>3583</v>
      </c>
      <c r="B1773" t="s">
        <v>3584</v>
      </c>
      <c r="C1773" t="s">
        <v>3585</v>
      </c>
      <c r="D1773" t="str">
        <f ca="1">IFERROR(__xludf.DUMMYFUNCTION("GOOGLETRANSLATE(B1773,""es"",""en"")"),"Back")</f>
        <v>Back</v>
      </c>
      <c r="E1773" t="str">
        <f ca="1">IFERROR(__xludf.DUMMYFUNCTION("GOOGLETRANSLATE(C1773,""es"",""en"")"),"Back ,,,,")</f>
        <v>Back ,,,,</v>
      </c>
    </row>
    <row r="1774" spans="1:5" ht="13.2" x14ac:dyDescent="0.25">
      <c r="A1774" t="s">
        <v>1333</v>
      </c>
      <c r="B1774" t="s">
        <v>1331</v>
      </c>
      <c r="D1774" t="str">
        <f ca="1">IFERROR(__xludf.DUMMYFUNCTION("GOOGLETRANSLATE(B1774,""es"",""en"")"),"Mount turtle")</f>
        <v>Mount turtle</v>
      </c>
      <c r="E1774" t="str">
        <f ca="1">IFERROR(__xludf.DUMMYFUNCTION("GOOGLETRANSLATE(C1774,""es"",""en"")"),"#VALUE!")</f>
        <v>#VALUE!</v>
      </c>
    </row>
    <row r="1775" spans="1:5" ht="13.2" x14ac:dyDescent="0.25">
      <c r="A1775" t="s">
        <v>1330</v>
      </c>
      <c r="B1775" t="s">
        <v>1331</v>
      </c>
      <c r="D1775" t="str">
        <f ca="1">IFERROR(__xludf.DUMMYFUNCTION("GOOGLETRANSLATE(B1775,""es"",""en"")"),"Mount turtle")</f>
        <v>Mount turtle</v>
      </c>
      <c r="E1775" t="str">
        <f ca="1">IFERROR(__xludf.DUMMYFUNCTION("GOOGLETRANSLATE(C1775,""es"",""en"")"),"#VALUE!")</f>
        <v>#VALUE!</v>
      </c>
    </row>
    <row r="1776" spans="1:5" ht="13.2" x14ac:dyDescent="0.25">
      <c r="A1776" t="s">
        <v>3586</v>
      </c>
      <c r="B1776" t="s">
        <v>3587</v>
      </c>
      <c r="C1776" t="s">
        <v>3588</v>
      </c>
      <c r="D1776" t="str">
        <f ca="1">IFERROR(__xludf.DUMMYFUNCTION("GOOGLETRANSLATE(B1776,""es"",""en"")"),"Hill")</f>
        <v>Hill</v>
      </c>
      <c r="E1776" t="str">
        <f ca="1">IFERROR(__xludf.DUMMYFUNCTION("GOOGLETRANSLATE(C1776,""es"",""en"")"),"Little height mountain ,,,,")</f>
        <v>Little height mountain ,,,,</v>
      </c>
    </row>
    <row r="1777" spans="1:5" ht="13.2" x14ac:dyDescent="0.25">
      <c r="A1777" t="s">
        <v>3589</v>
      </c>
      <c r="B1777" t="s">
        <v>3587</v>
      </c>
      <c r="D1777" t="str">
        <f ca="1">IFERROR(__xludf.DUMMYFUNCTION("GOOGLETRANSLATE(B1777,""es"",""en"")"),"Hill")</f>
        <v>Hill</v>
      </c>
      <c r="E1777" t="str">
        <f ca="1">IFERROR(__xludf.DUMMYFUNCTION("GOOGLETRANSLATE(C1777,""es"",""en"")"),"#VALUE!")</f>
        <v>#VALUE!</v>
      </c>
    </row>
    <row r="1778" spans="1:5" ht="13.2" x14ac:dyDescent="0.25">
      <c r="A1778" t="s">
        <v>3590</v>
      </c>
      <c r="B1778" t="s">
        <v>3591</v>
      </c>
      <c r="C1778" t="s">
        <v>3592</v>
      </c>
      <c r="D1778" t="str">
        <f ca="1">IFERROR(__xludf.DUMMYFUNCTION("GOOGLETRANSLATE(B1778,""es"",""en"")"),"Tortoise")</f>
        <v>Tortoise</v>
      </c>
      <c r="E1778" t="str">
        <f ca="1">IFERROR(__xludf.DUMMYFUNCTION("GOOGLETRANSLATE(C1778,""es"",""en"")"),"Carey ,,,,")</f>
        <v>Carey ,,,,</v>
      </c>
    </row>
    <row r="1779" spans="1:5" ht="13.2" x14ac:dyDescent="0.25">
      <c r="A1779" t="s">
        <v>996</v>
      </c>
      <c r="B1779" t="s">
        <v>997</v>
      </c>
      <c r="C1779" t="s">
        <v>998</v>
      </c>
      <c r="D1779" t="str">
        <f ca="1">IFERROR(__xludf.DUMMYFUNCTION("GOOGLETRANSLATE(B1779,""es"",""en"")"),"Friend")</f>
        <v>Friend</v>
      </c>
      <c r="E1779" t="str">
        <f ca="1">IFERROR(__xludf.DUMMYFUNCTION("GOOGLETRANSLATE(C1779,""es"",""en"")"),"Partner, known, ally,")</f>
        <v>Partner, known, ally,</v>
      </c>
    </row>
    <row r="1780" spans="1:5" ht="13.2" x14ac:dyDescent="0.25">
      <c r="A1780" t="s">
        <v>3593</v>
      </c>
      <c r="B1780" t="s">
        <v>3594</v>
      </c>
      <c r="D1780" t="str">
        <f ca="1">IFERROR(__xludf.DUMMYFUNCTION("GOOGLETRANSLATE(B1780,""es"",""en"")"),"May")</f>
        <v>May</v>
      </c>
      <c r="E1780" t="str">
        <f ca="1">IFERROR(__xludf.DUMMYFUNCTION("GOOGLETRANSLATE(C1780,""es"",""en"")"),"#VALUE!")</f>
        <v>#VALUE!</v>
      </c>
    </row>
    <row r="1781" spans="1:5" ht="13.2" x14ac:dyDescent="0.25">
      <c r="A1781" t="s">
        <v>3595</v>
      </c>
      <c r="B1781" t="s">
        <v>3596</v>
      </c>
      <c r="C1781" t="s">
        <v>3597</v>
      </c>
      <c r="D1781" t="str">
        <f ca="1">IFERROR(__xludf.DUMMYFUNCTION("GOOGLETRANSLATE(B1781,""es"",""en"")"),"Well")</f>
        <v>Well</v>
      </c>
      <c r="E1781" t="str">
        <f ca="1">IFERROR(__xludf.DUMMYFUNCTION("GOOGLETRANSLATE(C1781,""es"",""en"")"),"Pretty, , , ,")</f>
        <v>Pretty, , , ,</v>
      </c>
    </row>
    <row r="1782" spans="1:5" ht="13.2" x14ac:dyDescent="0.25">
      <c r="A1782" t="s">
        <v>1869</v>
      </c>
      <c r="B1782" t="s">
        <v>3596</v>
      </c>
      <c r="C1782" t="s">
        <v>3597</v>
      </c>
      <c r="D1782" t="str">
        <f ca="1">IFERROR(__xludf.DUMMYFUNCTION("GOOGLETRANSLATE(B1782,""es"",""en"")"),"Well")</f>
        <v>Well</v>
      </c>
      <c r="E1782" t="str">
        <f ca="1">IFERROR(__xludf.DUMMYFUNCTION("GOOGLETRANSLATE(C1782,""es"",""en"")"),"Pretty, , , ,")</f>
        <v>Pretty, , , ,</v>
      </c>
    </row>
    <row r="1783" spans="1:5" ht="13.2" x14ac:dyDescent="0.25">
      <c r="A1783" t="s">
        <v>58</v>
      </c>
      <c r="B1783" t="s">
        <v>56</v>
      </c>
      <c r="C1783" t="s">
        <v>3598</v>
      </c>
      <c r="D1783" t="str">
        <f ca="1">IFERROR(__xludf.DUMMYFUNCTION("GOOGLETRANSLATE(B1783,""es"",""en"")"),"Get tired")</f>
        <v>Get tired</v>
      </c>
      <c r="E1783" t="str">
        <f ca="1">IFERROR(__xludf.DUMMYFUNCTION("GOOGLETRANSLATE(C1783,""es"",""en"")"),"Fatigue ,,,,,")</f>
        <v>Fatigue ,,,,,</v>
      </c>
    </row>
    <row r="1784" spans="1:5" ht="13.2" x14ac:dyDescent="0.25">
      <c r="A1784" t="s">
        <v>55</v>
      </c>
      <c r="B1784" t="s">
        <v>56</v>
      </c>
      <c r="D1784" t="str">
        <f ca="1">IFERROR(__xludf.DUMMYFUNCTION("GOOGLETRANSLATE(B1784,""es"",""en"")"),"Get tired")</f>
        <v>Get tired</v>
      </c>
      <c r="E1784" t="str">
        <f ca="1">IFERROR(__xludf.DUMMYFUNCTION("GOOGLETRANSLATE(C1784,""es"",""en"")"),"#VALUE!")</f>
        <v>#VALUE!</v>
      </c>
    </row>
    <row r="1785" spans="1:5" ht="13.2" x14ac:dyDescent="0.25">
      <c r="A1785" t="s">
        <v>3599</v>
      </c>
      <c r="B1785" t="s">
        <v>3600</v>
      </c>
      <c r="D1785" t="str">
        <f ca="1">IFERROR(__xludf.DUMMYFUNCTION("GOOGLETRANSLATE(B1785,""es"",""en"")"),"Equitable")</f>
        <v>Equitable</v>
      </c>
      <c r="E1785" t="str">
        <f ca="1">IFERROR(__xludf.DUMMYFUNCTION("GOOGLETRANSLATE(C1785,""es"",""en"")"),"#VALUE!")</f>
        <v>#VALUE!</v>
      </c>
    </row>
    <row r="1786" spans="1:5" ht="13.2" x14ac:dyDescent="0.25">
      <c r="A1786" t="s">
        <v>3601</v>
      </c>
      <c r="B1786" t="s">
        <v>3602</v>
      </c>
      <c r="D1786" t="str">
        <f ca="1">IFERROR(__xludf.DUMMYFUNCTION("GOOGLETRANSLATE(B1786,""es"",""en"")"),"Ganglia inflammation")</f>
        <v>Ganglia inflammation</v>
      </c>
      <c r="E1786" t="str">
        <f ca="1">IFERROR(__xludf.DUMMYFUNCTION("GOOGLETRANSLATE(C1786,""es"",""en"")"),"#VALUE!")</f>
        <v>#VALUE!</v>
      </c>
    </row>
    <row r="1787" spans="1:5" ht="13.2" x14ac:dyDescent="0.25">
      <c r="A1787" t="s">
        <v>1427</v>
      </c>
      <c r="B1787" t="s">
        <v>1425</v>
      </c>
      <c r="C1787" t="s">
        <v>1426</v>
      </c>
      <c r="D1787" t="str">
        <f ca="1">IFERROR(__xludf.DUMMYFUNCTION("GOOGLETRANSLATE(B1787,""es"",""en"")"),"Equal")</f>
        <v>Equal</v>
      </c>
      <c r="E1787" t="str">
        <f ca="1">IFERROR(__xludf.DUMMYFUNCTION("GOOGLETRANSLATE(C1787,""es"",""en"")"),"As, , , ,")</f>
        <v>As, , , ,</v>
      </c>
    </row>
    <row r="1788" spans="1:5" ht="13.2" x14ac:dyDescent="0.25">
      <c r="A1788" t="s">
        <v>1428</v>
      </c>
      <c r="B1788" t="s">
        <v>1425</v>
      </c>
      <c r="D1788" t="str">
        <f ca="1">IFERROR(__xludf.DUMMYFUNCTION("GOOGLETRANSLATE(B1788,""es"",""en"")"),"Equal")</f>
        <v>Equal</v>
      </c>
      <c r="E1788" t="str">
        <f ca="1">IFERROR(__xludf.DUMMYFUNCTION("GOOGLETRANSLATE(C1788,""es"",""en"")"),"#VALUE!")</f>
        <v>#VALUE!</v>
      </c>
    </row>
    <row r="1789" spans="1:5" ht="13.2" x14ac:dyDescent="0.25">
      <c r="A1789" t="s">
        <v>3603</v>
      </c>
      <c r="B1789" t="s">
        <v>1425</v>
      </c>
      <c r="D1789" t="str">
        <f ca="1">IFERROR(__xludf.DUMMYFUNCTION("GOOGLETRANSLATE(B1789,""es"",""en"")"),"Equal")</f>
        <v>Equal</v>
      </c>
      <c r="E1789" t="str">
        <f ca="1">IFERROR(__xludf.DUMMYFUNCTION("GOOGLETRANSLATE(C1789,""es"",""en"")"),"#VALUE!")</f>
        <v>#VALUE!</v>
      </c>
    </row>
    <row r="1790" spans="1:5" ht="13.2" x14ac:dyDescent="0.25">
      <c r="A1790" t="s">
        <v>1074</v>
      </c>
      <c r="B1790" t="s">
        <v>1046</v>
      </c>
      <c r="C1790" t="s">
        <v>1047</v>
      </c>
      <c r="D1790" t="str">
        <f ca="1">IFERROR(__xludf.DUMMYFUNCTION("GOOGLETRANSLATE(B1790,""es"",""en"")"),"Friendship")</f>
        <v>Friendship</v>
      </c>
      <c r="E1790" t="str">
        <f ca="1">IFERROR(__xludf.DUMMYFUNCTION("GOOGLETRANSLATE(C1790,""es"",""en"")"),"Friendly, , , ,")</f>
        <v>Friendly, , , ,</v>
      </c>
    </row>
    <row r="1791" spans="1:5" ht="13.2" x14ac:dyDescent="0.25">
      <c r="A1791" t="s">
        <v>3604</v>
      </c>
      <c r="B1791" t="s">
        <v>3605</v>
      </c>
      <c r="D1791" t="str">
        <f ca="1">IFERROR(__xludf.DUMMYFUNCTION("GOOGLETRANSLATE(B1791,""es"",""en"")"),"Of the same amount")</f>
        <v>Of the same amount</v>
      </c>
      <c r="E1791" t="str">
        <f ca="1">IFERROR(__xludf.DUMMYFUNCTION("GOOGLETRANSLATE(C1791,""es"",""en"")"),"#VALUE!")</f>
        <v>#VALUE!</v>
      </c>
    </row>
    <row r="1792" spans="1:5" ht="13.2" x14ac:dyDescent="0.25">
      <c r="A1792" t="s">
        <v>3606</v>
      </c>
      <c r="B1792" t="s">
        <v>2076</v>
      </c>
      <c r="C1792" t="s">
        <v>3607</v>
      </c>
      <c r="D1792" t="str">
        <f ca="1">IFERROR(__xludf.DUMMYFUNCTION("GOOGLETRANSLATE(B1792,""es"",""en"")"),"To put")</f>
        <v>To put</v>
      </c>
      <c r="E1792" t="str">
        <f ca="1">IFERROR(__xludf.DUMMYFUNCTION("GOOGLETRANSLATE(C1792,""es"",""en"")"),"Connect, put, roasted ,,")</f>
        <v>Connect, put, roasted ,,</v>
      </c>
    </row>
    <row r="1793" spans="1:5" ht="13.2" x14ac:dyDescent="0.25">
      <c r="A1793" t="s">
        <v>3608</v>
      </c>
      <c r="B1793" t="s">
        <v>3609</v>
      </c>
      <c r="D1793" t="str">
        <f ca="1">IFERROR(__xludf.DUMMYFUNCTION("GOOGLETRANSLATE(B1793,""es"",""en"")"),"Knee")</f>
        <v>Knee</v>
      </c>
      <c r="E1793" t="str">
        <f ca="1">IFERROR(__xludf.DUMMYFUNCTION("GOOGLETRANSLATE(C1793,""es"",""en"")"),"#VALUE!")</f>
        <v>#VALUE!</v>
      </c>
    </row>
    <row r="1794" spans="1:5" ht="13.2" x14ac:dyDescent="0.25">
      <c r="A1794" t="s">
        <v>3610</v>
      </c>
      <c r="B1794" t="s">
        <v>3611</v>
      </c>
      <c r="D1794" t="str">
        <f ca="1">IFERROR(__xludf.DUMMYFUNCTION("GOOGLETRANSLATE(B1794,""es"",""en"")"),"either way")</f>
        <v>either way</v>
      </c>
      <c r="E1794" t="str">
        <f ca="1">IFERROR(__xludf.DUMMYFUNCTION("GOOGLETRANSLATE(C1794,""es"",""en"")"),"#VALUE!")</f>
        <v>#VALUE!</v>
      </c>
    </row>
    <row r="1795" spans="1:5" ht="13.2" x14ac:dyDescent="0.25">
      <c r="A1795" t="s">
        <v>3612</v>
      </c>
      <c r="B1795" t="s">
        <v>3611</v>
      </c>
      <c r="D1795" t="str">
        <f ca="1">IFERROR(__xludf.DUMMYFUNCTION("GOOGLETRANSLATE(B1795,""es"",""en"")"),"either way")</f>
        <v>either way</v>
      </c>
      <c r="E1795" t="str">
        <f ca="1">IFERROR(__xludf.DUMMYFUNCTION("GOOGLETRANSLATE(C1795,""es"",""en"")"),"#VALUE!")</f>
        <v>#VALUE!</v>
      </c>
    </row>
    <row r="1796" spans="1:5" ht="13.2" x14ac:dyDescent="0.25">
      <c r="A1796" t="s">
        <v>3613</v>
      </c>
      <c r="B1796" t="s">
        <v>3614</v>
      </c>
      <c r="C1796" t="s">
        <v>3615</v>
      </c>
      <c r="D1796" t="str">
        <f ca="1">IFERROR(__xludf.DUMMYFUNCTION("GOOGLETRANSLATE(B1796,""es"",""en"")"),"Summer")</f>
        <v>Summer</v>
      </c>
      <c r="E1796" t="str">
        <f ca="1">IFERROR(__xludf.DUMMYFUNCTION("GOOGLETRANSLATE(C1796,""es"",""en"")"),"Without rain, , , ,")</f>
        <v>Without rain, , , ,</v>
      </c>
    </row>
    <row r="1797" spans="1:5" ht="13.2" x14ac:dyDescent="0.25">
      <c r="A1797" t="s">
        <v>3616</v>
      </c>
      <c r="B1797" t="s">
        <v>3617</v>
      </c>
      <c r="C1797" t="s">
        <v>3615</v>
      </c>
      <c r="D1797" t="str">
        <f ca="1">IFERROR(__xludf.DUMMYFUNCTION("GOOGLETRANSLATE(B1797,""es"",""en"")"),"Clear Day")</f>
        <v>Clear Day</v>
      </c>
      <c r="E1797" t="str">
        <f ca="1">IFERROR(__xludf.DUMMYFUNCTION("GOOGLETRANSLATE(C1797,""es"",""en"")"),"Without rain, , , ,")</f>
        <v>Without rain, , , ,</v>
      </c>
    </row>
    <row r="1798" spans="1:5" ht="13.2" x14ac:dyDescent="0.25">
      <c r="A1798" t="s">
        <v>3618</v>
      </c>
      <c r="B1798" t="s">
        <v>3619</v>
      </c>
      <c r="D1798" t="str">
        <f ca="1">IFERROR(__xludf.DUMMYFUNCTION("GOOGLETRANSLATE(B1798,""es"",""en"")"),"Summer")</f>
        <v>Summer</v>
      </c>
      <c r="E1798" t="str">
        <f ca="1">IFERROR(__xludf.DUMMYFUNCTION("GOOGLETRANSLATE(C1798,""es"",""en"")"),"#VALUE!")</f>
        <v>#VALUE!</v>
      </c>
    </row>
    <row r="1799" spans="1:5" ht="13.2" x14ac:dyDescent="0.25">
      <c r="A1799" t="s">
        <v>3620</v>
      </c>
      <c r="B1799" t="s">
        <v>3621</v>
      </c>
      <c r="C1799" t="s">
        <v>3622</v>
      </c>
      <c r="D1799" t="str">
        <f ca="1">IFERROR(__xludf.DUMMYFUNCTION("GOOGLETRANSLATE(B1799,""es"",""en"")"),"Tripping")</f>
        <v>Tripping</v>
      </c>
      <c r="E1799" t="str">
        <f ca="1">IFERROR(__xludf.DUMMYFUNCTION("GOOGLETRANSLATE(C1799,""es"",""en"")"),"Rail ,,,,")</f>
        <v>Rail ,,,,</v>
      </c>
    </row>
    <row r="1800" spans="1:5" ht="13.2" x14ac:dyDescent="0.25">
      <c r="A1800" t="s">
        <v>3623</v>
      </c>
      <c r="B1800" t="s">
        <v>3624</v>
      </c>
      <c r="C1800" t="s">
        <v>3625</v>
      </c>
      <c r="D1800" t="str">
        <f ca="1">IFERROR(__xludf.DUMMYFUNCTION("GOOGLETRANSLATE(B1800,""es"",""en"")"),"Lopsided")</f>
        <v>Lopsided</v>
      </c>
      <c r="E1800" t="str">
        <f ca="1">IFERROR(__xludf.DUMMYFUNCTION("GOOGLETRANSLATE(C1800,""es"",""en"")"),"Inclined ,,,,")</f>
        <v>Inclined ,,,,</v>
      </c>
    </row>
    <row r="1801" spans="1:5" ht="13.2" x14ac:dyDescent="0.25">
      <c r="A1801" t="s">
        <v>3626</v>
      </c>
      <c r="B1801" t="s">
        <v>1046</v>
      </c>
      <c r="C1801" t="s">
        <v>1047</v>
      </c>
      <c r="D1801" t="str">
        <f ca="1">IFERROR(__xludf.DUMMYFUNCTION("GOOGLETRANSLATE(B1801,""es"",""en"")"),"Friendship")</f>
        <v>Friendship</v>
      </c>
      <c r="E1801" t="str">
        <f ca="1">IFERROR(__xludf.DUMMYFUNCTION("GOOGLETRANSLATE(C1801,""es"",""en"")"),"Friendly, , , ,")</f>
        <v>Friendly, , , ,</v>
      </c>
    </row>
    <row r="1802" spans="1:5" ht="13.2" x14ac:dyDescent="0.25">
      <c r="A1802" t="s">
        <v>3627</v>
      </c>
      <c r="B1802" t="s">
        <v>3624</v>
      </c>
      <c r="C1802" t="s">
        <v>3625</v>
      </c>
      <c r="D1802" t="str">
        <f ca="1">IFERROR(__xludf.DUMMYFUNCTION("GOOGLETRANSLATE(B1802,""es"",""en"")"),"Lopsided")</f>
        <v>Lopsided</v>
      </c>
      <c r="E1802" t="str">
        <f ca="1">IFERROR(__xludf.DUMMYFUNCTION("GOOGLETRANSLATE(C1802,""es"",""en"")"),"Inclined ,,,,")</f>
        <v>Inclined ,,,,</v>
      </c>
    </row>
    <row r="1803" spans="1:5" ht="13.2" x14ac:dyDescent="0.25">
      <c r="A1803" t="s">
        <v>3628</v>
      </c>
      <c r="B1803" t="s">
        <v>3629</v>
      </c>
      <c r="D1803" t="str">
        <f ca="1">IFERROR(__xludf.DUMMYFUNCTION("GOOGLETRANSLATE(B1803,""es"",""en"")"),"Tilt")</f>
        <v>Tilt</v>
      </c>
      <c r="E1803" t="str">
        <f ca="1">IFERROR(__xludf.DUMMYFUNCTION("GOOGLETRANSLATE(C1803,""es"",""en"")"),"#VALUE!")</f>
        <v>#VALUE!</v>
      </c>
    </row>
    <row r="1804" spans="1:5" ht="13.2" x14ac:dyDescent="0.25">
      <c r="A1804" t="s">
        <v>3630</v>
      </c>
      <c r="B1804" t="s">
        <v>3631</v>
      </c>
      <c r="D1804" t="s">
        <v>3632</v>
      </c>
      <c r="E1804" t="str">
        <f ca="1">IFERROR(__xludf.DUMMYFUNCTION("GOOGLETRANSLATE(C1804,""es"",""en"")"),"#VALUE!")</f>
        <v>#VALUE!</v>
      </c>
    </row>
    <row r="1805" spans="1:5" ht="13.2" x14ac:dyDescent="0.25">
      <c r="A1805" t="s">
        <v>3633</v>
      </c>
      <c r="B1805" t="s">
        <v>3631</v>
      </c>
      <c r="D1805" t="s">
        <v>3632</v>
      </c>
      <c r="E1805" t="str">
        <f ca="1">IFERROR(__xludf.DUMMYFUNCTION("GOOGLETRANSLATE(C1805,""es"",""en"")"),"#VALUE!")</f>
        <v>#VALUE!</v>
      </c>
    </row>
    <row r="1806" spans="1:5" ht="13.2" x14ac:dyDescent="0.25">
      <c r="A1806" t="s">
        <v>2064</v>
      </c>
      <c r="B1806" t="s">
        <v>2044</v>
      </c>
      <c r="D1806" t="str">
        <f ca="1">IFERROR(__xludf.DUMMYFUNCTION("GOOGLETRANSLATE(B1806,""es"",""en"")"),"Not yet")</f>
        <v>Not yet</v>
      </c>
      <c r="E1806" t="str">
        <f ca="1">IFERROR(__xludf.DUMMYFUNCTION("GOOGLETRANSLATE(C1806,""es"",""en"")"),"#VALUE!")</f>
        <v>#VALUE!</v>
      </c>
    </row>
    <row r="1807" spans="1:5" ht="13.2" x14ac:dyDescent="0.25">
      <c r="A1807" t="s">
        <v>2085</v>
      </c>
      <c r="B1807" t="s">
        <v>3634</v>
      </c>
      <c r="C1807" t="s">
        <v>3635</v>
      </c>
      <c r="D1807" t="str">
        <f ca="1">IFERROR(__xludf.DUMMYFUNCTION("GOOGLETRANSLATE(B1807,""es"",""en"")"),"Still")</f>
        <v>Still</v>
      </c>
      <c r="E1807" t="str">
        <f ca="1">IFERROR(__xludf.DUMMYFUNCTION("GOOGLETRANSLATE(C1807,""es"",""en"")"),"Not yet, , , ,")</f>
        <v>Not yet, , , ,</v>
      </c>
    </row>
    <row r="1808" spans="1:5" ht="13.2" x14ac:dyDescent="0.25">
      <c r="A1808" t="s">
        <v>3636</v>
      </c>
      <c r="B1808" t="s">
        <v>2044</v>
      </c>
      <c r="D1808" t="str">
        <f ca="1">IFERROR(__xludf.DUMMYFUNCTION("GOOGLETRANSLATE(B1808,""es"",""en"")"),"Not yet")</f>
        <v>Not yet</v>
      </c>
      <c r="E1808" t="str">
        <f ca="1">IFERROR(__xludf.DUMMYFUNCTION("GOOGLETRANSLATE(C1808,""es"",""en"")"),"#VALUE!")</f>
        <v>#VALUE!</v>
      </c>
    </row>
    <row r="1809" spans="1:5" ht="13.2" x14ac:dyDescent="0.25">
      <c r="A1809" t="s">
        <v>3637</v>
      </c>
      <c r="B1809" t="s">
        <v>3638</v>
      </c>
      <c r="C1809" t="s">
        <v>3639</v>
      </c>
      <c r="D1809" t="str">
        <f ca="1">IFERROR(__xludf.DUMMYFUNCTION("GOOGLETRANSLATE(B1809,""es"",""en"")"),"Improper")</f>
        <v>Improper</v>
      </c>
      <c r="E1809" t="str">
        <f ca="1">IFERROR(__xludf.DUMMYFUNCTION("GOOGLETRANSLATE(C1809,""es"",""en"")"),"Impudic ,,,,")</f>
        <v>Impudic ,,,,</v>
      </c>
    </row>
    <row r="1810" spans="1:5" ht="13.2" x14ac:dyDescent="0.25">
      <c r="A1810" t="s">
        <v>3627</v>
      </c>
      <c r="B1810" t="s">
        <v>3624</v>
      </c>
      <c r="C1810" t="s">
        <v>3625</v>
      </c>
      <c r="D1810" t="str">
        <f ca="1">IFERROR(__xludf.DUMMYFUNCTION("GOOGLETRANSLATE(B1810,""es"",""en"")"),"Lopsided")</f>
        <v>Lopsided</v>
      </c>
      <c r="E1810" t="str">
        <f ca="1">IFERROR(__xludf.DUMMYFUNCTION("GOOGLETRANSLATE(C1810,""es"",""en"")"),"Inclined ,,,,")</f>
        <v>Inclined ,,,,</v>
      </c>
    </row>
    <row r="1811" spans="1:5" ht="13.2" x14ac:dyDescent="0.25">
      <c r="A1811" t="s">
        <v>3623</v>
      </c>
      <c r="B1811" t="s">
        <v>3624</v>
      </c>
      <c r="C1811" t="s">
        <v>3625</v>
      </c>
      <c r="D1811" t="str">
        <f ca="1">IFERROR(__xludf.DUMMYFUNCTION("GOOGLETRANSLATE(B1811,""es"",""en"")"),"Lopsided")</f>
        <v>Lopsided</v>
      </c>
      <c r="E1811" t="str">
        <f ca="1">IFERROR(__xludf.DUMMYFUNCTION("GOOGLETRANSLATE(C1811,""es"",""en"")"),"Inclined ,,,,")</f>
        <v>Inclined ,,,,</v>
      </c>
    </row>
    <row r="1812" spans="1:5" ht="13.2" x14ac:dyDescent="0.25">
      <c r="A1812" t="s">
        <v>1125</v>
      </c>
      <c r="B1812" t="s">
        <v>1097</v>
      </c>
      <c r="D1812" t="str">
        <f ca="1">IFERROR(__xludf.DUMMYFUNCTION("GOOGLETRANSLATE(B1812,""es"",""en"")"),"Friendship")</f>
        <v>Friendship</v>
      </c>
      <c r="E1812" t="str">
        <f ca="1">IFERROR(__xludf.DUMMYFUNCTION("GOOGLETRANSLATE(C1812,""es"",""en"")"),"#VALUE!")</f>
        <v>#VALUE!</v>
      </c>
    </row>
    <row r="1813" spans="1:5" ht="13.2" x14ac:dyDescent="0.25">
      <c r="A1813" t="s">
        <v>3640</v>
      </c>
      <c r="B1813" t="s">
        <v>3641</v>
      </c>
      <c r="C1813" t="s">
        <v>3642</v>
      </c>
      <c r="D1813" t="str">
        <f ca="1">IFERROR(__xludf.DUMMYFUNCTION("GOOGLETRANSLATE(B1813,""es"",""en"")"),"Stop raining")</f>
        <v>Stop raining</v>
      </c>
      <c r="E1813" t="str">
        <f ca="1">IFERROR(__xludf.DUMMYFUNCTION("GOOGLETRANSLATE(C1813,""es"",""en"")"),"Escampo ,,,,")</f>
        <v>Escampo ,,,,</v>
      </c>
    </row>
    <row r="1814" spans="1:5" ht="13.2" x14ac:dyDescent="0.25">
      <c r="A1814" t="s">
        <v>3643</v>
      </c>
      <c r="B1814" t="s">
        <v>3644</v>
      </c>
      <c r="D1814" t="str">
        <f ca="1">IFERROR(__xludf.DUMMYFUNCTION("GOOGLETRANSLATE(B1814,""es"",""en"")"),"January")</f>
        <v>January</v>
      </c>
      <c r="E1814" t="str">
        <f ca="1">IFERROR(__xludf.DUMMYFUNCTION("GOOGLETRANSLATE(C1814,""es"",""en"")"),"#VALUE!")</f>
        <v>#VALUE!</v>
      </c>
    </row>
    <row r="1815" spans="1:5" ht="13.2" x14ac:dyDescent="0.25">
      <c r="A1815" t="s">
        <v>3645</v>
      </c>
      <c r="B1815" t="s">
        <v>3644</v>
      </c>
      <c r="D1815" t="str">
        <f ca="1">IFERROR(__xludf.DUMMYFUNCTION("GOOGLETRANSLATE(B1815,""es"",""en"")"),"January")</f>
        <v>January</v>
      </c>
      <c r="E1815" t="str">
        <f ca="1">IFERROR(__xludf.DUMMYFUNCTION("GOOGLETRANSLATE(C1815,""es"",""en"")"),"#VALUE!")</f>
        <v>#VALUE!</v>
      </c>
    </row>
    <row r="1816" spans="1:5" ht="13.2" x14ac:dyDescent="0.25">
      <c r="A1816" t="s">
        <v>3646</v>
      </c>
      <c r="B1816" t="s">
        <v>3647</v>
      </c>
      <c r="D1816" t="str">
        <f ca="1">IFERROR(__xludf.DUMMYFUNCTION("GOOGLETRANSLATE(B1816,""es"",""en"")"),"Noon")</f>
        <v>Noon</v>
      </c>
      <c r="E1816" t="str">
        <f ca="1">IFERROR(__xludf.DUMMYFUNCTION("GOOGLETRANSLATE(C1816,""es"",""en"")"),"#VALUE!")</f>
        <v>#VALUE!</v>
      </c>
    </row>
    <row r="1817" spans="1:5" ht="13.2" x14ac:dyDescent="0.25">
      <c r="A1817" t="s">
        <v>3648</v>
      </c>
      <c r="B1817" t="s">
        <v>3647</v>
      </c>
      <c r="D1817" t="str">
        <f ca="1">IFERROR(__xludf.DUMMYFUNCTION("GOOGLETRANSLATE(B1817,""es"",""en"")"),"Noon")</f>
        <v>Noon</v>
      </c>
      <c r="E1817" t="str">
        <f ca="1">IFERROR(__xludf.DUMMYFUNCTION("GOOGLETRANSLATE(C1817,""es"",""en"")"),"#VALUE!")</f>
        <v>#VALUE!</v>
      </c>
    </row>
    <row r="1818" spans="1:5" ht="13.2" x14ac:dyDescent="0.25">
      <c r="A1818" t="s">
        <v>3649</v>
      </c>
      <c r="B1818" t="s">
        <v>1425</v>
      </c>
      <c r="D1818" t="str">
        <f ca="1">IFERROR(__xludf.DUMMYFUNCTION("GOOGLETRANSLATE(B1818,""es"",""en"")"),"Equal")</f>
        <v>Equal</v>
      </c>
      <c r="E1818" t="str">
        <f ca="1">IFERROR(__xludf.DUMMYFUNCTION("GOOGLETRANSLATE(C1818,""es"",""en"")"),"#VALUE!")</f>
        <v>#VALUE!</v>
      </c>
    </row>
    <row r="1819" spans="1:5" ht="13.2" x14ac:dyDescent="0.25">
      <c r="A1819" t="s">
        <v>3650</v>
      </c>
      <c r="B1819" t="s">
        <v>3651</v>
      </c>
      <c r="D1819" t="str">
        <f ca="1">IFERROR(__xludf.DUMMYFUNCTION("GOOGLETRANSLATE(B1819,""es"",""en"")"),"On credit")</f>
        <v>On credit</v>
      </c>
      <c r="E1819" t="str">
        <f ca="1">IFERROR(__xludf.DUMMYFUNCTION("GOOGLETRANSLATE(C1819,""es"",""en"")"),"#VALUE!")</f>
        <v>#VALUE!</v>
      </c>
    </row>
    <row r="1820" spans="1:5" ht="13.2" x14ac:dyDescent="0.25">
      <c r="A1820" t="s">
        <v>3652</v>
      </c>
      <c r="B1820" t="s">
        <v>3653</v>
      </c>
      <c r="D1820" t="str">
        <f ca="1">IFERROR(__xludf.DUMMYFUNCTION("GOOGLETRANSLATE(B1820,""es"",""en"")"),"Little by little")</f>
        <v>Little by little</v>
      </c>
      <c r="E1820" t="str">
        <f ca="1">IFERROR(__xludf.DUMMYFUNCTION("GOOGLETRANSLATE(C1820,""es"",""en"")"),"#VALUE!")</f>
        <v>#VALUE!</v>
      </c>
    </row>
    <row r="1821" spans="1:5" ht="13.2" x14ac:dyDescent="0.25">
      <c r="A1821" t="s">
        <v>3654</v>
      </c>
      <c r="B1821" t="s">
        <v>3655</v>
      </c>
      <c r="D1821" t="str">
        <f ca="1">IFERROR(__xludf.DUMMYFUNCTION("GOOGLETRANSLATE(B1821,""es"",""en"")"),"Free")</f>
        <v>Free</v>
      </c>
      <c r="E1821" t="str">
        <f ca="1">IFERROR(__xludf.DUMMYFUNCTION("GOOGLETRANSLATE(C1821,""es"",""en"")"),"#VALUE!")</f>
        <v>#VALUE!</v>
      </c>
    </row>
    <row r="1822" spans="1:5" ht="13.2" x14ac:dyDescent="0.25">
      <c r="A1822" t="s">
        <v>3656</v>
      </c>
      <c r="B1822" t="s">
        <v>3657</v>
      </c>
      <c r="D1822" t="str">
        <f ca="1">IFERROR(__xludf.DUMMYFUNCTION("GOOGLETRANSLATE(B1822,""es"",""en"")"),"Awl")</f>
        <v>Awl</v>
      </c>
      <c r="E1822" t="str">
        <f ca="1">IFERROR(__xludf.DUMMYFUNCTION("GOOGLETRANSLATE(C1822,""es"",""en"")"),"#VALUE!")</f>
        <v>#VALUE!</v>
      </c>
    </row>
    <row r="1823" spans="1:5" ht="13.2" x14ac:dyDescent="0.25">
      <c r="A1823" t="s">
        <v>1096</v>
      </c>
      <c r="B1823" t="s">
        <v>1097</v>
      </c>
      <c r="D1823" t="str">
        <f ca="1">IFERROR(__xludf.DUMMYFUNCTION("GOOGLETRANSLATE(B1823,""es"",""en"")"),"Friendship")</f>
        <v>Friendship</v>
      </c>
      <c r="E1823" t="str">
        <f ca="1">IFERROR(__xludf.DUMMYFUNCTION("GOOGLETRANSLATE(C1823,""es"",""en"")"),"#VALUE!")</f>
        <v>#VALUE!</v>
      </c>
    </row>
    <row r="1824" spans="1:5" ht="13.2" x14ac:dyDescent="0.25">
      <c r="A1824" t="s">
        <v>2902</v>
      </c>
      <c r="B1824" t="s">
        <v>3658</v>
      </c>
      <c r="D1824" t="str">
        <f ca="1">IFERROR(__xludf.DUMMYFUNCTION("GOOGLETRANSLATE(B1824,""es"",""en"")"),"Interpreter")</f>
        <v>Interpreter</v>
      </c>
      <c r="E1824" t="str">
        <f ca="1">IFERROR(__xludf.DUMMYFUNCTION("GOOGLETRANSLATE(C1824,""es"",""en"")"),"#VALUE!")</f>
        <v>#VALUE!</v>
      </c>
    </row>
    <row r="1825" spans="1:5" ht="13.2" x14ac:dyDescent="0.25">
      <c r="A1825" t="s">
        <v>3659</v>
      </c>
      <c r="B1825" t="s">
        <v>3660</v>
      </c>
      <c r="C1825" t="s">
        <v>1613</v>
      </c>
      <c r="D1825" t="str">
        <f ca="1">IFERROR(__xludf.DUMMYFUNCTION("GOOGLETRANSLATE(B1825,""es"",""en"")"),"Great Father")</f>
        <v>Great Father</v>
      </c>
      <c r="E1825" t="str">
        <f ca="1">IFERROR(__xludf.DUMMYFUNCTION("GOOGLETRANSLATE(C1825,""es"",""en"")"),"Be supreme ,,,,")</f>
        <v>Be supreme ,,,,</v>
      </c>
    </row>
    <row r="1826" spans="1:5" ht="13.2" x14ac:dyDescent="0.25">
      <c r="A1826" t="s">
        <v>3661</v>
      </c>
      <c r="B1826" t="s">
        <v>3662</v>
      </c>
      <c r="D1826" t="str">
        <f ca="1">IFERROR(__xludf.DUMMYFUNCTION("GOOGLETRANSLATE(B1826,""es"",""en"")"),"Distorted")</f>
        <v>Distorted</v>
      </c>
      <c r="E1826" t="str">
        <f ca="1">IFERROR(__xludf.DUMMYFUNCTION("GOOGLETRANSLATE(C1826,""es"",""en"")"),"#VALUE!")</f>
        <v>#VALUE!</v>
      </c>
    </row>
    <row r="1827" spans="1:5" ht="13.2" x14ac:dyDescent="0.25">
      <c r="A1827" t="s">
        <v>3663</v>
      </c>
      <c r="B1827" t="s">
        <v>2843</v>
      </c>
      <c r="D1827" t="str">
        <f ca="1">IFERROR(__xludf.DUMMYFUNCTION("GOOGLETRANSLATE(B1827,""es"",""en"")"),"River current")</f>
        <v>River current</v>
      </c>
      <c r="E1827" t="str">
        <f ca="1">IFERROR(__xludf.DUMMYFUNCTION("GOOGLETRANSLATE(C1827,""es"",""en"")"),"#VALUE!")</f>
        <v>#VALUE!</v>
      </c>
    </row>
    <row r="1828" spans="1:5" ht="13.2" x14ac:dyDescent="0.25">
      <c r="A1828" t="s">
        <v>3664</v>
      </c>
      <c r="B1828" t="s">
        <v>3665</v>
      </c>
      <c r="D1828" t="str">
        <f ca="1">IFERROR(__xludf.DUMMYFUNCTION("GOOGLETRANSLATE(B1828,""es"",""en"")"),"Chuzo")</f>
        <v>Chuzo</v>
      </c>
      <c r="E1828" t="str">
        <f ca="1">IFERROR(__xludf.DUMMYFUNCTION("GOOGLETRANSLATE(C1828,""es"",""en"")"),"#VALUE!")</f>
        <v>#VALUE!</v>
      </c>
    </row>
    <row r="1829" spans="1:5" ht="13.2" x14ac:dyDescent="0.25">
      <c r="A1829" t="s">
        <v>3666</v>
      </c>
      <c r="B1829" t="s">
        <v>1652</v>
      </c>
      <c r="D1829" t="str">
        <f ca="1">IFERROR(__xludf.DUMMYFUNCTION("GOOGLETRANSLATE(B1829,""es"",""en"")"),"Dream")</f>
        <v>Dream</v>
      </c>
      <c r="E1829" t="str">
        <f ca="1">IFERROR(__xludf.DUMMYFUNCTION("GOOGLETRANSLATE(C1829,""es"",""en"")"),"#VALUE!")</f>
        <v>#VALUE!</v>
      </c>
    </row>
    <row r="1830" spans="1:5" ht="13.2" x14ac:dyDescent="0.25">
      <c r="A1830" t="s">
        <v>2982</v>
      </c>
      <c r="B1830" t="s">
        <v>2983</v>
      </c>
      <c r="D1830" t="s">
        <v>3667</v>
      </c>
      <c r="E1830" t="str">
        <f ca="1">IFERROR(__xludf.DUMMYFUNCTION("GOOGLETRANSLATE(C1830,""es"",""en"")"),"#VALUE!")</f>
        <v>#VALUE!</v>
      </c>
    </row>
    <row r="1831" spans="1:5" ht="13.2" x14ac:dyDescent="0.25">
      <c r="A1831" t="s">
        <v>3668</v>
      </c>
      <c r="B1831" t="s">
        <v>3669</v>
      </c>
      <c r="C1831" t="s">
        <v>3670</v>
      </c>
      <c r="D1831" t="str">
        <f ca="1">IFERROR(__xludf.DUMMYFUNCTION("GOOGLETRANSLATE(B1831,""es"",""en"")"),"Yeah")</f>
        <v>Yeah</v>
      </c>
      <c r="E1831" t="str">
        <f ca="1">IFERROR(__xludf.DUMMYFUNCTION("GOOGLETRANSLATE(C1831,""es"",""en"")"),"OK, , , ,")</f>
        <v>OK, , , ,</v>
      </c>
    </row>
    <row r="1832" spans="1:5" ht="13.2" x14ac:dyDescent="0.25">
      <c r="A1832" t="s">
        <v>3671</v>
      </c>
      <c r="B1832" t="s">
        <v>3669</v>
      </c>
      <c r="C1832" t="s">
        <v>3670</v>
      </c>
      <c r="D1832" t="str">
        <f ca="1">IFERROR(__xludf.DUMMYFUNCTION("GOOGLETRANSLATE(B1832,""es"",""en"")"),"Yeah")</f>
        <v>Yeah</v>
      </c>
      <c r="E1832" t="str">
        <f ca="1">IFERROR(__xludf.DUMMYFUNCTION("GOOGLETRANSLATE(C1832,""es"",""en"")"),"OK, , , ,")</f>
        <v>OK, , , ,</v>
      </c>
    </row>
    <row r="1833" spans="1:5" ht="13.2" x14ac:dyDescent="0.25">
      <c r="A1833" t="s">
        <v>3672</v>
      </c>
      <c r="B1833" t="s">
        <v>3673</v>
      </c>
      <c r="D1833" t="str">
        <f ca="1">IFERROR(__xludf.DUMMYFUNCTION("GOOGLETRANSLATE(B1833,""es"",""en"")"),"Three")</f>
        <v>Three</v>
      </c>
      <c r="E1833" t="str">
        <f ca="1">IFERROR(__xludf.DUMMYFUNCTION("GOOGLETRANSLATE(C1833,""es"",""en"")"),"#VALUE!")</f>
        <v>#VALUE!</v>
      </c>
    </row>
    <row r="1834" spans="1:5" ht="13.2" x14ac:dyDescent="0.25">
      <c r="A1834" t="s">
        <v>3674</v>
      </c>
      <c r="B1834" t="s">
        <v>3675</v>
      </c>
      <c r="C1834" t="s">
        <v>3676</v>
      </c>
      <c r="D1834" t="str">
        <f ca="1">IFERROR(__xludf.DUMMYFUNCTION("GOOGLETRANSLATE(B1834,""es"",""en"")"),"Eight")</f>
        <v>Eight</v>
      </c>
      <c r="E1834" t="str">
        <f ca="1">IFERROR(__xludf.DUMMYFUNCTION("GOOGLETRANSLATE(C1834,""es"",""en"")"),"Eighth ,,,,")</f>
        <v>Eighth ,,,,</v>
      </c>
    </row>
    <row r="1835" spans="1:5" ht="13.2" x14ac:dyDescent="0.25">
      <c r="A1835" t="s">
        <v>3677</v>
      </c>
      <c r="B1835" t="s">
        <v>3678</v>
      </c>
      <c r="D1835" t="str">
        <f ca="1">IFERROR(__xludf.DUMMYFUNCTION("GOOGLETRANSLATE(B1835,""es"",""en"")"),"Get confused")</f>
        <v>Get confused</v>
      </c>
      <c r="E1835" t="str">
        <f ca="1">IFERROR(__xludf.DUMMYFUNCTION("GOOGLETRANSLATE(C1835,""es"",""en"")"),"#VALUE!")</f>
        <v>#VALUE!</v>
      </c>
    </row>
    <row r="1836" spans="1:5" ht="13.2" x14ac:dyDescent="0.25">
      <c r="A1836" t="s">
        <v>3679</v>
      </c>
      <c r="B1836" t="s">
        <v>3675</v>
      </c>
      <c r="C1836" t="s">
        <v>3680</v>
      </c>
      <c r="D1836" t="str">
        <f ca="1">IFERROR(__xludf.DUMMYFUNCTION("GOOGLETRANSLATE(B1836,""es"",""en"")"),"Eight")</f>
        <v>Eight</v>
      </c>
      <c r="E1836" t="str">
        <f ca="1">IFERROR(__xludf.DUMMYFUNCTION("GOOGLETRANSLATE(C1836,""es"",""en"")"),"Ocatvo ,,,,")</f>
        <v>Ocatvo ,,,,</v>
      </c>
    </row>
    <row r="1837" spans="1:5" ht="13.2" x14ac:dyDescent="0.25">
      <c r="A1837" t="s">
        <v>3681</v>
      </c>
      <c r="B1837" t="s">
        <v>3682</v>
      </c>
      <c r="C1837" t="s">
        <v>3683</v>
      </c>
      <c r="D1837" t="str">
        <f ca="1">IFERROR(__xludf.DUMMYFUNCTION("GOOGLETRANSLATE(B1837,""es"",""en"")"),"Dad")</f>
        <v>Dad</v>
      </c>
      <c r="E1837" t="str">
        <f ca="1">IFERROR(__xludf.DUMMYFUNCTION("GOOGLETRANSLATE(C1837,""es"",""en"")"),"Father, parent ,,,,")</f>
        <v>Father, parent ,,,,</v>
      </c>
    </row>
    <row r="1838" spans="1:5" ht="13.2" x14ac:dyDescent="0.25">
      <c r="A1838" t="s">
        <v>3659</v>
      </c>
      <c r="B1838" t="s">
        <v>3682</v>
      </c>
      <c r="C1838" t="s">
        <v>3683</v>
      </c>
      <c r="D1838" t="str">
        <f ca="1">IFERROR(__xludf.DUMMYFUNCTION("GOOGLETRANSLATE(B1838,""es"",""en"")"),"Dad")</f>
        <v>Dad</v>
      </c>
      <c r="E1838" t="str">
        <f ca="1">IFERROR(__xludf.DUMMYFUNCTION("GOOGLETRANSLATE(C1838,""es"",""en"")"),"Father, parent ,,,,")</f>
        <v>Father, parent ,,,,</v>
      </c>
    </row>
    <row r="1839" spans="1:5" ht="13.2" x14ac:dyDescent="0.25">
      <c r="A1839" t="s">
        <v>3684</v>
      </c>
      <c r="B1839" t="s">
        <v>3660</v>
      </c>
      <c r="C1839" t="s">
        <v>3685</v>
      </c>
      <c r="D1839" t="str">
        <f ca="1">IFERROR(__xludf.DUMMYFUNCTION("GOOGLETRANSLATE(B1839,""es"",""en"")"),"Great Father")</f>
        <v>Great Father</v>
      </c>
      <c r="E1839" t="str">
        <f ca="1">IFERROR(__xludf.DUMMYFUNCTION("GOOGLETRANSLATE(C1839,""es"",""en"")"),"Be supreme. God")</f>
        <v>Be supreme. God</v>
      </c>
    </row>
    <row r="1840" spans="1:5" ht="13.2" x14ac:dyDescent="0.25">
      <c r="A1840" t="s">
        <v>3686</v>
      </c>
      <c r="B1840" t="s">
        <v>3687</v>
      </c>
      <c r="C1840" t="s">
        <v>3688</v>
      </c>
      <c r="D1840" t="str">
        <f ca="1">IFERROR(__xludf.DUMMYFUNCTION("GOOGLETRANSLATE(B1840,""es"",""en"")"),"Roll")</f>
        <v>Roll</v>
      </c>
      <c r="E1840" t="str">
        <f ca="1">IFERROR(__xludf.DUMMYFUNCTION("GOOGLETRANSLATE(C1840,""es"",""en"")"),"Turn, be dragged ,,,,")</f>
        <v>Turn, be dragged ,,,,</v>
      </c>
    </row>
    <row r="1841" spans="1:5" ht="13.2" x14ac:dyDescent="0.25">
      <c r="A1841" t="s">
        <v>2731</v>
      </c>
      <c r="B1841" t="s">
        <v>2729</v>
      </c>
      <c r="C1841" t="s">
        <v>2730</v>
      </c>
      <c r="D1841" t="str">
        <f ca="1">IFERROR(__xludf.DUMMYFUNCTION("GOOGLETRANSLATE(B1841,""es"",""en"")"),"Wrinkled")</f>
        <v>Wrinkled</v>
      </c>
      <c r="E1841" t="str">
        <f ca="1">IFERROR(__xludf.DUMMYFUNCTION("GOOGLETRANSLATE(C1841,""es"",""en"")"),"Ajado ,,,,")</f>
        <v>Ajado ,,,,</v>
      </c>
    </row>
    <row r="1842" spans="1:5" ht="13.2" x14ac:dyDescent="0.25">
      <c r="A1842" t="s">
        <v>3684</v>
      </c>
      <c r="B1842" t="s">
        <v>3660</v>
      </c>
      <c r="C1842" t="s">
        <v>1613</v>
      </c>
      <c r="D1842" t="str">
        <f ca="1">IFERROR(__xludf.DUMMYFUNCTION("GOOGLETRANSLATE(B1842,""es"",""en"")"),"Great Father")</f>
        <v>Great Father</v>
      </c>
      <c r="E1842" t="str">
        <f ca="1">IFERROR(__xludf.DUMMYFUNCTION("GOOGLETRANSLATE(C1842,""es"",""en"")"),"Be supreme ,,,,")</f>
        <v>Be supreme ,,,,</v>
      </c>
    </row>
    <row r="1843" spans="1:5" ht="13.2" x14ac:dyDescent="0.25">
      <c r="A1843" t="s">
        <v>2607</v>
      </c>
      <c r="B1843" t="s">
        <v>3689</v>
      </c>
      <c r="D1843" t="str">
        <f ca="1">IFERROR(__xludf.DUMMYFUNCTION("GOOGLETRANSLATE(B1843,""es"",""en"")"),"Ancestors")</f>
        <v>Ancestors</v>
      </c>
      <c r="E1843" t="str">
        <f ca="1">IFERROR(__xludf.DUMMYFUNCTION("GOOGLETRANSLATE(C1843,""es"",""en"")"),"#VALUE!")</f>
        <v>#VALUE!</v>
      </c>
    </row>
    <row r="1844" spans="1:5" ht="13.2" x14ac:dyDescent="0.25">
      <c r="A1844" t="s">
        <v>3690</v>
      </c>
      <c r="B1844" t="s">
        <v>3689</v>
      </c>
      <c r="D1844" t="str">
        <f ca="1">IFERROR(__xludf.DUMMYFUNCTION("GOOGLETRANSLATE(B1844,""es"",""en"")"),"Ancestors")</f>
        <v>Ancestors</v>
      </c>
      <c r="E1844" t="str">
        <f ca="1">IFERROR(__xludf.DUMMYFUNCTION("GOOGLETRANSLATE(C1844,""es"",""en"")"),"#VALUE!")</f>
        <v>#VALUE!</v>
      </c>
    </row>
    <row r="1845" spans="1:5" ht="13.2" x14ac:dyDescent="0.25">
      <c r="A1845" t="s">
        <v>3691</v>
      </c>
      <c r="B1845" t="s">
        <v>3692</v>
      </c>
      <c r="C1845" t="s">
        <v>3693</v>
      </c>
      <c r="D1845" t="str">
        <f ca="1">IFERROR(__xludf.DUMMYFUNCTION("GOOGLETRANSLATE(B1845,""es"",""en"")"),"Road of Baba")</f>
        <v>Road of Baba</v>
      </c>
      <c r="E1845" t="str">
        <f ca="1">IFERROR(__xludf.DUMMYFUNCTION("GOOGLETRANSLATE(C1845,""es"",""en"")"),"Treaty of Baba and Nana ,,,,")</f>
        <v>Treaty of Baba and Nana ,,,,</v>
      </c>
    </row>
    <row r="1846" spans="1:5" ht="13.2" x14ac:dyDescent="0.25">
      <c r="A1846" t="s">
        <v>3694</v>
      </c>
      <c r="B1846" t="s">
        <v>3695</v>
      </c>
      <c r="D1846" t="str">
        <f ca="1">IFERROR(__xludf.DUMMYFUNCTION("GOOGLETRANSLATE(B1846,""es"",""en"")"),"Wait")</f>
        <v>Wait</v>
      </c>
      <c r="E1846" t="str">
        <f ca="1">IFERROR(__xludf.DUMMYFUNCTION("GOOGLETRANSLATE(C1846,""es"",""en"")"),"#VALUE!")</f>
        <v>#VALUE!</v>
      </c>
    </row>
    <row r="1847" spans="1:5" ht="13.2" x14ac:dyDescent="0.25">
      <c r="A1847" t="s">
        <v>3696</v>
      </c>
      <c r="B1847" t="s">
        <v>3697</v>
      </c>
      <c r="C1847" t="s">
        <v>3698</v>
      </c>
      <c r="D1847" t="str">
        <f ca="1">IFERROR(__xludf.DUMMYFUNCTION("GOOGLETRANSLATE(B1847,""es"",""en"")"),"Road of Baba and Nana")</f>
        <v>Road of Baba and Nana</v>
      </c>
      <c r="E1847" t="str">
        <f ca="1">IFERROR(__xludf.DUMMYFUNCTION("GOOGLETRANSLATE(C1847,""es"",""en"")")," Treaty of Baba and Nana ,,,,")</f>
        <v xml:space="preserve"> Treaty of Baba and Nana ,,,,</v>
      </c>
    </row>
    <row r="1848" spans="1:5" ht="13.2" x14ac:dyDescent="0.25">
      <c r="A1848" t="s">
        <v>3699</v>
      </c>
      <c r="B1848" t="s">
        <v>3700</v>
      </c>
      <c r="D1848" t="str">
        <f ca="1">IFERROR(__xludf.DUMMYFUNCTION("GOOGLETRANSLATE(B1848,""es"",""en"")"),"Baba and Nana dwelling")</f>
        <v>Baba and Nana dwelling</v>
      </c>
      <c r="E1848" t="str">
        <f ca="1">IFERROR(__xludf.DUMMYFUNCTION("GOOGLETRANSLATE(C1848,""es"",""en"")"),"#VALUE!")</f>
        <v>#VALUE!</v>
      </c>
    </row>
    <row r="1849" spans="1:5" ht="13.2" x14ac:dyDescent="0.25">
      <c r="A1849" t="s">
        <v>3701</v>
      </c>
      <c r="B1849" t="s">
        <v>3700</v>
      </c>
      <c r="D1849" t="str">
        <f ca="1">IFERROR(__xludf.DUMMYFUNCTION("GOOGLETRANSLATE(B1849,""es"",""en"")"),"Baba and Nana dwelling")</f>
        <v>Baba and Nana dwelling</v>
      </c>
      <c r="E1849" t="str">
        <f ca="1">IFERROR(__xludf.DUMMYFUNCTION("GOOGLETRANSLATE(C1849,""es"",""en"")"),"#VALUE!")</f>
        <v>#VALUE!</v>
      </c>
    </row>
    <row r="1850" spans="1:5" ht="13.2" x14ac:dyDescent="0.25">
      <c r="A1850" t="s">
        <v>3702</v>
      </c>
      <c r="B1850" t="s">
        <v>3703</v>
      </c>
      <c r="D1850" t="str">
        <f ca="1">IFERROR(__xludf.DUMMYFUNCTION("GOOGLETRANSLATE(B1850,""es"",""en"")"),"Stepmother")</f>
        <v>Stepmother</v>
      </c>
      <c r="E1850" t="str">
        <f ca="1">IFERROR(__xludf.DUMMYFUNCTION("GOOGLETRANSLATE(C1850,""es"",""en"")"),"#VALUE!")</f>
        <v>#VALUE!</v>
      </c>
    </row>
    <row r="1851" spans="1:5" ht="13.2" x14ac:dyDescent="0.25">
      <c r="A1851" t="s">
        <v>3704</v>
      </c>
      <c r="B1851" t="s">
        <v>3705</v>
      </c>
      <c r="D1851" t="str">
        <f ca="1">IFERROR(__xludf.DUMMYFUNCTION("GOOGLETRANSLATE(B1851,""es"",""en"")"),"Grandfather")</f>
        <v>Grandfather</v>
      </c>
      <c r="E1851" t="str">
        <f ca="1">IFERROR(__xludf.DUMMYFUNCTION("GOOGLETRANSLATE(C1851,""es"",""en"")"),"#VALUE!")</f>
        <v>#VALUE!</v>
      </c>
    </row>
    <row r="1852" spans="1:5" ht="13.2" x14ac:dyDescent="0.25">
      <c r="A1852" t="s">
        <v>3706</v>
      </c>
      <c r="B1852" t="s">
        <v>3705</v>
      </c>
      <c r="D1852" t="str">
        <f ca="1">IFERROR(__xludf.DUMMYFUNCTION("GOOGLETRANSLATE(B1852,""es"",""en"")"),"Grandfather")</f>
        <v>Grandfather</v>
      </c>
      <c r="E1852" t="str">
        <f ca="1">IFERROR(__xludf.DUMMYFUNCTION("GOOGLETRANSLATE(C1852,""es"",""en"")"),"#VALUE!")</f>
        <v>#VALUE!</v>
      </c>
    </row>
    <row r="1853" spans="1:5" ht="13.2" x14ac:dyDescent="0.25">
      <c r="A1853" t="s">
        <v>3707</v>
      </c>
      <c r="B1853" t="s">
        <v>1580</v>
      </c>
      <c r="C1853" t="s">
        <v>3708</v>
      </c>
      <c r="D1853" t="str">
        <f ca="1">IFERROR(__xludf.DUMMYFUNCTION("GOOGLETRANSLATE(B1853,""es"",""en"")"),"Dish")</f>
        <v>Dish</v>
      </c>
      <c r="E1853" t="str">
        <f ca="1">IFERROR(__xludf.DUMMYFUNCTION("GOOGLETRANSLATE(C1853,""es"",""en"")"),"Tray, saucer ,,,,")</f>
        <v>Tray, saucer ,,,,</v>
      </c>
    </row>
    <row r="1854" spans="1:5" ht="13.2" x14ac:dyDescent="0.25">
      <c r="A1854" t="s">
        <v>3709</v>
      </c>
      <c r="B1854" t="s">
        <v>638</v>
      </c>
      <c r="C1854" t="s">
        <v>3710</v>
      </c>
      <c r="D1854" t="str">
        <f ca="1">IFERROR(__xludf.DUMMYFUNCTION("GOOGLETRANSLATE(B1854,""es"",""en"")"),"Fall down")</f>
        <v>Fall down</v>
      </c>
      <c r="E1854" t="str">
        <f ca="1">IFERROR(__xludf.DUMMYFUNCTION("GOOGLETRANSLATE(C1854,""es"",""en"")"),"Lower, , , ,")</f>
        <v>Lower, , , ,</v>
      </c>
    </row>
    <row r="1855" spans="1:5" ht="13.2" x14ac:dyDescent="0.25">
      <c r="A1855" t="s">
        <v>2926</v>
      </c>
      <c r="B1855" t="s">
        <v>3711</v>
      </c>
      <c r="D1855" t="str">
        <f ca="1">IFERROR(__xludf.DUMMYFUNCTION("GOOGLETRANSLATE(B1855,""es"",""en"")"),"Blackbox for kneading")</f>
        <v>Blackbox for kneading</v>
      </c>
      <c r="E1855" t="str">
        <f ca="1">IFERROR(__xludf.DUMMYFUNCTION("GOOGLETRANSLATE(C1855,""es"",""en"")"),"#VALUE!")</f>
        <v>#VALUE!</v>
      </c>
    </row>
    <row r="1856" spans="1:5" ht="13.2" x14ac:dyDescent="0.25">
      <c r="A1856" t="s">
        <v>3712</v>
      </c>
      <c r="B1856" t="s">
        <v>3713</v>
      </c>
      <c r="C1856" t="s">
        <v>3714</v>
      </c>
      <c r="D1856" t="str">
        <f ca="1">IFERROR(__xludf.DUMMYFUNCTION("GOOGLETRANSLATE(B1856,""es"",""en"")"),"Fresh water turtle")</f>
        <v>Fresh water turtle</v>
      </c>
      <c r="E1856" t="str">
        <f ca="1">IFERROR(__xludf.DUMMYFUNCTION("GOOGLETRANSLATE(C1856,""es"",""en"")"),"Jocotea ,,,,")</f>
        <v>Jocotea ,,,,</v>
      </c>
    </row>
    <row r="1857" spans="1:5" ht="13.2" x14ac:dyDescent="0.25">
      <c r="A1857" t="s">
        <v>3715</v>
      </c>
      <c r="B1857" t="s">
        <v>3716</v>
      </c>
      <c r="D1857" t="str">
        <f ca="1">IFERROR(__xludf.DUMMYFUNCTION("GOOGLETRANSLATE(B1857,""es"",""en"")"),"Wait")</f>
        <v>Wait</v>
      </c>
      <c r="E1857" t="str">
        <f ca="1">IFERROR(__xludf.DUMMYFUNCTION("GOOGLETRANSLATE(C1857,""es"",""en"")"),"#VALUE!")</f>
        <v>#VALUE!</v>
      </c>
    </row>
    <row r="1858" spans="1:5" ht="13.2" x14ac:dyDescent="0.25">
      <c r="A1858" t="s">
        <v>3717</v>
      </c>
      <c r="B1858" t="s">
        <v>3718</v>
      </c>
      <c r="C1858" t="s">
        <v>3719</v>
      </c>
      <c r="D1858" t="str">
        <f ca="1">IFERROR(__xludf.DUMMYFUNCTION("GOOGLETRANSLATE(B1858,""es"",""en"")"),"Priest")</f>
        <v>Priest</v>
      </c>
      <c r="E1858" t="str">
        <f ca="1">IFERROR(__xludf.DUMMYFUNCTION("GOOGLETRANSLATE(C1858,""es"",""en"")"),"Healing, , , ,")</f>
        <v>Healing, , , ,</v>
      </c>
    </row>
    <row r="1859" spans="1:5" ht="13.2" x14ac:dyDescent="0.25">
      <c r="A1859" t="s">
        <v>3720</v>
      </c>
      <c r="B1859" t="s">
        <v>3721</v>
      </c>
      <c r="D1859" t="str">
        <f ca="1">IFERROR(__xludf.DUMMYFUNCTION("GOOGLETRANSLATE(B1859,""es"",""en"")"),"Duck")</f>
        <v>Duck</v>
      </c>
      <c r="E1859" t="str">
        <f ca="1">IFERROR(__xludf.DUMMYFUNCTION("GOOGLETRANSLATE(C1859,""es"",""en"")"),"#VALUE!")</f>
        <v>#VALUE!</v>
      </c>
    </row>
    <row r="1860" spans="1:5" ht="13.2" x14ac:dyDescent="0.25">
      <c r="A1860" t="s">
        <v>3722</v>
      </c>
      <c r="B1860" t="s">
        <v>3723</v>
      </c>
      <c r="D1860" t="str">
        <f ca="1">IFERROR(__xludf.DUMMYFUNCTION("GOOGLETRANSLATE(B1860,""es"",""en"")"),"Refrain")</f>
        <v>Refrain</v>
      </c>
      <c r="E1860" t="str">
        <f ca="1">IFERROR(__xludf.DUMMYFUNCTION("GOOGLETRANSLATE(C1860,""es"",""en"")"),"#VALUE!")</f>
        <v>#VALUE!</v>
      </c>
    </row>
    <row r="1861" spans="1:5" ht="13.2" x14ac:dyDescent="0.25">
      <c r="A1861" t="s">
        <v>3724</v>
      </c>
      <c r="B1861" t="s">
        <v>3725</v>
      </c>
      <c r="D1861" t="str">
        <f ca="1">IFERROR(__xludf.DUMMYFUNCTION("GOOGLETRANSLATE(B1861,""es"",""en"")"),"Whale")</f>
        <v>Whale</v>
      </c>
      <c r="E1861" t="str">
        <f ca="1">IFERROR(__xludf.DUMMYFUNCTION("GOOGLETRANSLATE(C1861,""es"",""en"")"),"#VALUE!")</f>
        <v>#VALUE!</v>
      </c>
    </row>
    <row r="1862" spans="1:5" ht="13.2" x14ac:dyDescent="0.25">
      <c r="A1862" t="s">
        <v>3726</v>
      </c>
      <c r="B1862" t="s">
        <v>3727</v>
      </c>
      <c r="C1862" t="s">
        <v>3728</v>
      </c>
      <c r="D1862" t="str">
        <f ca="1">IFERROR(__xludf.DUMMYFUNCTION("GOOGLETRANSLATE(B1862,""es"",""en"")"),"Franca exresities")</f>
        <v>Franca exresities</v>
      </c>
      <c r="E1862" t="str">
        <f ca="1">IFERROR(__xludf.DUMMYFUNCTION("GOOGLETRANSLATE(C1862,""es"",""en"")"),"Direct, in front, bought ,,,,")</f>
        <v>Direct, in front, bought ,,,,</v>
      </c>
    </row>
    <row r="1863" spans="1:5" ht="13.2" x14ac:dyDescent="0.25">
      <c r="A1863" t="s">
        <v>3729</v>
      </c>
      <c r="B1863" t="s">
        <v>3730</v>
      </c>
      <c r="C1863" t="s">
        <v>3731</v>
      </c>
      <c r="D1863" t="str">
        <f ca="1">IFERROR(__xludf.DUMMYFUNCTION("GOOGLETRANSLATE(B1863,""es"",""en"")"),"Free Expression")</f>
        <v>Free Expression</v>
      </c>
      <c r="E1863" t="str">
        <f ca="1">IFERROR(__xludf.DUMMYFUNCTION("GOOGLETRANSLATE(C1863,""es"",""en"")"),"Direct, in front, bought ,,")</f>
        <v>Direct, in front, bought ,,</v>
      </c>
    </row>
    <row r="1864" spans="1:5" ht="13.2" x14ac:dyDescent="0.25">
      <c r="A1864" t="s">
        <v>3732</v>
      </c>
      <c r="B1864" t="s">
        <v>3733</v>
      </c>
      <c r="C1864" t="s">
        <v>3734</v>
      </c>
      <c r="D1864" t="str">
        <f ca="1">IFERROR(__xludf.DUMMYFUNCTION("GOOGLETRANSLATE(B1864,""es"",""en"")"),"Buy")</f>
        <v>Buy</v>
      </c>
      <c r="E1864" t="str">
        <f ca="1">IFERROR(__xludf.DUMMYFUNCTION("GOOGLETRANSLATE(C1864,""es"",""en"")"),"Acquire, , , ,")</f>
        <v>Acquire, , , ,</v>
      </c>
    </row>
    <row r="1865" spans="1:5" ht="13.2" x14ac:dyDescent="0.25">
      <c r="A1865" t="s">
        <v>3735</v>
      </c>
      <c r="B1865" t="s">
        <v>3736</v>
      </c>
      <c r="D1865" t="s">
        <v>3737</v>
      </c>
      <c r="E1865" t="str">
        <f ca="1">IFERROR(__xludf.DUMMYFUNCTION("GOOGLETRANSLATE(C1865,""es"",""en"")"),"#VALUE!")</f>
        <v>#VALUE!</v>
      </c>
    </row>
    <row r="1866" spans="1:5" ht="13.2" x14ac:dyDescent="0.25">
      <c r="A1866" t="s">
        <v>752</v>
      </c>
      <c r="B1866" t="s">
        <v>751</v>
      </c>
      <c r="C1866" t="s">
        <v>3738</v>
      </c>
      <c r="D1866" t="s">
        <v>3739</v>
      </c>
      <c r="E1866" t="s">
        <v>3740</v>
      </c>
    </row>
    <row r="1867" spans="1:5" ht="13.2" x14ac:dyDescent="0.25">
      <c r="A1867" t="s">
        <v>3741</v>
      </c>
      <c r="B1867" t="s">
        <v>3736</v>
      </c>
      <c r="D1867" t="s">
        <v>3737</v>
      </c>
      <c r="E1867" t="str">
        <f ca="1">IFERROR(__xludf.DUMMYFUNCTION("GOOGLETRANSLATE(C1867,""es"",""en"")"),"#VALUE!")</f>
        <v>#VALUE!</v>
      </c>
    </row>
    <row r="1868" spans="1:5" ht="13.2" x14ac:dyDescent="0.25">
      <c r="A1868" t="s">
        <v>3742</v>
      </c>
      <c r="B1868" t="s">
        <v>3743</v>
      </c>
      <c r="C1868" t="s">
        <v>3744</v>
      </c>
      <c r="D1868" t="str">
        <f ca="1">IFERROR(__xludf.DUMMYFUNCTION("GOOGLETRANSLATE(B1868,""es"",""en"")"),"Other")</f>
        <v>Other</v>
      </c>
      <c r="E1868" t="str">
        <f ca="1">IFERROR(__xludf.DUMMYFUNCTION("GOOGLETRANSLATE(C1868,""es"",""en"")"),"Besides, , , ,")</f>
        <v>Besides, , , ,</v>
      </c>
    </row>
    <row r="1869" spans="1:5" ht="13.2" x14ac:dyDescent="0.25">
      <c r="A1869" t="s">
        <v>3745</v>
      </c>
      <c r="B1869" t="s">
        <v>3746</v>
      </c>
      <c r="D1869" t="str">
        <f ca="1">IFERROR(__xludf.DUMMYFUNCTION("GOOGLETRANSLATE(B1869,""es"",""en"")"),"That's why")</f>
        <v>That's why</v>
      </c>
      <c r="E1869" t="str">
        <f ca="1">IFERROR(__xludf.DUMMYFUNCTION("GOOGLETRANSLATE(C1869,""es"",""en"")"),"#VALUE!")</f>
        <v>#VALUE!</v>
      </c>
    </row>
    <row r="1870" spans="1:5" ht="13.2" x14ac:dyDescent="0.25">
      <c r="A1870" t="s">
        <v>3747</v>
      </c>
      <c r="B1870" t="s">
        <v>3748</v>
      </c>
      <c r="D1870" t="str">
        <f ca="1">IFERROR(__xludf.DUMMYFUNCTION("GOOGLETRANSLATE(B1870,""es"",""en"")"),"Go to encounter")</f>
        <v>Go to encounter</v>
      </c>
      <c r="E1870" t="str">
        <f ca="1">IFERROR(__xludf.DUMMYFUNCTION("GOOGLETRANSLATE(C1870,""es"",""en"")"),"#VALUE!")</f>
        <v>#VALUE!</v>
      </c>
    </row>
    <row r="1871" spans="1:5" ht="13.2" x14ac:dyDescent="0.25">
      <c r="A1871" t="s">
        <v>3749</v>
      </c>
      <c r="B1871" t="s">
        <v>3750</v>
      </c>
      <c r="D1871" t="str">
        <f ca="1">IFERROR(__xludf.DUMMYFUNCTION("GOOGLETRANSLATE(B1871,""es"",""en"")"),"Another, in addition")</f>
        <v>Another, in addition</v>
      </c>
      <c r="E1871" t="str">
        <f ca="1">IFERROR(__xludf.DUMMYFUNCTION("GOOGLETRANSLATE(C1871,""es"",""en"")"),"#VALUE!")</f>
        <v>#VALUE!</v>
      </c>
    </row>
    <row r="1872" spans="1:5" ht="13.2" x14ac:dyDescent="0.25">
      <c r="A1872" t="s">
        <v>3751</v>
      </c>
      <c r="B1872" t="s">
        <v>3752</v>
      </c>
      <c r="C1872" t="s">
        <v>3753</v>
      </c>
      <c r="D1872" t="str">
        <f ca="1">IFERROR(__xludf.DUMMYFUNCTION("GOOGLETRANSLATE(B1872,""es"",""en"")"),"It doesn't matter")</f>
        <v>It doesn't matter</v>
      </c>
      <c r="E1872" t="str">
        <f ca="1">IFERROR(__xludf.DUMMYFUNCTION("GOOGLETRANSLATE(C1872,""es"",""en"")"),"Not worth it, , , ,")</f>
        <v>Not worth it, , , ,</v>
      </c>
    </row>
    <row r="1873" spans="1:5" ht="13.2" x14ac:dyDescent="0.25">
      <c r="A1873" t="s">
        <v>511</v>
      </c>
      <c r="B1873" t="s">
        <v>3754</v>
      </c>
      <c r="D1873" t="str">
        <f ca="1">IFERROR(__xludf.DUMMYFUNCTION("GOOGLETRANSLATE(B1873,""es"",""en"")"),"Daughter-in-law")</f>
        <v>Daughter-in-law</v>
      </c>
      <c r="E1873" t="str">
        <f ca="1">IFERROR(__xludf.DUMMYFUNCTION("GOOGLETRANSLATE(C1873,""es"",""en"")"),"#VALUE!")</f>
        <v>#VALUE!</v>
      </c>
    </row>
    <row r="1874" spans="1:5" ht="13.2" x14ac:dyDescent="0.25">
      <c r="A1874" t="s">
        <v>3755</v>
      </c>
      <c r="B1874" t="s">
        <v>3756</v>
      </c>
      <c r="D1874" t="str">
        <f ca="1">IFERROR(__xludf.DUMMYFUNCTION("GOOGLETRANSLATE(B1874,""es"",""en"")"),"Introduce liquid in container")</f>
        <v>Introduce liquid in container</v>
      </c>
      <c r="E1874" t="str">
        <f ca="1">IFERROR(__xludf.DUMMYFUNCTION("GOOGLETRANSLATE(C1874,""es"",""en"")"),"#VALUE!")</f>
        <v>#VALUE!</v>
      </c>
    </row>
    <row r="1875" spans="1:5" ht="13.2" x14ac:dyDescent="0.25">
      <c r="A1875" t="s">
        <v>3757</v>
      </c>
      <c r="B1875" t="s">
        <v>3758</v>
      </c>
      <c r="C1875" t="s">
        <v>3759</v>
      </c>
      <c r="D1875" t="str">
        <f ca="1">IFERROR(__xludf.DUMMYFUNCTION("GOOGLETRANSLATE(B1875,""es"",""en"")"),"Chase")</f>
        <v>Chase</v>
      </c>
      <c r="E1875" t="str">
        <f ca="1">IFERROR(__xludf.DUMMYFUNCTION("GOOGLETRANSLATE(C1875,""es"",""en"")"),"Go behind ,,,,")</f>
        <v>Go behind ,,,,</v>
      </c>
    </row>
    <row r="1876" spans="1:5" ht="13.2" x14ac:dyDescent="0.25">
      <c r="A1876" t="s">
        <v>3760</v>
      </c>
      <c r="B1876" t="s">
        <v>3761</v>
      </c>
      <c r="C1876" t="s">
        <v>3762</v>
      </c>
      <c r="D1876" t="str">
        <f ca="1">IFERROR(__xludf.DUMMYFUNCTION("GOOGLETRANSLATE(B1876,""es"",""en"")"),"Frequently")</f>
        <v>Frequently</v>
      </c>
      <c r="E1876" t="str">
        <f ca="1">IFERROR(__xludf.DUMMYFUNCTION("GOOGLETRANSLATE(C1876,""es"",""en"")"),"Always, repeated times ,,,,")</f>
        <v>Always, repeated times ,,,,</v>
      </c>
    </row>
    <row r="1877" spans="1:5" ht="13.2" x14ac:dyDescent="0.25">
      <c r="A1877" t="s">
        <v>3763</v>
      </c>
      <c r="B1877" t="s">
        <v>3761</v>
      </c>
      <c r="C1877" t="s">
        <v>3764</v>
      </c>
      <c r="D1877" t="str">
        <f ca="1">IFERROR(__xludf.DUMMYFUNCTION("GOOGLETRANSLATE(B1877,""es"",""en"")"),"Frequently")</f>
        <v>Frequently</v>
      </c>
      <c r="E1877" t="str">
        <f ca="1">IFERROR(__xludf.DUMMYFUNCTION("GOOGLETRANSLATE(C1877,""es"",""en"")"),"Always, , , ,")</f>
        <v>Always, , , ,</v>
      </c>
    </row>
    <row r="1878" spans="1:5" ht="13.2" x14ac:dyDescent="0.25">
      <c r="A1878" t="s">
        <v>3765</v>
      </c>
      <c r="B1878" t="s">
        <v>1425</v>
      </c>
      <c r="C1878" t="s">
        <v>3766</v>
      </c>
      <c r="D1878" t="str">
        <f ca="1">IFERROR(__xludf.DUMMYFUNCTION("GOOGLETRANSLATE(B1878,""es"",""en"")"),"Equal")</f>
        <v>Equal</v>
      </c>
      <c r="E1878" t="str">
        <f ca="1">IFERROR(__xludf.DUMMYFUNCTION("GOOGLETRANSLATE(C1878,""es"",""en"")"),"The same, uniform ,,,")</f>
        <v>The same, uniform ,,,</v>
      </c>
    </row>
    <row r="1879" spans="1:5" ht="13.2" x14ac:dyDescent="0.25">
      <c r="A1879" t="s">
        <v>3767</v>
      </c>
      <c r="B1879" t="s">
        <v>3768</v>
      </c>
      <c r="C1879" t="s">
        <v>3769</v>
      </c>
      <c r="D1879" t="s">
        <v>3770</v>
      </c>
      <c r="E1879" t="str">
        <f ca="1">IFERROR(__xludf.DUMMYFUNCTION("GOOGLETRANSLATE(C1879,""es"",""en"")"),"Custodian, guardian, protector ,,,")</f>
        <v>Custodian, guardian, protector ,,,</v>
      </c>
    </row>
    <row r="1880" spans="1:5" ht="13.2" x14ac:dyDescent="0.25">
      <c r="A1880" t="s">
        <v>3771</v>
      </c>
      <c r="B1880" t="s">
        <v>3768</v>
      </c>
      <c r="C1880" t="s">
        <v>3772</v>
      </c>
      <c r="D1880" t="s">
        <v>3770</v>
      </c>
      <c r="E1880" t="str">
        <f ca="1">IFERROR(__xludf.DUMMYFUNCTION("GOOGLETRANSLATE(C1880,""es"",""en"")"),"Custody, guardian, protector ,,,")</f>
        <v>Custody, guardian, protector ,,,</v>
      </c>
    </row>
    <row r="1881" spans="1:5" ht="13.2" x14ac:dyDescent="0.25">
      <c r="A1881" t="s">
        <v>3773</v>
      </c>
      <c r="B1881" t="s">
        <v>3774</v>
      </c>
      <c r="D1881" t="str">
        <f ca="1">IFERROR(__xludf.DUMMYFUNCTION("GOOGLETRANSLATE(B1881,""es"",""en"")"),"Blood")</f>
        <v>Blood</v>
      </c>
      <c r="E1881" t="str">
        <f ca="1">IFERROR(__xludf.DUMMYFUNCTION("GOOGLETRANSLATE(C1881,""es"",""en"")"),"#VALUE!")</f>
        <v>#VALUE!</v>
      </c>
    </row>
    <row r="1882" spans="1:5" ht="13.2" x14ac:dyDescent="0.25">
      <c r="A1882" t="s">
        <v>3775</v>
      </c>
      <c r="B1882" t="s">
        <v>3776</v>
      </c>
      <c r="D1882" t="str">
        <f ca="1">IFERROR(__xludf.DUMMYFUNCTION("GOOGLETRANSLATE(B1882,""es"",""en"")"),"Salt")</f>
        <v>Salt</v>
      </c>
      <c r="E1882" t="str">
        <f ca="1">IFERROR(__xludf.DUMMYFUNCTION("GOOGLETRANSLATE(C1882,""es"",""en"")"),"#VALUE!")</f>
        <v>#VALUE!</v>
      </c>
    </row>
    <row r="1883" spans="1:5" ht="13.2" x14ac:dyDescent="0.25">
      <c r="A1883" t="s">
        <v>3777</v>
      </c>
      <c r="B1883" t="s">
        <v>3778</v>
      </c>
      <c r="C1883" t="s">
        <v>3779</v>
      </c>
      <c r="D1883" t="str">
        <f ca="1">IFERROR(__xludf.DUMMYFUNCTION("GOOGLETRANSLATE(B1883,""es"",""en"")"),"With little salt")</f>
        <v>With little salt</v>
      </c>
      <c r="E1883" t="str">
        <f ca="1">IFERROR(__xludf.DUMMYFUNCTION("GOOGLETRANSLATE(C1883,""es"",""en"")"),"Saladito ,,,,")</f>
        <v>Saladito ,,,,</v>
      </c>
    </row>
    <row r="1884" spans="1:5" ht="13.2" x14ac:dyDescent="0.25">
      <c r="A1884" t="s">
        <v>3780</v>
      </c>
      <c r="B1884" t="s">
        <v>3781</v>
      </c>
      <c r="C1884" t="s">
        <v>3782</v>
      </c>
      <c r="D1884" t="str">
        <f ca="1">IFERROR(__xludf.DUMMYFUNCTION("GOOGLETRANSLATE(B1884,""es"",""en"")"),"Salty")</f>
        <v>Salty</v>
      </c>
      <c r="E1884" t="str">
        <f ca="1">IFERROR(__xludf.DUMMYFUNCTION("GOOGLETRANSLATE(C1884,""es"",""en"")"),"Pas of salt, brackish ,,,")</f>
        <v>Pas of salt, brackish ,,,</v>
      </c>
    </row>
    <row r="1885" spans="1:5" ht="13.2" x14ac:dyDescent="0.25">
      <c r="A1885" t="s">
        <v>3783</v>
      </c>
      <c r="B1885" t="s">
        <v>3781</v>
      </c>
      <c r="C1885" t="s">
        <v>3784</v>
      </c>
      <c r="D1885" t="str">
        <f ca="1">IFERROR(__xludf.DUMMYFUNCTION("GOOGLETRANSLATE(B1885,""es"",""en"")"),"Salty")</f>
        <v>Salty</v>
      </c>
      <c r="E1885" t="str">
        <f ca="1">IFERROR(__xludf.DUMMYFUNCTION("GOOGLETRANSLATE(C1885,""es"",""en"")"),"Pas of salt, brackish ,,,")</f>
        <v>Pas of salt, brackish ,,,</v>
      </c>
    </row>
    <row r="1886" spans="1:5" ht="13.2" x14ac:dyDescent="0.25">
      <c r="A1886" t="s">
        <v>744</v>
      </c>
      <c r="B1886" t="s">
        <v>742</v>
      </c>
      <c r="C1886" t="s">
        <v>3785</v>
      </c>
      <c r="D1886" t="str">
        <f ca="1">IFERROR(__xludf.DUMMYFUNCTION("GOOGLETRANSLATE(B1886,""es"",""en"")"),"Salt tree")</f>
        <v>Salt tree</v>
      </c>
      <c r="E1886" t="str">
        <f ca="1">IFERROR(__xludf.DUMMYFUNCTION("GOOGLETRANSLATE(C1886,""es"",""en"")"),"OPPRESSION SYMBOLOGY ,,,,,")</f>
        <v>OPPRESSION SYMBOLOGY ,,,,,</v>
      </c>
    </row>
    <row r="1887" spans="1:5" ht="13.2" x14ac:dyDescent="0.25">
      <c r="A1887" t="s">
        <v>745</v>
      </c>
      <c r="B1887" t="s">
        <v>742</v>
      </c>
      <c r="C1887" t="s">
        <v>3786</v>
      </c>
      <c r="D1887" t="str">
        <f ca="1">IFERROR(__xludf.DUMMYFUNCTION("GOOGLETRANSLATE(B1887,""es"",""en"")"),"Salt tree")</f>
        <v>Salt tree</v>
      </c>
      <c r="E1887" t="str">
        <f ca="1">IFERROR(__xludf.DUMMYFUNCTION("GOOGLETRANSLATE(C1887,""es"",""en"")"),"OPPRESSION SYMBOLOGY ,,,,")</f>
        <v>OPPRESSION SYMBOLOGY ,,,,</v>
      </c>
    </row>
    <row r="1888" spans="1:5" ht="13.2" x14ac:dyDescent="0.25">
      <c r="A1888" t="s">
        <v>741</v>
      </c>
      <c r="B1888" t="s">
        <v>742</v>
      </c>
      <c r="D1888" t="str">
        <f ca="1">IFERROR(__xludf.DUMMYFUNCTION("GOOGLETRANSLATE(B1888,""es"",""en"")"),"Salt tree")</f>
        <v>Salt tree</v>
      </c>
      <c r="E1888" t="str">
        <f ca="1">IFERROR(__xludf.DUMMYFUNCTION("GOOGLETRANSLATE(C1888,""es"",""en"")"),"#VALUE!")</f>
        <v>#VALUE!</v>
      </c>
    </row>
    <row r="1889" spans="1:5" ht="13.2" x14ac:dyDescent="0.25">
      <c r="A1889" t="s">
        <v>743</v>
      </c>
      <c r="B1889" t="s">
        <v>742</v>
      </c>
      <c r="D1889" t="str">
        <f ca="1">IFERROR(__xludf.DUMMYFUNCTION("GOOGLETRANSLATE(B1889,""es"",""en"")"),"Salt tree")</f>
        <v>Salt tree</v>
      </c>
      <c r="E1889" t="str">
        <f ca="1">IFERROR(__xludf.DUMMYFUNCTION("GOOGLETRANSLATE(C1889,""es"",""en"")"),"#VALUE!")</f>
        <v>#VALUE!</v>
      </c>
    </row>
    <row r="1890" spans="1:5" ht="13.2" x14ac:dyDescent="0.25">
      <c r="A1890" t="s">
        <v>3787</v>
      </c>
      <c r="B1890" t="s">
        <v>3788</v>
      </c>
      <c r="C1890" t="s">
        <v>3789</v>
      </c>
      <c r="D1890" t="str">
        <f ca="1">IFERROR(__xludf.DUMMYFUNCTION("GOOGLETRANSLATE(B1890,""es"",""en"")"),"Wobble")</f>
        <v>Wobble</v>
      </c>
      <c r="E1890" t="str">
        <f ca="1">IFERROR(__xludf.DUMMYFUNCTION("GOOGLETRANSLATE(C1890,""es"",""en"")"),"Balance ,,,,")</f>
        <v>Balance ,,,,</v>
      </c>
    </row>
    <row r="1891" spans="1:5" ht="13.2" x14ac:dyDescent="0.25">
      <c r="A1891" t="s">
        <v>3790</v>
      </c>
      <c r="B1891" t="s">
        <v>3791</v>
      </c>
      <c r="C1891" t="s">
        <v>3792</v>
      </c>
      <c r="D1891" t="str">
        <f ca="1">IFERROR(__xludf.DUMMYFUNCTION("GOOGLETRANSLATE(B1891,""es"",""en"")"),"Far")</f>
        <v>Far</v>
      </c>
      <c r="E1891" t="str">
        <f ca="1">IFERROR(__xludf.DUMMYFUNCTION("GOOGLETRANSLATE(C1891,""es"",""en"")"),"Distant, remote ,,,")</f>
        <v>Distant, remote ,,,</v>
      </c>
    </row>
    <row r="1892" spans="1:5" ht="13.2" x14ac:dyDescent="0.25">
      <c r="A1892" t="s">
        <v>3793</v>
      </c>
      <c r="B1892" t="s">
        <v>3774</v>
      </c>
      <c r="D1892" t="str">
        <f ca="1">IFERROR(__xludf.DUMMYFUNCTION("GOOGLETRANSLATE(B1892,""es"",""en"")"),"Blood")</f>
        <v>Blood</v>
      </c>
      <c r="E1892" t="str">
        <f ca="1">IFERROR(__xludf.DUMMYFUNCTION("GOOGLETRANSLATE(C1892,""es"",""en"")"),"#VALUE!")</f>
        <v>#VALUE!</v>
      </c>
    </row>
    <row r="1893" spans="1:5" ht="13.2" x14ac:dyDescent="0.25">
      <c r="A1893" t="s">
        <v>3794</v>
      </c>
      <c r="B1893" t="s">
        <v>3791</v>
      </c>
      <c r="C1893" t="s">
        <v>3792</v>
      </c>
      <c r="D1893" t="str">
        <f ca="1">IFERROR(__xludf.DUMMYFUNCTION("GOOGLETRANSLATE(B1893,""es"",""en"")"),"Far")</f>
        <v>Far</v>
      </c>
      <c r="E1893" t="str">
        <f ca="1">IFERROR(__xludf.DUMMYFUNCTION("GOOGLETRANSLATE(C1893,""es"",""en"")"),"Distant, remote ,,,")</f>
        <v>Distant, remote ,,,</v>
      </c>
    </row>
    <row r="1894" spans="1:5" ht="13.2" x14ac:dyDescent="0.25">
      <c r="A1894" t="s">
        <v>3795</v>
      </c>
      <c r="B1894" t="s">
        <v>3791</v>
      </c>
      <c r="C1894" t="s">
        <v>3792</v>
      </c>
      <c r="D1894" t="str">
        <f ca="1">IFERROR(__xludf.DUMMYFUNCTION("GOOGLETRANSLATE(B1894,""es"",""en"")"),"Far")</f>
        <v>Far</v>
      </c>
      <c r="E1894" t="str">
        <f ca="1">IFERROR(__xludf.DUMMYFUNCTION("GOOGLETRANSLATE(C1894,""es"",""en"")"),"Distant, remote ,,,")</f>
        <v>Distant, remote ,,,</v>
      </c>
    </row>
    <row r="1895" spans="1:5" ht="13.2" x14ac:dyDescent="0.25">
      <c r="A1895" t="s">
        <v>2834</v>
      </c>
      <c r="B1895" t="s">
        <v>2831</v>
      </c>
      <c r="C1895" t="s">
        <v>2832</v>
      </c>
      <c r="D1895" t="s">
        <v>3796</v>
      </c>
      <c r="E1895" t="str">
        <f ca="1">IFERROR(__xludf.DUMMYFUNCTION("GOOGLETRANSLATE(C1895,""es"",""en"")"),"Banner ,,,,")</f>
        <v>Banner ,,,,</v>
      </c>
    </row>
    <row r="1896" spans="1:5" ht="13.2" x14ac:dyDescent="0.25">
      <c r="A1896" t="s">
        <v>2830</v>
      </c>
      <c r="B1896" t="s">
        <v>2831</v>
      </c>
      <c r="C1896" t="s">
        <v>2832</v>
      </c>
      <c r="D1896" t="s">
        <v>3796</v>
      </c>
      <c r="E1896" t="str">
        <f ca="1">IFERROR(__xludf.DUMMYFUNCTION("GOOGLETRANSLATE(C1896,""es"",""en"")"),"Banner ,,,,")</f>
        <v>Banner ,,,,</v>
      </c>
    </row>
    <row r="1897" spans="1:5" ht="13.2" x14ac:dyDescent="0.25">
      <c r="A1897" t="s">
        <v>2833</v>
      </c>
      <c r="B1897" t="s">
        <v>2831</v>
      </c>
      <c r="C1897" t="s">
        <v>2832</v>
      </c>
      <c r="D1897" t="s">
        <v>3796</v>
      </c>
      <c r="E1897" t="str">
        <f ca="1">IFERROR(__xludf.DUMMYFUNCTION("GOOGLETRANSLATE(C1897,""es"",""en"")"),"Banner ,,,,")</f>
        <v>Banner ,,,,</v>
      </c>
    </row>
    <row r="1898" spans="1:5" ht="13.2" x14ac:dyDescent="0.25">
      <c r="A1898" t="s">
        <v>3321</v>
      </c>
      <c r="B1898" t="s">
        <v>1384</v>
      </c>
      <c r="C1898" t="s">
        <v>1385</v>
      </c>
      <c r="D1898" t="str">
        <f ca="1">IFERROR(__xludf.DUMMYFUNCTION("GOOGLETRANSLATE(B1898,""es"",""en"")"),"Penis")</f>
        <v>Penis</v>
      </c>
      <c r="E1898" t="s">
        <v>3797</v>
      </c>
    </row>
    <row r="1899" spans="1:5" ht="13.2" x14ac:dyDescent="0.25">
      <c r="A1899" t="s">
        <v>1383</v>
      </c>
      <c r="B1899" t="s">
        <v>1384</v>
      </c>
      <c r="C1899" t="s">
        <v>1385</v>
      </c>
      <c r="D1899" t="str">
        <f ca="1">IFERROR(__xludf.DUMMYFUNCTION("GOOGLETRANSLATE(B1899,""es"",""en"")"),"Penis")</f>
        <v>Penis</v>
      </c>
      <c r="E1899" t="s">
        <v>3797</v>
      </c>
    </row>
    <row r="1900" spans="1:5" ht="13.2" x14ac:dyDescent="0.25">
      <c r="A1900" t="s">
        <v>1401</v>
      </c>
      <c r="B1900" t="s">
        <v>1384</v>
      </c>
      <c r="C1900" t="s">
        <v>1385</v>
      </c>
      <c r="D1900" t="str">
        <f ca="1">IFERROR(__xludf.DUMMYFUNCTION("GOOGLETRANSLATE(B1900,""es"",""en"")"),"Penis")</f>
        <v>Penis</v>
      </c>
      <c r="E1900" t="s">
        <v>3797</v>
      </c>
    </row>
    <row r="1901" spans="1:5" ht="13.2" x14ac:dyDescent="0.25">
      <c r="A1901" t="s">
        <v>3321</v>
      </c>
      <c r="B1901" t="s">
        <v>3798</v>
      </c>
      <c r="C1901" t="s">
        <v>3799</v>
      </c>
      <c r="D1901" t="s">
        <v>3800</v>
      </c>
      <c r="E1901" t="str">
        <f ca="1">IFERROR(__xludf.DUMMYFUNCTION("GOOGLETRANSLATE(C1901,""es"",""en"")"),"Another day, , , ,")</f>
        <v>Another day, , , ,</v>
      </c>
    </row>
    <row r="1902" spans="1:5" ht="13.2" x14ac:dyDescent="0.25">
      <c r="A1902" t="s">
        <v>3801</v>
      </c>
      <c r="B1902" t="s">
        <v>3802</v>
      </c>
      <c r="D1902" t="str">
        <f ca="1">IFERROR(__xludf.DUMMYFUNCTION("GOOGLETRANSLATE(B1902,""es"",""en"")"),"Earwig")</f>
        <v>Earwig</v>
      </c>
      <c r="E1902" t="str">
        <f ca="1">IFERROR(__xludf.DUMMYFUNCTION("GOOGLETRANSLATE(C1902,""es"",""en"")"),"#VALUE!")</f>
        <v>#VALUE!</v>
      </c>
    </row>
    <row r="1903" spans="1:5" ht="13.2" x14ac:dyDescent="0.25">
      <c r="A1903" t="s">
        <v>3803</v>
      </c>
      <c r="B1903" t="s">
        <v>3804</v>
      </c>
      <c r="D1903" t="str">
        <f ca="1">IFERROR(__xludf.DUMMYFUNCTION("GOOGLETRANSLATE(B1903,""es"",""en"")"),"Come to")</f>
        <v>Come to</v>
      </c>
      <c r="E1903" t="str">
        <f ca="1">IFERROR(__xludf.DUMMYFUNCTION("GOOGLETRANSLATE(C1903,""es"",""en"")"),"#VALUE!")</f>
        <v>#VALUE!</v>
      </c>
    </row>
    <row r="1904" spans="1:5" ht="13.2" x14ac:dyDescent="0.25">
      <c r="A1904" t="s">
        <v>3805</v>
      </c>
      <c r="B1904" t="s">
        <v>3806</v>
      </c>
      <c r="C1904" t="s">
        <v>3807</v>
      </c>
      <c r="D1904" t="str">
        <f ca="1">IFERROR(__xludf.DUMMYFUNCTION("GOOGLETRANSLATE(B1904,""es"",""en"")"),"Daily")</f>
        <v>Daily</v>
      </c>
      <c r="E1904" t="str">
        <f ca="1">IFERROR(__xludf.DUMMYFUNCTION("GOOGLETRANSLATE(C1904,""es"",""en"")"),"Daily, , , ,")</f>
        <v>Daily, , , ,</v>
      </c>
    </row>
    <row r="1905" spans="1:5" ht="13.2" x14ac:dyDescent="0.25">
      <c r="A1905" t="s">
        <v>3801</v>
      </c>
      <c r="B1905" t="s">
        <v>3802</v>
      </c>
      <c r="D1905" t="str">
        <f ca="1">IFERROR(__xludf.DUMMYFUNCTION("GOOGLETRANSLATE(B1905,""es"",""en"")"),"Earwig")</f>
        <v>Earwig</v>
      </c>
      <c r="E1905" t="str">
        <f ca="1">IFERROR(__xludf.DUMMYFUNCTION("GOOGLETRANSLATE(C1905,""es"",""en"")"),"#VALUE!")</f>
        <v>#VALUE!</v>
      </c>
    </row>
    <row r="1906" spans="1:5" ht="13.2" x14ac:dyDescent="0.25">
      <c r="A1906" t="s">
        <v>3808</v>
      </c>
      <c r="B1906" t="s">
        <v>3809</v>
      </c>
      <c r="C1906" t="s">
        <v>3810</v>
      </c>
      <c r="D1906" t="str">
        <f ca="1">IFERROR(__xludf.DUMMYFUNCTION("GOOGLETRANSLATE(B1906,""es"",""en"")"),"The next day")</f>
        <v>The next day</v>
      </c>
      <c r="E1906" t="str">
        <f ca="1">IFERROR(__xludf.DUMMYFUNCTION("GOOGLETRANSLATE(C1906,""es"",""en"")"),"The next day, , , ,")</f>
        <v>The next day, , , ,</v>
      </c>
    </row>
    <row r="1907" spans="1:5" ht="13.2" x14ac:dyDescent="0.25">
      <c r="A1907" t="s">
        <v>3811</v>
      </c>
      <c r="B1907" t="s">
        <v>3812</v>
      </c>
      <c r="C1907" t="s">
        <v>3810</v>
      </c>
      <c r="D1907" t="str">
        <f ca="1">IFERROR(__xludf.DUMMYFUNCTION("GOOGLETRANSLATE(B1907,""es"",""en"")"),"The next day")</f>
        <v>The next day</v>
      </c>
      <c r="E1907" t="str">
        <f ca="1">IFERROR(__xludf.DUMMYFUNCTION("GOOGLETRANSLATE(C1907,""es"",""en"")"),"The next day, , , ,")</f>
        <v>The next day, , , ,</v>
      </c>
    </row>
    <row r="1908" spans="1:5" ht="13.2" x14ac:dyDescent="0.25">
      <c r="A1908" t="s">
        <v>3813</v>
      </c>
      <c r="B1908" t="s">
        <v>3814</v>
      </c>
      <c r="D1908" t="str">
        <f ca="1">IFERROR(__xludf.DUMMYFUNCTION("GOOGLETRANSLATE(B1908,""es"",""en"")"),"See you tomorrow")</f>
        <v>See you tomorrow</v>
      </c>
      <c r="E1908" t="str">
        <f ca="1">IFERROR(__xludf.DUMMYFUNCTION("GOOGLETRANSLATE(C1908,""es"",""en"")"),"#VALUE!")</f>
        <v>#VALUE!</v>
      </c>
    </row>
    <row r="1909" spans="1:5" ht="13.2" x14ac:dyDescent="0.25">
      <c r="A1909" t="s">
        <v>3815</v>
      </c>
      <c r="B1909" t="s">
        <v>3814</v>
      </c>
      <c r="D1909" t="str">
        <f ca="1">IFERROR(__xludf.DUMMYFUNCTION("GOOGLETRANSLATE(B1909,""es"",""en"")"),"See you tomorrow")</f>
        <v>See you tomorrow</v>
      </c>
      <c r="E1909" t="str">
        <f ca="1">IFERROR(__xludf.DUMMYFUNCTION("GOOGLETRANSLATE(C1909,""es"",""en"")"),"#VALUE!")</f>
        <v>#VALUE!</v>
      </c>
    </row>
    <row r="1910" spans="1:5" ht="13.2" x14ac:dyDescent="0.25">
      <c r="A1910" t="s">
        <v>3816</v>
      </c>
      <c r="B1910" t="s">
        <v>3817</v>
      </c>
      <c r="C1910" t="s">
        <v>3818</v>
      </c>
      <c r="D1910" t="str">
        <f ca="1">IFERROR(__xludf.DUMMYFUNCTION("GOOGLETRANSLATE(B1910,""es"",""en"")"),"How far")</f>
        <v>How far</v>
      </c>
      <c r="E1910" t="str">
        <f ca="1">IFERROR(__xludf.DUMMYFUNCTION("GOOGLETRANSLATE(C1910,""es"",""en"")")," Where, , , ,")</f>
        <v xml:space="preserve"> Where, , , ,</v>
      </c>
    </row>
    <row r="1911" spans="1:5" ht="13.2" x14ac:dyDescent="0.25">
      <c r="A1911" t="s">
        <v>3819</v>
      </c>
      <c r="B1911" t="s">
        <v>3817</v>
      </c>
      <c r="C1911" t="s">
        <v>3820</v>
      </c>
      <c r="D1911" t="str">
        <f ca="1">IFERROR(__xludf.DUMMYFUNCTION("GOOGLETRANSLATE(B1911,""es"",""en"")"),"How far")</f>
        <v>How far</v>
      </c>
      <c r="E1911" t="str">
        <f ca="1">IFERROR(__xludf.DUMMYFUNCTION("GOOGLETRANSLATE(C1911,""es"",""en"")")," Where, , , ,")</f>
        <v xml:space="preserve"> Where, , , ,</v>
      </c>
    </row>
    <row r="1912" spans="1:5" ht="13.2" x14ac:dyDescent="0.25">
      <c r="A1912" t="s">
        <v>3821</v>
      </c>
      <c r="B1912" t="s">
        <v>3822</v>
      </c>
      <c r="C1912" t="s">
        <v>3823</v>
      </c>
      <c r="D1912" t="s">
        <v>3822</v>
      </c>
      <c r="E1912" t="str">
        <f ca="1">IFERROR(__xludf.DUMMYFUNCTION("GOOGLETRANSLATE(C1912,""es"",""en"")"),"Chupamiel ,,,,")</f>
        <v>Chupamiel ,,,,</v>
      </c>
    </row>
    <row r="1913" spans="1:5" ht="13.2" x14ac:dyDescent="0.25">
      <c r="A1913" t="s">
        <v>3824</v>
      </c>
      <c r="B1913" t="s">
        <v>3825</v>
      </c>
      <c r="C1913" t="s">
        <v>3826</v>
      </c>
      <c r="D1913" t="str">
        <f ca="1">IFERROR(__xludf.DUMMYFUNCTION("GOOGLETRANSLATE(B1913,""es"",""en"")"),"Aggravate")</f>
        <v>Aggravate</v>
      </c>
      <c r="E1913" t="str">
        <f ca="1">IFERROR(__xludf.DUMMYFUNCTION("GOOGLETRANSLATE(C1913,""es"",""en"")"),"Worsen, deteriorate ,,,,")</f>
        <v>Worsen, deteriorate ,,,,</v>
      </c>
    </row>
    <row r="1914" spans="1:5" ht="13.2" x14ac:dyDescent="0.25">
      <c r="A1914" t="s">
        <v>3827</v>
      </c>
      <c r="B1914" t="s">
        <v>3828</v>
      </c>
      <c r="D1914" t="str">
        <f ca="1">IFERROR(__xludf.DUMMYFUNCTION("GOOGLETRANSLATE(B1914,""es"",""en"")"),"Artery")</f>
        <v>Artery</v>
      </c>
      <c r="E1914" t="str">
        <f ca="1">IFERROR(__xludf.DUMMYFUNCTION("GOOGLETRANSLATE(C1914,""es"",""en"")"),"#VALUE!")</f>
        <v>#VALUE!</v>
      </c>
    </row>
    <row r="1915" spans="1:5" ht="13.2" x14ac:dyDescent="0.25">
      <c r="A1915" t="s">
        <v>3829</v>
      </c>
      <c r="B1915" t="s">
        <v>3825</v>
      </c>
      <c r="C1915" t="s">
        <v>3826</v>
      </c>
      <c r="D1915" t="str">
        <f ca="1">IFERROR(__xludf.DUMMYFUNCTION("GOOGLETRANSLATE(B1915,""es"",""en"")"),"Aggravate")</f>
        <v>Aggravate</v>
      </c>
      <c r="E1915" t="str">
        <f ca="1">IFERROR(__xludf.DUMMYFUNCTION("GOOGLETRANSLATE(C1915,""es"",""en"")"),"Worsen, deteriorate ,,,,")</f>
        <v>Worsen, deteriorate ,,,,</v>
      </c>
    </row>
    <row r="1916" spans="1:5" ht="13.2" x14ac:dyDescent="0.25">
      <c r="A1916" t="s">
        <v>3830</v>
      </c>
      <c r="B1916" t="s">
        <v>3831</v>
      </c>
      <c r="C1916" t="s">
        <v>3832</v>
      </c>
      <c r="D1916" t="str">
        <f ca="1">IFERROR(__xludf.DUMMYFUNCTION("GOOGLETRANSLATE(B1916,""es"",""en"")"),"Accompany")</f>
        <v>Accompany</v>
      </c>
      <c r="E1916" t="str">
        <f ca="1">IFERROR(__xludf.DUMMYFUNCTION("GOOGLETRANSLATE(C1916,""es"",""en"")"),"Guide, companion ,,,")</f>
        <v>Guide, companion ,,,</v>
      </c>
    </row>
    <row r="1917" spans="1:5" ht="13.2" x14ac:dyDescent="0.25">
      <c r="A1917" t="s">
        <v>3833</v>
      </c>
      <c r="B1917" t="s">
        <v>3834</v>
      </c>
      <c r="C1917" t="s">
        <v>3835</v>
      </c>
      <c r="D1917" t="str">
        <f ca="1">IFERROR(__xludf.DUMMYFUNCTION("GOOGLETRANSLATE(B1917,""es"",""en"")"),"Upon return")</f>
        <v>Upon return</v>
      </c>
      <c r="E1917" t="str">
        <f ca="1">IFERROR(__xludf.DUMMYFUNCTION("GOOGLETRANSLATE(C1917,""es"",""en"")"),"On the way back ,,,,")</f>
        <v>On the way back ,,,,</v>
      </c>
    </row>
    <row r="1918" spans="1:5" ht="13.2" x14ac:dyDescent="0.25">
      <c r="A1918" t="s">
        <v>3836</v>
      </c>
      <c r="B1918" t="s">
        <v>3837</v>
      </c>
      <c r="D1918" t="str">
        <f ca="1">IFERROR(__xludf.DUMMYFUNCTION("GOOGLETRANSLATE(B1918,""es"",""en"")"),"December")</f>
        <v>December</v>
      </c>
      <c r="E1918" t="str">
        <f ca="1">IFERROR(__xludf.DUMMYFUNCTION("GOOGLETRANSLATE(C1918,""es"",""en"")"),"#VALUE!")</f>
        <v>#VALUE!</v>
      </c>
    </row>
    <row r="1919" spans="1:5" ht="13.2" x14ac:dyDescent="0.25">
      <c r="A1919" t="s">
        <v>3838</v>
      </c>
      <c r="B1919" t="s">
        <v>3837</v>
      </c>
      <c r="D1919" t="str">
        <f ca="1">IFERROR(__xludf.DUMMYFUNCTION("GOOGLETRANSLATE(B1919,""es"",""en"")"),"December")</f>
        <v>December</v>
      </c>
      <c r="E1919" t="str">
        <f ca="1">IFERROR(__xludf.DUMMYFUNCTION("GOOGLETRANSLATE(C1919,""es"",""en"")"),"#VALUE!")</f>
        <v>#VALUE!</v>
      </c>
    </row>
    <row r="1920" spans="1:5" ht="13.2" x14ac:dyDescent="0.25">
      <c r="A1920" t="s">
        <v>3839</v>
      </c>
      <c r="B1920" t="s">
        <v>3840</v>
      </c>
      <c r="C1920" t="s">
        <v>3841</v>
      </c>
      <c r="D1920" t="str">
        <f ca="1">IFERROR(__xludf.DUMMYFUNCTION("GOOGLETRANSLATE(B1920,""es"",""en"")"),"Reach")</f>
        <v>Reach</v>
      </c>
      <c r="E1920" t="str">
        <f ca="1">IFERROR(__xludf.DUMMYFUNCTION("GOOGLETRANSLATE(C1920,""es"",""en"")"),"Control, hold, endure,")</f>
        <v>Control, hold, endure,</v>
      </c>
    </row>
    <row r="1921" spans="1:5" ht="13.2" x14ac:dyDescent="0.25">
      <c r="A1921" t="s">
        <v>3842</v>
      </c>
      <c r="B1921" t="s">
        <v>3843</v>
      </c>
      <c r="C1921" t="s">
        <v>3844</v>
      </c>
      <c r="D1921" t="str">
        <f ca="1">IFERROR(__xludf.DUMMYFUNCTION("GOOGLETRANSLATE(B1921,""es"",""en"")"),"Burgado")</f>
        <v>Burgado</v>
      </c>
      <c r="E1921" t="str">
        <f ca="1">IFERROR(__xludf.DUMMYFUNCTION("GOOGLETRANSLATE(C1921,""es"",""en"")"),"Snail")</f>
        <v>Snail</v>
      </c>
    </row>
    <row r="1922" spans="1:5" ht="13.2" x14ac:dyDescent="0.25">
      <c r="A1922" t="s">
        <v>3845</v>
      </c>
      <c r="B1922" t="s">
        <v>3843</v>
      </c>
      <c r="C1922" t="s">
        <v>3844</v>
      </c>
      <c r="D1922" t="str">
        <f ca="1">IFERROR(__xludf.DUMMYFUNCTION("GOOGLETRANSLATE(B1922,""es"",""en"")"),"Burgado")</f>
        <v>Burgado</v>
      </c>
      <c r="E1922" t="str">
        <f ca="1">IFERROR(__xludf.DUMMYFUNCTION("GOOGLETRANSLATE(C1922,""es"",""en"")"),"Snail")</f>
        <v>Snail</v>
      </c>
    </row>
    <row r="1923" spans="1:5" ht="13.2" x14ac:dyDescent="0.25">
      <c r="A1923" t="s">
        <v>3846</v>
      </c>
      <c r="B1923" t="s">
        <v>3843</v>
      </c>
      <c r="C1923" t="s">
        <v>3844</v>
      </c>
      <c r="D1923" t="str">
        <f ca="1">IFERROR(__xludf.DUMMYFUNCTION("GOOGLETRANSLATE(B1923,""es"",""en"")"),"Burgado")</f>
        <v>Burgado</v>
      </c>
      <c r="E1923" t="str">
        <f ca="1">IFERROR(__xludf.DUMMYFUNCTION("GOOGLETRANSLATE(C1923,""es"",""en"")"),"Snail")</f>
        <v>Snail</v>
      </c>
    </row>
    <row r="1924" spans="1:5" ht="13.2" x14ac:dyDescent="0.25">
      <c r="A1924" t="s">
        <v>3847</v>
      </c>
      <c r="B1924" t="s">
        <v>1966</v>
      </c>
      <c r="C1924" t="s">
        <v>3848</v>
      </c>
      <c r="D1924" t="str">
        <f ca="1">IFERROR(__xludf.DUMMYFUNCTION("GOOGLETRANSLATE(B1924,""es"",""en"")"),"Push")</f>
        <v>Push</v>
      </c>
      <c r="E1924" t="str">
        <f ca="1">IFERROR(__xludf.DUMMYFUNCTION("GOOGLETRANSLATE(C1924,""es"",""en"")"),"Support, upper stick of a candle ,,,,")</f>
        <v>Support, upper stick of a candle ,,,,</v>
      </c>
    </row>
    <row r="1925" spans="1:5" ht="13.2" x14ac:dyDescent="0.25">
      <c r="A1925" t="s">
        <v>3849</v>
      </c>
      <c r="B1925" t="s">
        <v>3828</v>
      </c>
      <c r="D1925" t="str">
        <f ca="1">IFERROR(__xludf.DUMMYFUNCTION("GOOGLETRANSLATE(B1925,""es"",""en"")"),"Artery")</f>
        <v>Artery</v>
      </c>
      <c r="E1925" t="str">
        <f ca="1">IFERROR(__xludf.DUMMYFUNCTION("GOOGLETRANSLATE(C1925,""es"",""en"")"),"#VALUE!")</f>
        <v>#VALUE!</v>
      </c>
    </row>
    <row r="1926" spans="1:5" ht="13.2" x14ac:dyDescent="0.25">
      <c r="A1926" t="s">
        <v>3850</v>
      </c>
      <c r="B1926" t="s">
        <v>3851</v>
      </c>
      <c r="C1926" t="s">
        <v>3852</v>
      </c>
      <c r="D1926" t="str">
        <f ca="1">IFERROR(__xludf.DUMMYFUNCTION("GOOGLETRANSLATE(B1926,""es"",""en"")"),"Send")</f>
        <v>Send</v>
      </c>
      <c r="E1926" t="str">
        <f ca="1">IFERROR(__xludf.DUMMYFUNCTION("GOOGLETRANSLATE(C1926,""es"",""en"")"),"Send, refer ,,,")</f>
        <v>Send, refer ,,,</v>
      </c>
    </row>
    <row r="1927" spans="1:5" ht="13.2" x14ac:dyDescent="0.25">
      <c r="A1927" t="s">
        <v>3853</v>
      </c>
      <c r="B1927" t="s">
        <v>3854</v>
      </c>
      <c r="C1927" t="s">
        <v>3855</v>
      </c>
      <c r="D1927" t="str">
        <f ca="1">IFERROR(__xludf.DUMMYFUNCTION("GOOGLETRANSLATE(B1927,""es"",""en"")"),"Witness")</f>
        <v>Witness</v>
      </c>
      <c r="E1927" t="str">
        <f ca="1">IFERROR(__xludf.DUMMYFUNCTION("GOOGLETRANSLATE(C1927,""es"",""en"")"),"Interpret, , , ,")</f>
        <v>Interpret, , , ,</v>
      </c>
    </row>
    <row r="1928" spans="1:5" ht="13.2" x14ac:dyDescent="0.25">
      <c r="A1928" t="s">
        <v>3856</v>
      </c>
      <c r="B1928" t="s">
        <v>3857</v>
      </c>
      <c r="C1928" t="s">
        <v>3858</v>
      </c>
      <c r="D1928" t="str">
        <f ca="1">IFERROR(__xludf.DUMMYFUNCTION("GOOGLETRANSLATE(B1928,""es"",""en"")"),"Mock")</f>
        <v>Mock</v>
      </c>
      <c r="E1928" t="str">
        <f ca="1">IFERROR(__xludf.DUMMYFUNCTION("GOOGLETRANSLATE(C1928,""es"",""en"")"),"Recimar ,,,,")</f>
        <v>Recimar ,,,,</v>
      </c>
    </row>
    <row r="1929" spans="1:5" ht="13.2" x14ac:dyDescent="0.25">
      <c r="A1929" t="s">
        <v>3859</v>
      </c>
      <c r="B1929" t="s">
        <v>3860</v>
      </c>
      <c r="D1929" t="str">
        <f ca="1">IFERROR(__xludf.DUMMYFUNCTION("GOOGLETRANSLATE(B1929,""es"",""en"")"),"Pine tree")</f>
        <v>Pine tree</v>
      </c>
      <c r="E1929" t="str">
        <f ca="1">IFERROR(__xludf.DUMMYFUNCTION("GOOGLETRANSLATE(C1929,""es"",""en"")"),"#VALUE!")</f>
        <v>#VALUE!</v>
      </c>
    </row>
    <row r="1930" spans="1:5" ht="13.2" x14ac:dyDescent="0.25">
      <c r="A1930" t="s">
        <v>3861</v>
      </c>
      <c r="B1930" t="s">
        <v>3860</v>
      </c>
      <c r="D1930" t="str">
        <f ca="1">IFERROR(__xludf.DUMMYFUNCTION("GOOGLETRANSLATE(B1930,""es"",""en"")"),"Pine tree")</f>
        <v>Pine tree</v>
      </c>
      <c r="E1930" t="str">
        <f ca="1">IFERROR(__xludf.DUMMYFUNCTION("GOOGLETRANSLATE(C1930,""es"",""en"")"),"#VALUE!")</f>
        <v>#VALUE!</v>
      </c>
    </row>
    <row r="1931" spans="1:5" ht="13.2" x14ac:dyDescent="0.25">
      <c r="A1931" t="s">
        <v>3862</v>
      </c>
      <c r="B1931" t="s">
        <v>3863</v>
      </c>
      <c r="D1931" t="str">
        <f ca="1">IFERROR(__xludf.DUMMYFUNCTION("GOOGLETRANSLATE(B1931,""es"",""en"")"),"Shrimp")</f>
        <v>Shrimp</v>
      </c>
      <c r="E1931" t="str">
        <f ca="1">IFERROR(__xludf.DUMMYFUNCTION("GOOGLETRANSLATE(C1931,""es"",""en"")"),"#VALUE!")</f>
        <v>#VALUE!</v>
      </c>
    </row>
    <row r="1932" spans="1:5" ht="13.2" x14ac:dyDescent="0.25">
      <c r="A1932" t="s">
        <v>3864</v>
      </c>
      <c r="B1932" t="s">
        <v>3865</v>
      </c>
      <c r="D1932" t="str">
        <f ca="1">IFERROR(__xludf.DUMMYFUNCTION("GOOGLETRANSLATE(B1932,""es"",""en"")"),"Shrimp")</f>
        <v>Shrimp</v>
      </c>
      <c r="E1932" t="str">
        <f ca="1">IFERROR(__xludf.DUMMYFUNCTION("GOOGLETRANSLATE(C1932,""es"",""en"")"),"#VALUE!")</f>
        <v>#VALUE!</v>
      </c>
    </row>
    <row r="1933" spans="1:5" ht="13.2" x14ac:dyDescent="0.25">
      <c r="A1933" t="s">
        <v>3866</v>
      </c>
      <c r="B1933" t="s">
        <v>3867</v>
      </c>
      <c r="C1933" t="s">
        <v>3868</v>
      </c>
      <c r="D1933" t="str">
        <f ca="1">IFERROR(__xludf.DUMMYFUNCTION("GOOGLETRANSLATE(B1933,""es"",""en"")"),"Snoque")</f>
        <v>Snoque</v>
      </c>
      <c r="E1933" t="str">
        <f ca="1">IFERROR(__xludf.DUMMYFUNCTION("GOOGLETRANSLATE(C1933,""es"",""en"")"),"Slide, balance, swing,")</f>
        <v>Slide, balance, swing,</v>
      </c>
    </row>
    <row r="1934" spans="1:5" ht="13.2" x14ac:dyDescent="0.25">
      <c r="A1934" t="s">
        <v>3869</v>
      </c>
      <c r="B1934" t="s">
        <v>3752</v>
      </c>
      <c r="C1934" t="s">
        <v>3870</v>
      </c>
      <c r="D1934" t="str">
        <f ca="1">IFERROR(__xludf.DUMMYFUNCTION("GOOGLETRANSLATE(B1934,""es"",""en"")"),"It doesn't matter")</f>
        <v>It doesn't matter</v>
      </c>
      <c r="E1934" t="str">
        <f ca="1">IFERROR(__xludf.DUMMYFUNCTION("GOOGLETRANSLATE(C1934,""es"",""en"")"),"Don't worry, , , ,")</f>
        <v>Don't worry, , , ,</v>
      </c>
    </row>
    <row r="1935" spans="1:5" ht="13.2" x14ac:dyDescent="0.25">
      <c r="A1935" t="s">
        <v>3871</v>
      </c>
      <c r="B1935" t="s">
        <v>3752</v>
      </c>
      <c r="C1935" t="s">
        <v>3870</v>
      </c>
      <c r="D1935" t="str">
        <f ca="1">IFERROR(__xludf.DUMMYFUNCTION("GOOGLETRANSLATE(B1935,""es"",""en"")"),"It doesn't matter")</f>
        <v>It doesn't matter</v>
      </c>
      <c r="E1935" t="str">
        <f ca="1">IFERROR(__xludf.DUMMYFUNCTION("GOOGLETRANSLATE(C1935,""es"",""en"")"),"Don't worry, , , ,")</f>
        <v>Don't worry, , , ,</v>
      </c>
    </row>
    <row r="1936" spans="1:5" ht="13.2" x14ac:dyDescent="0.25">
      <c r="A1936" t="s">
        <v>3872</v>
      </c>
      <c r="B1936" t="s">
        <v>3828</v>
      </c>
      <c r="D1936" t="str">
        <f ca="1">IFERROR(__xludf.DUMMYFUNCTION("GOOGLETRANSLATE(B1936,""es"",""en"")"),"Artery")</f>
        <v>Artery</v>
      </c>
      <c r="E1936" t="str">
        <f ca="1">IFERROR(__xludf.DUMMYFUNCTION("GOOGLETRANSLATE(C1936,""es"",""en"")"),"#VALUE!")</f>
        <v>#VALUE!</v>
      </c>
    </row>
    <row r="1937" spans="1:5" ht="13.2" x14ac:dyDescent="0.25">
      <c r="A1937" t="s">
        <v>3873</v>
      </c>
      <c r="B1937" t="s">
        <v>3874</v>
      </c>
      <c r="C1937" t="s">
        <v>3875</v>
      </c>
      <c r="D1937" t="str">
        <f ca="1">IFERROR(__xludf.DUMMYFUNCTION("GOOGLETRANSLATE(B1937,""es"",""en"")"),"Easy peasy")</f>
        <v>Easy peasy</v>
      </c>
      <c r="E1937" t="str">
        <f ca="1">IFERROR(__xludf.DUMMYFUNCTION("GOOGLETRANSLATE(C1937,""es"",""en"")"),"Very easy, , , ,")</f>
        <v>Very easy, , , ,</v>
      </c>
    </row>
    <row r="1938" spans="1:5" ht="13.2" x14ac:dyDescent="0.25">
      <c r="A1938" t="s">
        <v>3876</v>
      </c>
      <c r="B1938" t="s">
        <v>3874</v>
      </c>
      <c r="C1938" t="s">
        <v>3875</v>
      </c>
      <c r="D1938" t="str">
        <f ca="1">IFERROR(__xludf.DUMMYFUNCTION("GOOGLETRANSLATE(B1938,""es"",""en"")"),"Easy peasy")</f>
        <v>Easy peasy</v>
      </c>
      <c r="E1938" t="str">
        <f ca="1">IFERROR(__xludf.DUMMYFUNCTION("GOOGLETRANSLATE(C1938,""es"",""en"")"),"Very easy, , , ,")</f>
        <v>Very easy, , , ,</v>
      </c>
    </row>
    <row r="1939" spans="1:5" ht="13.2" x14ac:dyDescent="0.25">
      <c r="A1939" t="s">
        <v>3877</v>
      </c>
      <c r="B1939" t="s">
        <v>3878</v>
      </c>
      <c r="D1939" t="str">
        <f ca="1">IFERROR(__xludf.DUMMYFUNCTION("GOOGLETRANSLATE(B1939,""es"",""en"")"),"Tù, you")</f>
        <v>Tù, you</v>
      </c>
      <c r="E1939" t="str">
        <f ca="1">IFERROR(__xludf.DUMMYFUNCTION("GOOGLETRANSLATE(C1939,""es"",""en"")"),"#VALUE!")</f>
        <v>#VALUE!</v>
      </c>
    </row>
    <row r="1940" spans="1:5" ht="13.2" x14ac:dyDescent="0.25">
      <c r="A1940" t="s">
        <v>3879</v>
      </c>
      <c r="B1940" t="s">
        <v>3880</v>
      </c>
      <c r="C1940" t="s">
        <v>3881</v>
      </c>
      <c r="D1940" t="str">
        <f ca="1">IFERROR(__xludf.DUMMYFUNCTION("GOOGLETRANSLATE(B1940,""es"",""en"")"),"Forehead")</f>
        <v>Forehead</v>
      </c>
      <c r="E1940" t="str">
        <f ca="1">IFERROR(__xludf.DUMMYFUNCTION("GOOGLETRANSLATE(C1940,""es"",""en"")"),"Horn ,,,,")</f>
        <v>Horn ,,,,</v>
      </c>
    </row>
    <row r="1941" spans="1:5" ht="13.2" x14ac:dyDescent="0.25">
      <c r="A1941" t="s">
        <v>3882</v>
      </c>
      <c r="B1941" t="s">
        <v>3883</v>
      </c>
      <c r="D1941" t="str">
        <f ca="1">IFERROR(__xludf.DUMMYFUNCTION("GOOGLETRANSLATE(B1941,""es"",""en"")"),"Eyebrow")</f>
        <v>Eyebrow</v>
      </c>
      <c r="E1941" t="str">
        <f ca="1">IFERROR(__xludf.DUMMYFUNCTION("GOOGLETRANSLATE(C1941,""es"",""en"")"),"#VALUE!")</f>
        <v>#VALUE!</v>
      </c>
    </row>
    <row r="1942" spans="1:5" ht="13.2" x14ac:dyDescent="0.25">
      <c r="A1942" t="s">
        <v>3884</v>
      </c>
      <c r="B1942" t="s">
        <v>3885</v>
      </c>
      <c r="D1942" t="str">
        <f ca="1">IFERROR(__xludf.DUMMYFUNCTION("GOOGLETRANSLATE(B1942,""es"",""en"")"),"You alone")</f>
        <v>You alone</v>
      </c>
      <c r="E1942" t="str">
        <f ca="1">IFERROR(__xludf.DUMMYFUNCTION("GOOGLETRANSLATE(C1942,""es"",""en"")"),"#VALUE!")</f>
        <v>#VALUE!</v>
      </c>
    </row>
    <row r="1943" spans="1:5" ht="13.2" x14ac:dyDescent="0.25">
      <c r="A1943" t="s">
        <v>3886</v>
      </c>
      <c r="B1943" t="s">
        <v>3887</v>
      </c>
      <c r="C1943" t="s">
        <v>3888</v>
      </c>
      <c r="D1943" t="str">
        <f ca="1">IFERROR(__xludf.DUMMYFUNCTION("GOOGLETRANSLATE(B1943,""es"",""en"")"),"stay")</f>
        <v>stay</v>
      </c>
      <c r="E1943" t="str">
        <f ca="1">IFERROR(__xludf.DUMMYFUNCTION("GOOGLETRANSLATE(C1943,""es"",""en"")"),"Stay behind, , , ,")</f>
        <v>Stay behind, , , ,</v>
      </c>
    </row>
    <row r="1944" spans="1:5" ht="13.2" x14ac:dyDescent="0.25">
      <c r="A1944" t="s">
        <v>3130</v>
      </c>
      <c r="B1944" t="s">
        <v>3124</v>
      </c>
      <c r="C1944" t="s">
        <v>3889</v>
      </c>
      <c r="D1944" t="str">
        <f ca="1">IFERROR(__xludf.DUMMYFUNCTION("GOOGLETRANSLATE(B1944,""es"",""en"")"),"Exaggerated")</f>
        <v>Exaggerated</v>
      </c>
      <c r="E1944" t="str">
        <f ca="1">IFERROR(__xludf.DUMMYFUNCTION("GOOGLETRANSLATE(C1944,""es"",""en"")"),"Excessive, serious ,,,,")</f>
        <v>Excessive, serious ,,,,</v>
      </c>
    </row>
    <row r="1945" spans="1:5" ht="13.2" x14ac:dyDescent="0.25">
      <c r="A1945" t="s">
        <v>3123</v>
      </c>
      <c r="B1945" t="s">
        <v>3124</v>
      </c>
      <c r="C1945" t="s">
        <v>3889</v>
      </c>
      <c r="D1945" t="str">
        <f ca="1">IFERROR(__xludf.DUMMYFUNCTION("GOOGLETRANSLATE(B1945,""es"",""en"")"),"Exaggerated")</f>
        <v>Exaggerated</v>
      </c>
      <c r="E1945" t="str">
        <f ca="1">IFERROR(__xludf.DUMMYFUNCTION("GOOGLETRANSLATE(C1945,""es"",""en"")"),"Excessive, serious ,,,,")</f>
        <v>Excessive, serious ,,,,</v>
      </c>
    </row>
    <row r="1946" spans="1:5" ht="13.2" x14ac:dyDescent="0.25">
      <c r="A1946" t="s">
        <v>3126</v>
      </c>
      <c r="B1946" t="s">
        <v>3124</v>
      </c>
      <c r="C1946" t="s">
        <v>3889</v>
      </c>
      <c r="D1946" t="str">
        <f ca="1">IFERROR(__xludf.DUMMYFUNCTION("GOOGLETRANSLATE(B1946,""es"",""en"")"),"Exaggerated")</f>
        <v>Exaggerated</v>
      </c>
      <c r="E1946" t="str">
        <f ca="1">IFERROR(__xludf.DUMMYFUNCTION("GOOGLETRANSLATE(C1946,""es"",""en"")"),"Excessive, serious ,,,,")</f>
        <v>Excessive, serious ,,,,</v>
      </c>
    </row>
    <row r="1947" spans="1:5" ht="13.2" x14ac:dyDescent="0.25">
      <c r="A1947" t="s">
        <v>3890</v>
      </c>
      <c r="B1947" t="s">
        <v>3891</v>
      </c>
      <c r="D1947" t="str">
        <f ca="1">IFERROR(__xludf.DUMMYFUNCTION("GOOGLETRANSLATE(B1947,""es"",""en"")"),"Want")</f>
        <v>Want</v>
      </c>
      <c r="E1947" t="str">
        <f ca="1">IFERROR(__xludf.DUMMYFUNCTION("GOOGLETRANSLATE(C1947,""es"",""en"")"),"#VALUE!")</f>
        <v>#VALUE!</v>
      </c>
    </row>
    <row r="1948" spans="1:5" ht="13.2" x14ac:dyDescent="0.25">
      <c r="A1948" t="s">
        <v>3128</v>
      </c>
      <c r="B1948" t="s">
        <v>3124</v>
      </c>
      <c r="C1948" t="s">
        <v>3889</v>
      </c>
      <c r="D1948" t="str">
        <f ca="1">IFERROR(__xludf.DUMMYFUNCTION("GOOGLETRANSLATE(B1948,""es"",""en"")"),"Exaggerated")</f>
        <v>Exaggerated</v>
      </c>
      <c r="E1948" t="str">
        <f ca="1">IFERROR(__xludf.DUMMYFUNCTION("GOOGLETRANSLATE(C1948,""es"",""en"")"),"Excessive, serious ,,,,")</f>
        <v>Excessive, serious ,,,,</v>
      </c>
    </row>
    <row r="1949" spans="1:5" ht="13.2" x14ac:dyDescent="0.25">
      <c r="A1949" t="s">
        <v>3129</v>
      </c>
      <c r="B1949" t="s">
        <v>3124</v>
      </c>
      <c r="C1949" t="s">
        <v>3889</v>
      </c>
      <c r="D1949" t="str">
        <f ca="1">IFERROR(__xludf.DUMMYFUNCTION("GOOGLETRANSLATE(B1949,""es"",""en"")"),"Exaggerated")</f>
        <v>Exaggerated</v>
      </c>
      <c r="E1949" t="str">
        <f ca="1">IFERROR(__xludf.DUMMYFUNCTION("GOOGLETRANSLATE(C1949,""es"",""en"")"),"Excessive, serious ,,,,")</f>
        <v>Excessive, serious ,,,,</v>
      </c>
    </row>
    <row r="1950" spans="1:5" ht="13.2" x14ac:dyDescent="0.25">
      <c r="A1950" t="s">
        <v>3129</v>
      </c>
      <c r="B1950" t="s">
        <v>3124</v>
      </c>
      <c r="C1950" t="s">
        <v>3889</v>
      </c>
      <c r="D1950" t="str">
        <f ca="1">IFERROR(__xludf.DUMMYFUNCTION("GOOGLETRANSLATE(B1950,""es"",""en"")"),"Exaggerated")</f>
        <v>Exaggerated</v>
      </c>
      <c r="E1950" t="str">
        <f ca="1">IFERROR(__xludf.DUMMYFUNCTION("GOOGLETRANSLATE(C1950,""es"",""en"")"),"Excessive, serious ,,,,")</f>
        <v>Excessive, serious ,,,,</v>
      </c>
    </row>
    <row r="1951" spans="1:5" ht="13.2" x14ac:dyDescent="0.25">
      <c r="A1951" t="s">
        <v>3410</v>
      </c>
      <c r="B1951" t="s">
        <v>3408</v>
      </c>
      <c r="C1951" t="s">
        <v>3892</v>
      </c>
      <c r="D1951" t="str">
        <f ca="1">IFERROR(__xludf.DUMMYFUNCTION("GOOGLETRANSLATE(B1951,""es"",""en"")"),"End")</f>
        <v>End</v>
      </c>
      <c r="E1951" t="str">
        <f ca="1">IFERROR(__xludf.DUMMYFUNCTION("GOOGLETRANSLATE(C1951,""es"",""en"")"),"So far, , , ,")</f>
        <v>So far, , , ,</v>
      </c>
    </row>
    <row r="1952" spans="1:5" ht="13.2" x14ac:dyDescent="0.25">
      <c r="A1952" t="s">
        <v>3407</v>
      </c>
      <c r="B1952" t="s">
        <v>3408</v>
      </c>
      <c r="C1952" t="s">
        <v>3892</v>
      </c>
      <c r="D1952" t="str">
        <f ca="1">IFERROR(__xludf.DUMMYFUNCTION("GOOGLETRANSLATE(B1952,""es"",""en"")"),"End")</f>
        <v>End</v>
      </c>
      <c r="E1952" t="str">
        <f ca="1">IFERROR(__xludf.DUMMYFUNCTION("GOOGLETRANSLATE(C1952,""es"",""en"")"),"So far, , , ,")</f>
        <v>So far, , , ,</v>
      </c>
    </row>
    <row r="1953" spans="1:5" ht="13.2" x14ac:dyDescent="0.25">
      <c r="A1953" t="s">
        <v>3893</v>
      </c>
      <c r="B1953" t="s">
        <v>3894</v>
      </c>
      <c r="C1953" t="s">
        <v>3895</v>
      </c>
      <c r="D1953" t="str">
        <f ca="1">IFERROR(__xludf.DUMMYFUNCTION("GOOGLETRANSLATE(B1953,""es"",""en"")"),"Without leaving anything")</f>
        <v>Without leaving anything</v>
      </c>
      <c r="E1953" t="str">
        <f ca="1">IFERROR(__xludf.DUMMYFUNCTION("GOOGLETRANSLATE(C1953,""es"",""en"")"),"All, , , ,")</f>
        <v>All, , , ,</v>
      </c>
    </row>
    <row r="1954" spans="1:5" ht="13.2" x14ac:dyDescent="0.25">
      <c r="A1954" t="s">
        <v>3896</v>
      </c>
      <c r="B1954" t="s">
        <v>3894</v>
      </c>
      <c r="C1954" t="s">
        <v>3895</v>
      </c>
      <c r="D1954" t="str">
        <f ca="1">IFERROR(__xludf.DUMMYFUNCTION("GOOGLETRANSLATE(B1954,""es"",""en"")"),"Without leaving anything")</f>
        <v>Without leaving anything</v>
      </c>
      <c r="E1954" t="str">
        <f ca="1">IFERROR(__xludf.DUMMYFUNCTION("GOOGLETRANSLATE(C1954,""es"",""en"")"),"All, , , ,")</f>
        <v>All, , , ,</v>
      </c>
    </row>
    <row r="1955" spans="1:5" ht="13.2" x14ac:dyDescent="0.25">
      <c r="A1955" t="s">
        <v>3897</v>
      </c>
      <c r="B1955" t="s">
        <v>3898</v>
      </c>
      <c r="C1955" t="s">
        <v>3899</v>
      </c>
      <c r="D1955" t="str">
        <f ca="1">IFERROR(__xludf.DUMMYFUNCTION("GOOGLETRANSLATE(B1955,""es"",""en"")"),"Help")</f>
        <v>Help</v>
      </c>
      <c r="E1955" t="str">
        <f ca="1">IFERROR(__xludf.DUMMYFUNCTION("GOOGLETRANSLATE(C1955,""es"",""en"")"),"Help, support, solid ,,")</f>
        <v>Help, support, solid ,,</v>
      </c>
    </row>
    <row r="1956" spans="1:5" ht="13.2" x14ac:dyDescent="0.25">
      <c r="A1956" t="s">
        <v>3900</v>
      </c>
      <c r="B1956" t="s">
        <v>3901</v>
      </c>
      <c r="D1956" t="str">
        <f ca="1">IFERROR(__xludf.DUMMYFUNCTION("GOOGLETRANSLATE(B1956,""es"",""en"")"),"On credit")</f>
        <v>On credit</v>
      </c>
      <c r="E1956" t="str">
        <f ca="1">IFERROR(__xludf.DUMMYFUNCTION("GOOGLETRANSLATE(C1956,""es"",""en"")"),"#VALUE!")</f>
        <v>#VALUE!</v>
      </c>
    </row>
    <row r="1957" spans="1:5" ht="13.2" x14ac:dyDescent="0.25">
      <c r="A1957" t="s">
        <v>3902</v>
      </c>
      <c r="B1957" t="s">
        <v>3903</v>
      </c>
      <c r="D1957" t="str">
        <f ca="1">IFERROR(__xludf.DUMMYFUNCTION("GOOGLETRANSLATE(B1957,""es"",""en"")"),"Do on time")</f>
        <v>Do on time</v>
      </c>
      <c r="E1957" t="str">
        <f ca="1">IFERROR(__xludf.DUMMYFUNCTION("GOOGLETRANSLATE(C1957,""es"",""en"")"),"#VALUE!")</f>
        <v>#VALUE!</v>
      </c>
    </row>
    <row r="1958" spans="1:5" ht="13.2" x14ac:dyDescent="0.25">
      <c r="A1958" t="s">
        <v>3904</v>
      </c>
      <c r="B1958" t="s">
        <v>3905</v>
      </c>
      <c r="C1958" t="s">
        <v>3906</v>
      </c>
      <c r="D1958" t="str">
        <f ca="1">IFERROR(__xludf.DUMMYFUNCTION("GOOGLETRANSLATE(B1958,""es"",""en"")"),"Distrust")</f>
        <v>Distrust</v>
      </c>
      <c r="E1958" t="str">
        <f ca="1">IFERROR(__xludf.DUMMYFUNCTION("GOOGLETRANSLATE(C1958,""es"",""en"")"),"Do not believe, not being able to with weight ,,,,")</f>
        <v>Do not believe, not being able to with weight ,,,,</v>
      </c>
    </row>
    <row r="1959" spans="1:5" ht="13.2" x14ac:dyDescent="0.25">
      <c r="A1959" t="s">
        <v>3907</v>
      </c>
      <c r="B1959" t="s">
        <v>1483</v>
      </c>
      <c r="D1959" t="str">
        <f ca="1">IFERROR(__xludf.DUMMYFUNCTION("GOOGLETRANSLATE(B1959,""es"",""en"")"),"Pay")</f>
        <v>Pay</v>
      </c>
      <c r="E1959" t="str">
        <f ca="1">IFERROR(__xludf.DUMMYFUNCTION("GOOGLETRANSLATE(C1959,""es"",""en"")"),"#VALUE!")</f>
        <v>#VALUE!</v>
      </c>
    </row>
    <row r="1960" spans="1:5" ht="13.2" x14ac:dyDescent="0.25">
      <c r="A1960" t="s">
        <v>1485</v>
      </c>
      <c r="B1960" t="s">
        <v>3901</v>
      </c>
      <c r="D1960" t="str">
        <f ca="1">IFERROR(__xludf.DUMMYFUNCTION("GOOGLETRANSLATE(B1960,""es"",""en"")"),"On credit")</f>
        <v>On credit</v>
      </c>
      <c r="E1960" t="str">
        <f ca="1">IFERROR(__xludf.DUMMYFUNCTION("GOOGLETRANSLATE(C1960,""es"",""en"")"),"#VALUE!")</f>
        <v>#VALUE!</v>
      </c>
    </row>
    <row r="1961" spans="1:5" ht="13.2" x14ac:dyDescent="0.25">
      <c r="A1961" t="s">
        <v>3908</v>
      </c>
      <c r="B1961" t="s">
        <v>3909</v>
      </c>
      <c r="D1961" t="str">
        <f ca="1">IFERROR(__xludf.DUMMYFUNCTION("GOOGLETRANSLATE(B1961,""es"",""en"")"),"Be betrayed by your partner")</f>
        <v>Be betrayed by your partner</v>
      </c>
      <c r="E1961" t="str">
        <f ca="1">IFERROR(__xludf.DUMMYFUNCTION("GOOGLETRANSLATE(C1961,""es"",""en"")"),"#VALUE!")</f>
        <v>#VALUE!</v>
      </c>
    </row>
    <row r="1962" spans="1:5" ht="13.2" x14ac:dyDescent="0.25">
      <c r="A1962" t="s">
        <v>3910</v>
      </c>
      <c r="B1962" t="s">
        <v>2579</v>
      </c>
      <c r="C1962" t="s">
        <v>3911</v>
      </c>
      <c r="D1962" t="str">
        <f ca="1">IFERROR(__xludf.DUMMYFUNCTION("GOOGLETRANSLATE(B1962,""es"",""en"")"),"Carry")</f>
        <v>Carry</v>
      </c>
      <c r="E1962" t="str">
        <f ca="1">IFERROR(__xludf.DUMMYFUNCTION("GOOGLETRANSLATE(C1962,""es"",""en"")"),"Transport, lead ,,,,")</f>
        <v>Transport, lead ,,,,</v>
      </c>
    </row>
    <row r="1963" spans="1:5" ht="13.2" x14ac:dyDescent="0.25">
      <c r="A1963" t="s">
        <v>3912</v>
      </c>
      <c r="B1963" t="s">
        <v>3913</v>
      </c>
      <c r="D1963" t="str">
        <f ca="1">IFERROR(__xludf.DUMMYFUNCTION("GOOGLETRANSLATE(B1963,""es"",""en"")"),"Dònde by Dònde")</f>
        <v>Dònde by Dònde</v>
      </c>
      <c r="E1963" t="str">
        <f ca="1">IFERROR(__xludf.DUMMYFUNCTION("GOOGLETRANSLATE(C1963,""es"",""en"")"),"#VALUE!")</f>
        <v>#VALUE!</v>
      </c>
    </row>
    <row r="1964" spans="1:5" ht="13.2" x14ac:dyDescent="0.25">
      <c r="A1964" t="s">
        <v>3914</v>
      </c>
      <c r="B1964" t="s">
        <v>3915</v>
      </c>
      <c r="D1964" t="str">
        <f ca="1">IFERROR(__xludf.DUMMYFUNCTION("GOOGLETRANSLATE(B1964,""es"",""en"")"),"Where")</f>
        <v>Where</v>
      </c>
      <c r="E1964" t="str">
        <f ca="1">IFERROR(__xludf.DUMMYFUNCTION("GOOGLETRANSLATE(C1964,""es"",""en"")"),"#VALUE!")</f>
        <v>#VALUE!</v>
      </c>
    </row>
    <row r="1965" spans="1:5" ht="13.2" x14ac:dyDescent="0.25">
      <c r="A1965" t="s">
        <v>3914</v>
      </c>
      <c r="B1965" t="s">
        <v>3916</v>
      </c>
      <c r="C1965" t="s">
        <v>3917</v>
      </c>
      <c r="D1965" t="str">
        <f ca="1">IFERROR(__xludf.DUMMYFUNCTION("GOOGLETRANSLATE(B1965,""es"",""en"")"),"Where")</f>
        <v>Where</v>
      </c>
      <c r="E1965" t="str">
        <f ca="1">IFERROR(__xludf.DUMMYFUNCTION("GOOGLETRANSLATE(C1965,""es"",""en"")"),"Where, , , ,")</f>
        <v>Where, , , ,</v>
      </c>
    </row>
    <row r="1966" spans="1:5" ht="13.2" x14ac:dyDescent="0.25">
      <c r="A1966" t="s">
        <v>3914</v>
      </c>
      <c r="B1966" t="s">
        <v>3916</v>
      </c>
      <c r="C1966" t="s">
        <v>3917</v>
      </c>
      <c r="D1966" t="str">
        <f ca="1">IFERROR(__xludf.DUMMYFUNCTION("GOOGLETRANSLATE(B1966,""es"",""en"")"),"Where")</f>
        <v>Where</v>
      </c>
      <c r="E1966" t="str">
        <f ca="1">IFERROR(__xludf.DUMMYFUNCTION("GOOGLETRANSLATE(C1966,""es"",""en"")"),"Where, , , ,")</f>
        <v>Where, , , ,</v>
      </c>
    </row>
    <row r="1967" spans="1:5" ht="13.2" x14ac:dyDescent="0.25">
      <c r="A1967" t="s">
        <v>3918</v>
      </c>
      <c r="B1967" t="s">
        <v>973</v>
      </c>
      <c r="C1967" t="s">
        <v>3919</v>
      </c>
      <c r="D1967" t="str">
        <f ca="1">IFERROR(__xludf.DUMMYFUNCTION("GOOGLETRANSLATE(B1967,""es"",""en"")"),"Little")</f>
        <v>Little</v>
      </c>
      <c r="E1967" t="str">
        <f ca="1">IFERROR(__xludf.DUMMYFUNCTION("GOOGLETRANSLATE(C1967,""es"",""en"")"),"Tiny, often ,,,,")</f>
        <v>Tiny, often ,,,,</v>
      </c>
    </row>
    <row r="1968" spans="1:5" ht="13.2" x14ac:dyDescent="0.25">
      <c r="A1968" t="s">
        <v>3920</v>
      </c>
      <c r="B1968" t="s">
        <v>3921</v>
      </c>
      <c r="D1968" t="str">
        <f ca="1">IFERROR(__xludf.DUMMYFUNCTION("GOOGLETRANSLATE(B1968,""es"",""en"")"),"Stir")</f>
        <v>Stir</v>
      </c>
      <c r="E1968" t="str">
        <f ca="1">IFERROR(__xludf.DUMMYFUNCTION("GOOGLETRANSLATE(C1968,""es"",""en"")"),"#VALUE!")</f>
        <v>#VALUE!</v>
      </c>
    </row>
    <row r="1969" spans="1:5" ht="13.2" x14ac:dyDescent="0.25">
      <c r="A1969" t="s">
        <v>3922</v>
      </c>
      <c r="B1969" t="s">
        <v>3921</v>
      </c>
      <c r="D1969" t="str">
        <f ca="1">IFERROR(__xludf.DUMMYFUNCTION("GOOGLETRANSLATE(B1969,""es"",""en"")"),"Stir")</f>
        <v>Stir</v>
      </c>
      <c r="E1969" t="str">
        <f ca="1">IFERROR(__xludf.DUMMYFUNCTION("GOOGLETRANSLATE(C1969,""es"",""en"")"),"#VALUE!")</f>
        <v>#VALUE!</v>
      </c>
    </row>
    <row r="1970" spans="1:5" ht="13.2" x14ac:dyDescent="0.25">
      <c r="A1970" t="s">
        <v>3923</v>
      </c>
      <c r="B1970" t="s">
        <v>130</v>
      </c>
      <c r="D1970" t="str">
        <f ca="1">IFERROR(__xludf.DUMMYFUNCTION("GOOGLETRANSLATE(B1970,""es"",""en"")"),"Right away")</f>
        <v>Right away</v>
      </c>
      <c r="E1970" t="str">
        <f ca="1">IFERROR(__xludf.DUMMYFUNCTION("GOOGLETRANSLATE(C1970,""es"",""en"")"),"#VALUE!")</f>
        <v>#VALUE!</v>
      </c>
    </row>
    <row r="1971" spans="1:5" ht="13.2" x14ac:dyDescent="0.25">
      <c r="A1971" t="s">
        <v>3924</v>
      </c>
      <c r="B1971" t="s">
        <v>3925</v>
      </c>
      <c r="C1971" t="s">
        <v>3926</v>
      </c>
      <c r="D1971" t="str">
        <f ca="1">IFERROR(__xludf.DUMMYFUNCTION("GOOGLETRANSLATE(B1971,""es"",""en"")"),"Spin around")</f>
        <v>Spin around</v>
      </c>
      <c r="E1971" t="str">
        <f ca="1">IFERROR(__xludf.DUMMYFUNCTION("GOOGLETRANSLATE(C1971,""es"",""en"")"),"Spin, , , ,")</f>
        <v>Spin, , , ,</v>
      </c>
    </row>
    <row r="1972" spans="1:5" ht="13.2" x14ac:dyDescent="0.25">
      <c r="A1972" t="s">
        <v>3927</v>
      </c>
      <c r="B1972" t="s">
        <v>3928</v>
      </c>
      <c r="C1972" t="s">
        <v>3929</v>
      </c>
      <c r="D1972" t="str">
        <f ca="1">IFERROR(__xludf.DUMMYFUNCTION("GOOGLETRANSLATE(B1972,""es"",""en"")"),"Spank")</f>
        <v>Spank</v>
      </c>
      <c r="E1972" t="str">
        <f ca="1">IFERROR(__xludf.DUMMYFUNCTION("GOOGLETRANSLATE(C1972,""es"",""en"")"),"Zurrar ,,,,")</f>
        <v>Zurrar ,,,,</v>
      </c>
    </row>
    <row r="1973" spans="1:5" ht="13.2" x14ac:dyDescent="0.25">
      <c r="A1973" t="s">
        <v>2756</v>
      </c>
      <c r="B1973" t="s">
        <v>2754</v>
      </c>
      <c r="C1973" t="s">
        <v>3930</v>
      </c>
      <c r="D1973" t="str">
        <f ca="1">IFERROR(__xludf.DUMMYFUNCTION("GOOGLETRANSLATE(B1973,""es"",""en"")"),"Say")</f>
        <v>Say</v>
      </c>
      <c r="E1973" t="str">
        <f ca="1">IFERROR(__xludf.DUMMYFUNCTION("GOOGLETRANSLATE(C1973,""es"",""en"")"),"Pronounce, utter, speak,")</f>
        <v>Pronounce, utter, speak,</v>
      </c>
    </row>
    <row r="1974" spans="1:5" ht="13.2" x14ac:dyDescent="0.25">
      <c r="A1974" t="s">
        <v>2753</v>
      </c>
      <c r="B1974" t="s">
        <v>2754</v>
      </c>
      <c r="C1974" t="s">
        <v>3931</v>
      </c>
      <c r="D1974" t="str">
        <f ca="1">IFERROR(__xludf.DUMMYFUNCTION("GOOGLETRANSLATE(B1974,""es"",""en"")"),"Say")</f>
        <v>Say</v>
      </c>
      <c r="E1974" t="str">
        <f ca="1">IFERROR(__xludf.DUMMYFUNCTION("GOOGLETRANSLATE(C1974,""es"",""en"")"),"Pronounce, mention, utter, talk,")</f>
        <v>Pronounce, mention, utter, talk,</v>
      </c>
    </row>
    <row r="1975" spans="1:5" ht="13.2" x14ac:dyDescent="0.25">
      <c r="A1975" t="s">
        <v>3932</v>
      </c>
      <c r="B1975" t="s">
        <v>3933</v>
      </c>
      <c r="C1975" t="s">
        <v>3934</v>
      </c>
      <c r="D1975" t="str">
        <f ca="1">IFERROR(__xludf.DUMMYFUNCTION("GOOGLETRANSLATE(B1975,""es"",""en"")"),"Several")</f>
        <v>Several</v>
      </c>
      <c r="E1975" t="str">
        <f ca="1">IFERROR(__xludf.DUMMYFUNCTION("GOOGLETRANSLATE(C1975,""es"",""en"")"),"Many, not a few ,,,")</f>
        <v>Many, not a few ,,,</v>
      </c>
    </row>
    <row r="1976" spans="1:5" ht="13.2" x14ac:dyDescent="0.25">
      <c r="A1976" t="s">
        <v>952</v>
      </c>
      <c r="B1976" t="s">
        <v>3935</v>
      </c>
      <c r="D1976" t="str">
        <f ca="1">IFERROR(__xludf.DUMMYFUNCTION("GOOGLETRANSLATE(B1976,""es"",""en"")"),"Many")</f>
        <v>Many</v>
      </c>
      <c r="E1976" t="str">
        <f ca="1">IFERROR(__xludf.DUMMYFUNCTION("GOOGLETRANSLATE(C1976,""es"",""en"")"),"#VALUE!")</f>
        <v>#VALUE!</v>
      </c>
    </row>
    <row r="1977" spans="1:5" ht="13.2" x14ac:dyDescent="0.25">
      <c r="A1977" t="s">
        <v>952</v>
      </c>
      <c r="B1977" t="s">
        <v>3933</v>
      </c>
      <c r="C1977" t="s">
        <v>3934</v>
      </c>
      <c r="D1977" t="str">
        <f ca="1">IFERROR(__xludf.DUMMYFUNCTION("GOOGLETRANSLATE(B1977,""es"",""en"")"),"Several")</f>
        <v>Several</v>
      </c>
      <c r="E1977" t="str">
        <f ca="1">IFERROR(__xludf.DUMMYFUNCTION("GOOGLETRANSLATE(C1977,""es"",""en"")"),"Many, not a few ,,,")</f>
        <v>Many, not a few ,,,</v>
      </c>
    </row>
    <row r="1978" spans="1:5" ht="13.2" x14ac:dyDescent="0.25">
      <c r="A1978" t="s">
        <v>950</v>
      </c>
      <c r="B1978" t="s">
        <v>3933</v>
      </c>
      <c r="C1978" t="s">
        <v>3934</v>
      </c>
      <c r="D1978" t="str">
        <f ca="1">IFERROR(__xludf.DUMMYFUNCTION("GOOGLETRANSLATE(B1978,""es"",""en"")"),"Several")</f>
        <v>Several</v>
      </c>
      <c r="E1978" t="str">
        <f ca="1">IFERROR(__xludf.DUMMYFUNCTION("GOOGLETRANSLATE(C1978,""es"",""en"")"),"Many, not a few ,,,")</f>
        <v>Many, not a few ,,,</v>
      </c>
    </row>
    <row r="1979" spans="1:5" ht="13.2" x14ac:dyDescent="0.25">
      <c r="A1979" t="s">
        <v>952</v>
      </c>
      <c r="B1979" t="s">
        <v>3933</v>
      </c>
      <c r="C1979" t="s">
        <v>3934</v>
      </c>
      <c r="D1979" t="str">
        <f ca="1">IFERROR(__xludf.DUMMYFUNCTION("GOOGLETRANSLATE(B1979,""es"",""en"")"),"Several")</f>
        <v>Several</v>
      </c>
      <c r="E1979" t="str">
        <f ca="1">IFERROR(__xludf.DUMMYFUNCTION("GOOGLETRANSLATE(C1979,""es"",""en"")"),"Many, not a few ,,,")</f>
        <v>Many, not a few ,,,</v>
      </c>
    </row>
    <row r="1980" spans="1:5" ht="13.2" x14ac:dyDescent="0.25">
      <c r="A1980" t="s">
        <v>3936</v>
      </c>
      <c r="B1980" t="s">
        <v>3937</v>
      </c>
      <c r="C1980" t="s">
        <v>3938</v>
      </c>
      <c r="D1980" t="str">
        <f ca="1">IFERROR(__xludf.DUMMYFUNCTION("GOOGLETRANSLATE(B1980,""es"",""en"")"),"Fan")</f>
        <v>Fan</v>
      </c>
      <c r="E1980" t="str">
        <f ca="1">IFERROR(__xludf.DUMMYFUNCTION("GOOGLETRANSLATE(C1980,""es"",""en"")"),"Fan, , , ,")</f>
        <v>Fan, , , ,</v>
      </c>
    </row>
    <row r="1981" spans="1:5" ht="13.2" x14ac:dyDescent="0.25">
      <c r="A1981" t="s">
        <v>3939</v>
      </c>
      <c r="B1981" t="s">
        <v>3940</v>
      </c>
      <c r="D1981" t="str">
        <f ca="1">IFERROR(__xludf.DUMMYFUNCTION("GOOGLETRANSLATE(B1981,""es"",""en"")"),"Turn around")</f>
        <v>Turn around</v>
      </c>
      <c r="E1981" t="str">
        <f ca="1">IFERROR(__xludf.DUMMYFUNCTION("GOOGLETRANSLATE(C1981,""es"",""en"")"),"#VALUE!")</f>
        <v>#VALUE!</v>
      </c>
    </row>
    <row r="1982" spans="1:5" ht="13.2" x14ac:dyDescent="0.25">
      <c r="A1982" t="s">
        <v>3941</v>
      </c>
      <c r="B1982" t="s">
        <v>3942</v>
      </c>
      <c r="D1982" t="str">
        <f ca="1">IFERROR(__xludf.DUMMYFUNCTION("GOOGLETRANSLATE(B1982,""es"",""en"")"),"For him")</f>
        <v>For him</v>
      </c>
      <c r="E1982" t="str">
        <f ca="1">IFERROR(__xludf.DUMMYFUNCTION("GOOGLETRANSLATE(C1982,""es"",""en"")"),"#VALUE!")</f>
        <v>#VALUE!</v>
      </c>
    </row>
    <row r="1983" spans="1:5" ht="13.2" x14ac:dyDescent="0.25">
      <c r="A1983" t="s">
        <v>3943</v>
      </c>
      <c r="B1983" t="s">
        <v>3944</v>
      </c>
      <c r="D1983" t="str">
        <f ca="1">IFERROR(__xludf.DUMMYFUNCTION("GOOGLETRANSLATE(B1983,""es"",""en"")"),"Body")</f>
        <v>Body</v>
      </c>
      <c r="E1983" t="str">
        <f ca="1">IFERROR(__xludf.DUMMYFUNCTION("GOOGLETRANSLATE(C1983,""es"",""en"")"),"#VALUE!")</f>
        <v>#VALUE!</v>
      </c>
    </row>
    <row r="1984" spans="1:5" ht="13.2" x14ac:dyDescent="0.25">
      <c r="A1984" t="s">
        <v>1181</v>
      </c>
      <c r="B1984" t="s">
        <v>3945</v>
      </c>
      <c r="D1984" t="str">
        <f ca="1">IFERROR(__xludf.DUMMYFUNCTION("GOOGLETRANSLATE(B1984,""es"",""en"")"),"How many")</f>
        <v>How many</v>
      </c>
      <c r="E1984" t="str">
        <f ca="1">IFERROR(__xludf.DUMMYFUNCTION("GOOGLETRANSLATE(C1984,""es"",""en"")"),"#VALUE!")</f>
        <v>#VALUE!</v>
      </c>
    </row>
    <row r="1985" spans="1:5" ht="13.2" x14ac:dyDescent="0.25">
      <c r="A1985" t="s">
        <v>1179</v>
      </c>
      <c r="B1985" t="s">
        <v>3945</v>
      </c>
      <c r="D1985" t="str">
        <f ca="1">IFERROR(__xludf.DUMMYFUNCTION("GOOGLETRANSLATE(B1985,""es"",""en"")"),"How many")</f>
        <v>How many</v>
      </c>
      <c r="E1985" t="str">
        <f ca="1">IFERROR(__xludf.DUMMYFUNCTION("GOOGLETRANSLATE(C1985,""es"",""en"")"),"#VALUE!")</f>
        <v>#VALUE!</v>
      </c>
    </row>
    <row r="1986" spans="1:5" ht="13.2" x14ac:dyDescent="0.25">
      <c r="A1986" t="s">
        <v>3661</v>
      </c>
      <c r="B1986" t="s">
        <v>3662</v>
      </c>
      <c r="C1986" t="s">
        <v>3946</v>
      </c>
      <c r="D1986" t="str">
        <f ca="1">IFERROR(__xludf.DUMMYFUNCTION("GOOGLETRANSLATE(B1986,""es"",""en"")"),"Distorted")</f>
        <v>Distorted</v>
      </c>
      <c r="E1986" t="str">
        <f ca="1">IFERROR(__xludf.DUMMYFUNCTION("GOOGLETRANSLATE(C1986,""es"",""en"")"),"Hooded ,,,,")</f>
        <v>Hooded ,,,,</v>
      </c>
    </row>
    <row r="1987" spans="1:5" ht="13.2" x14ac:dyDescent="0.25">
      <c r="A1987" t="s">
        <v>3947</v>
      </c>
      <c r="B1987" t="s">
        <v>3948</v>
      </c>
      <c r="C1987" t="s">
        <v>3949</v>
      </c>
      <c r="D1987" t="str">
        <f ca="1">IFERROR(__xludf.DUMMYFUNCTION("GOOGLETRANSLATE(B1987,""es"",""en"")"),"Struggle")</f>
        <v>Struggle</v>
      </c>
      <c r="E1987" t="str">
        <f ca="1">IFERROR(__xludf.DUMMYFUNCTION("GOOGLETRANSLATE(C1987,""es"",""en"")"),"War, combat ,,,")</f>
        <v>War, combat ,,,</v>
      </c>
    </row>
    <row r="1988" spans="1:5" ht="13.2" x14ac:dyDescent="0.25">
      <c r="A1988" t="s">
        <v>3203</v>
      </c>
      <c r="B1988" t="s">
        <v>3201</v>
      </c>
      <c r="C1988" t="s">
        <v>3202</v>
      </c>
      <c r="D1988" t="str">
        <f ca="1">IFERROR(__xludf.DUMMYFUNCTION("GOOGLETRANSLATE(B1988,""es"",""en"")"),"Fight")</f>
        <v>Fight</v>
      </c>
      <c r="E1988" t="str">
        <f ca="1">IFERROR(__xludf.DUMMYFUNCTION("GOOGLETRANSLATE(C1988,""es"",""en"")"),"War ,,,,,")</f>
        <v>War ,,,,,</v>
      </c>
    </row>
    <row r="1989" spans="1:5" ht="13.2" x14ac:dyDescent="0.25">
      <c r="A1989" t="s">
        <v>3206</v>
      </c>
      <c r="B1989" t="s">
        <v>3201</v>
      </c>
      <c r="C1989" t="s">
        <v>3202</v>
      </c>
      <c r="D1989" t="str">
        <f ca="1">IFERROR(__xludf.DUMMYFUNCTION("GOOGLETRANSLATE(B1989,""es"",""en"")"),"Fight")</f>
        <v>Fight</v>
      </c>
      <c r="E1989" t="str">
        <f ca="1">IFERROR(__xludf.DUMMYFUNCTION("GOOGLETRANSLATE(C1989,""es"",""en"")"),"War ,,,,,")</f>
        <v>War ,,,,,</v>
      </c>
    </row>
    <row r="1990" spans="1:5" ht="13.2" x14ac:dyDescent="0.25">
      <c r="A1990" t="s">
        <v>2207</v>
      </c>
      <c r="B1990" t="s">
        <v>2206</v>
      </c>
      <c r="D1990" t="str">
        <f ca="1">IFERROR(__xludf.DUMMYFUNCTION("GOOGLETRANSLATE(B1990,""es"",""en"")"),"Character that symbolizes evil")</f>
        <v>Character that symbolizes evil</v>
      </c>
      <c r="E1990" t="str">
        <f ca="1">IFERROR(__xludf.DUMMYFUNCTION("GOOGLETRANSLATE(C1990,""es"",""en"")"),"#VALUE!")</f>
        <v>#VALUE!</v>
      </c>
    </row>
    <row r="1991" spans="1:5" ht="13.2" x14ac:dyDescent="0.25">
      <c r="A1991" t="s">
        <v>2205</v>
      </c>
      <c r="B1991" t="s">
        <v>2206</v>
      </c>
      <c r="D1991" t="str">
        <f ca="1">IFERROR(__xludf.DUMMYFUNCTION("GOOGLETRANSLATE(B1991,""es"",""en"")"),"Character that symbolizes evil")</f>
        <v>Character that symbolizes evil</v>
      </c>
      <c r="E1991" t="str">
        <f ca="1">IFERROR(__xludf.DUMMYFUNCTION("GOOGLETRANSLATE(C1991,""es"",""en"")"),"#VALUE!")</f>
        <v>#VALUE!</v>
      </c>
    </row>
    <row r="1992" spans="1:5" ht="13.2" x14ac:dyDescent="0.25">
      <c r="A1992" t="s">
        <v>3950</v>
      </c>
      <c r="B1992" t="s">
        <v>3951</v>
      </c>
      <c r="C1992" t="s">
        <v>3952</v>
      </c>
      <c r="D1992" t="str">
        <f ca="1">IFERROR(__xludf.DUMMYFUNCTION("GOOGLETRANSLATE(B1992,""es"",""en"")"),"Curly")</f>
        <v>Curly</v>
      </c>
      <c r="E1992" t="str">
        <f ca="1">IFERROR(__xludf.DUMMYFUNCTION("GOOGLETRANSLATE(C1992,""es"",""en"")"),"Sweeving, wavy ,,,,")</f>
        <v>Sweeving, wavy ,,,,</v>
      </c>
    </row>
    <row r="1993" spans="1:5" ht="13.2" x14ac:dyDescent="0.25">
      <c r="A1993" t="s">
        <v>3953</v>
      </c>
      <c r="B1993" t="s">
        <v>3954</v>
      </c>
      <c r="D1993" t="str">
        <f ca="1">IFERROR(__xludf.DUMMYFUNCTION("GOOGLETRANSLATE(B1993,""es"",""en"")"),"Liver")</f>
        <v>Liver</v>
      </c>
      <c r="E1993" t="str">
        <f ca="1">IFERROR(__xludf.DUMMYFUNCTION("GOOGLETRANSLATE(C1993,""es"",""en"")"),"#VALUE!")</f>
        <v>#VALUE!</v>
      </c>
    </row>
    <row r="1994" spans="1:5" ht="13.2" x14ac:dyDescent="0.25">
      <c r="A1994" t="s">
        <v>3955</v>
      </c>
      <c r="B1994" t="s">
        <v>3956</v>
      </c>
      <c r="D1994" t="str">
        <f ca="1">IFERROR(__xludf.DUMMYFUNCTION("GOOGLETRANSLATE(B1994,""es"",""en"")"),"Organism")</f>
        <v>Organism</v>
      </c>
      <c r="E1994" t="str">
        <f ca="1">IFERROR(__xludf.DUMMYFUNCTION("GOOGLETRANSLATE(C1994,""es"",""en"")"),"#VALUE!")</f>
        <v>#VALUE!</v>
      </c>
    </row>
    <row r="1995" spans="1:5" ht="13.2" x14ac:dyDescent="0.25">
      <c r="A1995" t="s">
        <v>3957</v>
      </c>
      <c r="B1995" t="s">
        <v>3653</v>
      </c>
      <c r="C1995" t="s">
        <v>3958</v>
      </c>
      <c r="D1995" t="str">
        <f ca="1">IFERROR(__xludf.DUMMYFUNCTION("GOOGLETRANSLATE(B1995,""es"",""en"")"),"Little by little")</f>
        <v>Little by little</v>
      </c>
      <c r="E1995" t="str">
        <f ca="1">IFERROR(__xludf.DUMMYFUNCTION("GOOGLETRANSLATE(C1995,""es"",""en"")"),"Slowly, slow, leisurely,")</f>
        <v>Slowly, slow, leisurely,</v>
      </c>
    </row>
    <row r="1996" spans="1:5" ht="13.2" x14ac:dyDescent="0.25">
      <c r="A1996" t="s">
        <v>3959</v>
      </c>
      <c r="B1996" t="s">
        <v>3653</v>
      </c>
      <c r="C1996" t="s">
        <v>3958</v>
      </c>
      <c r="D1996" t="str">
        <f ca="1">IFERROR(__xludf.DUMMYFUNCTION("GOOGLETRANSLATE(B1996,""es"",""en"")"),"Little by little")</f>
        <v>Little by little</v>
      </c>
      <c r="E1996" t="str">
        <f ca="1">IFERROR(__xludf.DUMMYFUNCTION("GOOGLETRANSLATE(C1996,""es"",""en"")"),"Slowly, slow, leisurely,")</f>
        <v>Slowly, slow, leisurely,</v>
      </c>
    </row>
    <row r="1997" spans="1:5" ht="13.2" x14ac:dyDescent="0.25">
      <c r="A1997" t="s">
        <v>3960</v>
      </c>
      <c r="B1997" t="s">
        <v>3961</v>
      </c>
      <c r="D1997" t="str">
        <f ca="1">IFERROR(__xludf.DUMMYFUNCTION("GOOGLETRANSLATE(B1997,""es"",""en"")"),"Hiccup")</f>
        <v>Hiccup</v>
      </c>
      <c r="E1997" t="str">
        <f ca="1">IFERROR(__xludf.DUMMYFUNCTION("GOOGLETRANSLATE(C1997,""es"",""en"")"),"#VALUE!")</f>
        <v>#VALUE!</v>
      </c>
    </row>
    <row r="1998" spans="1:5" ht="13.2" x14ac:dyDescent="0.25">
      <c r="A1998" t="s">
        <v>3959</v>
      </c>
      <c r="B1998" t="s">
        <v>3653</v>
      </c>
      <c r="C1998" t="s">
        <v>3958</v>
      </c>
      <c r="D1998" t="str">
        <f ca="1">IFERROR(__xludf.DUMMYFUNCTION("GOOGLETRANSLATE(B1998,""es"",""en"")"),"Little by little")</f>
        <v>Little by little</v>
      </c>
      <c r="E1998" t="str">
        <f ca="1">IFERROR(__xludf.DUMMYFUNCTION("GOOGLETRANSLATE(C1998,""es"",""en"")"),"Slowly, slow, leisurely,")</f>
        <v>Slowly, slow, leisurely,</v>
      </c>
    </row>
    <row r="1999" spans="1:5" ht="13.2" x14ac:dyDescent="0.25">
      <c r="A1999" t="s">
        <v>3962</v>
      </c>
      <c r="B1999" t="s">
        <v>3963</v>
      </c>
      <c r="D1999" t="str">
        <f ca="1">IFERROR(__xludf.DUMMYFUNCTION("GOOGLETRANSLATE(B1999,""es"",""en"")"),"Chest")</f>
        <v>Chest</v>
      </c>
      <c r="E1999" t="str">
        <f ca="1">IFERROR(__xludf.DUMMYFUNCTION("GOOGLETRANSLATE(C1999,""es"",""en"")"),"#VALUE!")</f>
        <v>#VALUE!</v>
      </c>
    </row>
    <row r="2000" spans="1:5" ht="13.2" x14ac:dyDescent="0.25">
      <c r="A2000" t="s">
        <v>3964</v>
      </c>
      <c r="B2000" t="s">
        <v>3963</v>
      </c>
      <c r="D2000" t="str">
        <f ca="1">IFERROR(__xludf.DUMMYFUNCTION("GOOGLETRANSLATE(B2000,""es"",""en"")"),"Chest")</f>
        <v>Chest</v>
      </c>
      <c r="E2000" t="str">
        <f ca="1">IFERROR(__xludf.DUMMYFUNCTION("GOOGLETRANSLATE(C2000,""es"",""en"")"),"#VALUE!")</f>
        <v>#VALUE!</v>
      </c>
    </row>
    <row r="2001" spans="1:5" ht="13.2" x14ac:dyDescent="0.25">
      <c r="A2001" t="s">
        <v>3965</v>
      </c>
      <c r="B2001" t="s">
        <v>3963</v>
      </c>
      <c r="D2001" t="str">
        <f ca="1">IFERROR(__xludf.DUMMYFUNCTION("GOOGLETRANSLATE(B2001,""es"",""en"")"),"Chest")</f>
        <v>Chest</v>
      </c>
      <c r="E2001" t="str">
        <f ca="1">IFERROR(__xludf.DUMMYFUNCTION("GOOGLETRANSLATE(C2001,""es"",""en"")"),"#VALUE!")</f>
        <v>#VALUE!</v>
      </c>
    </row>
    <row r="2002" spans="1:5" ht="13.2" x14ac:dyDescent="0.25">
      <c r="A2002" t="s">
        <v>3922</v>
      </c>
      <c r="B2002" t="s">
        <v>3921</v>
      </c>
      <c r="D2002" t="str">
        <f ca="1">IFERROR(__xludf.DUMMYFUNCTION("GOOGLETRANSLATE(B2002,""es"",""en"")"),"Stir")</f>
        <v>Stir</v>
      </c>
      <c r="E2002" t="str">
        <f ca="1">IFERROR(__xludf.DUMMYFUNCTION("GOOGLETRANSLATE(C2002,""es"",""en"")"),"#VALUE!")</f>
        <v>#VALUE!</v>
      </c>
    </row>
    <row r="2003" spans="1:5" ht="13.2" x14ac:dyDescent="0.25">
      <c r="A2003" t="s">
        <v>3920</v>
      </c>
      <c r="B2003" t="s">
        <v>3921</v>
      </c>
      <c r="D2003" t="str">
        <f ca="1">IFERROR(__xludf.DUMMYFUNCTION("GOOGLETRANSLATE(B2003,""es"",""en"")"),"Stir")</f>
        <v>Stir</v>
      </c>
      <c r="E2003" t="str">
        <f ca="1">IFERROR(__xludf.DUMMYFUNCTION("GOOGLETRANSLATE(C2003,""es"",""en"")"),"#VALUE!")</f>
        <v>#VALUE!</v>
      </c>
    </row>
    <row r="2004" spans="1:5" ht="13.2" x14ac:dyDescent="0.25">
      <c r="A2004" t="s">
        <v>3966</v>
      </c>
      <c r="B2004" t="s">
        <v>3967</v>
      </c>
      <c r="C2004" t="s">
        <v>3968</v>
      </c>
      <c r="D2004" t="str">
        <f ca="1">IFERROR(__xludf.DUMMYFUNCTION("GOOGLETRANSLATE(B2004,""es"",""en"")"),"Grief")</f>
        <v>Grief</v>
      </c>
      <c r="E2004" t="str">
        <f ca="1">IFERROR(__xludf.DUMMYFUNCTION("GOOGLETRANSLATE(C2004,""es"",""en"")"),"Shame, blush, embarrassment ,,")</f>
        <v>Shame, blush, embarrassment ,,</v>
      </c>
    </row>
    <row r="2005" spans="1:5" ht="13.2" x14ac:dyDescent="0.25">
      <c r="A2005" t="s">
        <v>3969</v>
      </c>
      <c r="B2005" t="s">
        <v>3903</v>
      </c>
      <c r="D2005" t="str">
        <f ca="1">IFERROR(__xludf.DUMMYFUNCTION("GOOGLETRANSLATE(B2005,""es"",""en"")"),"Do on time")</f>
        <v>Do on time</v>
      </c>
      <c r="E2005" t="str">
        <f ca="1">IFERROR(__xludf.DUMMYFUNCTION("GOOGLETRANSLATE(C2005,""es"",""en"")"),"#VALUE!")</f>
        <v>#VALUE!</v>
      </c>
    </row>
    <row r="2006" spans="1:5" ht="13.2" x14ac:dyDescent="0.25">
      <c r="A2006" t="s">
        <v>3970</v>
      </c>
      <c r="B2006" t="s">
        <v>3971</v>
      </c>
      <c r="C2006" t="s">
        <v>3972</v>
      </c>
      <c r="D2006" t="str">
        <f ca="1">IFERROR(__xludf.DUMMYFUNCTION("GOOGLETRANSLATE(B2006,""es"",""en"")"),"Scoundrel")</f>
        <v>Scoundrel</v>
      </c>
      <c r="E2006" t="str">
        <f ca="1">IFERROR(__xludf.DUMMYFUNCTION("GOOGLETRANSLATE(C2006,""es"",""en"")"),"Insolent ,,,,")</f>
        <v>Insolent ,,,,</v>
      </c>
    </row>
    <row r="2007" spans="1:5" ht="13.2" x14ac:dyDescent="0.25">
      <c r="A2007" t="s">
        <v>3973</v>
      </c>
      <c r="B2007" t="s">
        <v>3974</v>
      </c>
      <c r="C2007" t="s">
        <v>3975</v>
      </c>
      <c r="D2007" t="str">
        <f ca="1">IFERROR(__xludf.DUMMYFUNCTION("GOOGLETRANSLATE(B2007,""es"",""en"")"),"Cringe")</f>
        <v>Cringe</v>
      </c>
      <c r="E2007" t="str">
        <f ca="1">IFERROR(__xludf.DUMMYFUNCTION("GOOGLETRANSLATE(C2007,""es"",""en"")"),"Sorry, blush ,,,,")</f>
        <v>Sorry, blush ,,,,</v>
      </c>
    </row>
    <row r="2008" spans="1:5" ht="13.2" x14ac:dyDescent="0.25">
      <c r="A2008" t="s">
        <v>3976</v>
      </c>
      <c r="B2008" t="s">
        <v>3977</v>
      </c>
      <c r="C2008" t="s">
        <v>3978</v>
      </c>
      <c r="D2008" t="str">
        <f ca="1">IFERROR(__xludf.DUMMYFUNCTION("GOOGLETRANSLATE(B2008,""es"",""en"")"),"Very new")</f>
        <v>Very new</v>
      </c>
      <c r="E2008" t="str">
        <f ca="1">IFERROR(__xludf.DUMMYFUNCTION("GOOGLETRANSLATE(C2008,""es"",""en"")"),"Novìsimo ,,,,")</f>
        <v>Novìsimo ,,,,</v>
      </c>
    </row>
    <row r="2009" spans="1:5" ht="13.2" x14ac:dyDescent="0.25">
      <c r="A2009" t="s">
        <v>358</v>
      </c>
      <c r="B2009" t="s">
        <v>355</v>
      </c>
      <c r="C2009" t="s">
        <v>3979</v>
      </c>
      <c r="D2009" t="str">
        <f ca="1">IFERROR(__xludf.DUMMYFUNCTION("GOOGLETRANSLATE(B2009,""es"",""en"")"),"New")</f>
        <v>New</v>
      </c>
      <c r="E2009" t="str">
        <f ca="1">IFERROR(__xludf.DUMMYFUNCTION("GOOGLETRANSLATE(C2009,""es"",""en"")"),"Recent, intact, novel,")</f>
        <v>Recent, intact, novel,</v>
      </c>
    </row>
    <row r="2010" spans="1:5" ht="13.2" x14ac:dyDescent="0.25">
      <c r="A2010" t="s">
        <v>360</v>
      </c>
      <c r="B2010" t="s">
        <v>355</v>
      </c>
      <c r="C2010" t="s">
        <v>3979</v>
      </c>
      <c r="D2010" t="str">
        <f ca="1">IFERROR(__xludf.DUMMYFUNCTION("GOOGLETRANSLATE(B2010,""es"",""en"")"),"New")</f>
        <v>New</v>
      </c>
      <c r="E2010" t="str">
        <f ca="1">IFERROR(__xludf.DUMMYFUNCTION("GOOGLETRANSLATE(C2010,""es"",""en"")"),"Recent, intact, novel,")</f>
        <v>Recent, intact, novel,</v>
      </c>
    </row>
    <row r="2011" spans="1:5" ht="13.2" x14ac:dyDescent="0.25">
      <c r="A2011" t="s">
        <v>354</v>
      </c>
      <c r="B2011" t="s">
        <v>355</v>
      </c>
      <c r="C2011" t="s">
        <v>3979</v>
      </c>
      <c r="D2011" t="str">
        <f ca="1">IFERROR(__xludf.DUMMYFUNCTION("GOOGLETRANSLATE(B2011,""es"",""en"")"),"New")</f>
        <v>New</v>
      </c>
      <c r="E2011" t="str">
        <f ca="1">IFERROR(__xludf.DUMMYFUNCTION("GOOGLETRANSLATE(C2011,""es"",""en"")"),"Recent, intact, novel,")</f>
        <v>Recent, intact, novel,</v>
      </c>
    </row>
    <row r="2012" spans="1:5" ht="13.2" x14ac:dyDescent="0.25">
      <c r="A2012" t="s">
        <v>3980</v>
      </c>
      <c r="B2012" t="s">
        <v>355</v>
      </c>
      <c r="C2012" t="s">
        <v>3981</v>
      </c>
      <c r="D2012" t="str">
        <f ca="1">IFERROR(__xludf.DUMMYFUNCTION("GOOGLETRANSLATE(B2012,""es"",""en"")"),"New")</f>
        <v>New</v>
      </c>
      <c r="E2012" t="str">
        <f ca="1">IFERROR(__xludf.DUMMYFUNCTION("GOOGLETRANSLATE(C2012,""es"",""en"")"),"Recent, intact, novel,")</f>
        <v>Recent, intact, novel,</v>
      </c>
    </row>
    <row r="2013" spans="1:5" ht="13.2" x14ac:dyDescent="0.25">
      <c r="A2013" t="s">
        <v>3982</v>
      </c>
      <c r="B2013" t="s">
        <v>3983</v>
      </c>
      <c r="C2013" t="s">
        <v>3984</v>
      </c>
      <c r="D2013" t="str">
        <f ca="1">IFERROR(__xludf.DUMMYFUNCTION("GOOGLETRANSLATE(B2013,""es"",""en"")"),"Slow")</f>
        <v>Slow</v>
      </c>
      <c r="E2013" t="str">
        <f ca="1">IFERROR(__xludf.DUMMYFUNCTION("GOOGLETRANSLATE(C2013,""es"",""en"")"),"Slowly, soft, late ,,")</f>
        <v>Slowly, soft, late ,,</v>
      </c>
    </row>
    <row r="2014" spans="1:5" ht="13.2" x14ac:dyDescent="0.25">
      <c r="A2014" t="s">
        <v>3985</v>
      </c>
      <c r="B2014" t="s">
        <v>382</v>
      </c>
      <c r="C2014" t="s">
        <v>3986</v>
      </c>
      <c r="D2014" t="str">
        <f ca="1">IFERROR(__xludf.DUMMYFUNCTION("GOOGLETRANSLATE(B2014,""es"",""en"")"),"Fast")</f>
        <v>Fast</v>
      </c>
      <c r="E2014" t="str">
        <f ca="1">IFERROR(__xludf.DUMMYFUNCTION("GOOGLETRANSLATE(C2014,""es"",""en"")"),"Very light, not slow, tall, strong,")</f>
        <v>Very light, not slow, tall, strong,</v>
      </c>
    </row>
    <row r="2015" spans="1:5" ht="13.2" x14ac:dyDescent="0.25">
      <c r="A2015" t="s">
        <v>3987</v>
      </c>
      <c r="B2015" t="s">
        <v>382</v>
      </c>
      <c r="C2015" t="s">
        <v>3988</v>
      </c>
      <c r="D2015" t="str">
        <f ca="1">IFERROR(__xludf.DUMMYFUNCTION("GOOGLETRANSLATE(B2015,""es"",""en"")"),"Fast")</f>
        <v>Fast</v>
      </c>
      <c r="E2015" t="str">
        <f ca="1">IFERROR(__xludf.DUMMYFUNCTION("GOOGLETRANSLATE(C2015,""es"",""en"")"),"Light, not slowly, high, strong,")</f>
        <v>Light, not slowly, high, strong,</v>
      </c>
    </row>
    <row r="2016" spans="1:5" ht="13.2" x14ac:dyDescent="0.25">
      <c r="A2016" t="s">
        <v>3989</v>
      </c>
      <c r="B2016" t="s">
        <v>3990</v>
      </c>
      <c r="D2016" t="str">
        <f ca="1">IFERROR(__xludf.DUMMYFUNCTION("GOOGLETRANSLATE(B2016,""es"",""en"")"),"Creature")</f>
        <v>Creature</v>
      </c>
      <c r="E2016" t="str">
        <f ca="1">IFERROR(__xludf.DUMMYFUNCTION("GOOGLETRANSLATE(C2016,""es"",""en"")"),"#VALUE!")</f>
        <v>#VALUE!</v>
      </c>
    </row>
    <row r="2017" spans="1:5" ht="13.2" x14ac:dyDescent="0.25">
      <c r="A2017" t="s">
        <v>3991</v>
      </c>
      <c r="B2017" t="s">
        <v>3992</v>
      </c>
      <c r="D2017" t="s">
        <v>3993</v>
      </c>
      <c r="E2017" t="str">
        <f ca="1">IFERROR(__xludf.DUMMYFUNCTION("GOOGLETRANSLATE(C2017,""es"",""en"")"),"#VALUE!")</f>
        <v>#VALUE!</v>
      </c>
    </row>
    <row r="2018" spans="1:5" ht="13.2" x14ac:dyDescent="0.25">
      <c r="A2018" t="s">
        <v>3994</v>
      </c>
      <c r="B2018" t="s">
        <v>3992</v>
      </c>
      <c r="D2018" t="s">
        <v>3993</v>
      </c>
      <c r="E2018" t="str">
        <f ca="1">IFERROR(__xludf.DUMMYFUNCTION("GOOGLETRANSLATE(C2018,""es"",""en"")"),"#VALUE!")</f>
        <v>#VALUE!</v>
      </c>
    </row>
    <row r="2019" spans="1:5" ht="13.2" x14ac:dyDescent="0.25">
      <c r="A2019" t="s">
        <v>2003</v>
      </c>
      <c r="B2019" t="s">
        <v>1999</v>
      </c>
      <c r="C2019" t="s">
        <v>3995</v>
      </c>
      <c r="D2019" t="str">
        <f ca="1">IFERROR(__xludf.DUMMYFUNCTION("GOOGLETRANSLATE(B2019,""es"",""en"")"),"Renew")</f>
        <v>Renew</v>
      </c>
      <c r="E2019" t="str">
        <f ca="1">IFERROR(__xludf.DUMMYFUNCTION("GOOGLETRANSLATE(C2019,""es"",""en"")"),"Innovate, row, reorganize,")</f>
        <v>Innovate, row, reorganize,</v>
      </c>
    </row>
    <row r="2020" spans="1:5" ht="13.2" x14ac:dyDescent="0.25">
      <c r="A2020" t="s">
        <v>2005</v>
      </c>
      <c r="B2020" t="s">
        <v>1999</v>
      </c>
      <c r="C2020" t="s">
        <v>3995</v>
      </c>
      <c r="D2020" t="str">
        <f ca="1">IFERROR(__xludf.DUMMYFUNCTION("GOOGLETRANSLATE(B2020,""es"",""en"")"),"Renew")</f>
        <v>Renew</v>
      </c>
      <c r="E2020" t="str">
        <f ca="1">IFERROR(__xludf.DUMMYFUNCTION("GOOGLETRANSLATE(C2020,""es"",""en"")"),"Innovate, row, reorganize,")</f>
        <v>Innovate, row, reorganize,</v>
      </c>
    </row>
    <row r="2021" spans="1:5" ht="13.2" x14ac:dyDescent="0.25">
      <c r="A2021" t="s">
        <v>2001</v>
      </c>
      <c r="B2021" t="s">
        <v>1999</v>
      </c>
      <c r="D2021" t="str">
        <f ca="1">IFERROR(__xludf.DUMMYFUNCTION("GOOGLETRANSLATE(B2021,""es"",""en"")"),"Renew")</f>
        <v>Renew</v>
      </c>
      <c r="E2021" t="str">
        <f ca="1">IFERROR(__xludf.DUMMYFUNCTION("GOOGLETRANSLATE(C2021,""es"",""en"")"),"#VALUE!")</f>
        <v>#VALUE!</v>
      </c>
    </row>
    <row r="2022" spans="1:5" ht="13.2" x14ac:dyDescent="0.25">
      <c r="A2022" t="s">
        <v>3996</v>
      </c>
      <c r="B2022" t="s">
        <v>3653</v>
      </c>
      <c r="D2022" t="str">
        <f ca="1">IFERROR(__xludf.DUMMYFUNCTION("GOOGLETRANSLATE(B2022,""es"",""en"")"),"Little by little")</f>
        <v>Little by little</v>
      </c>
      <c r="E2022" t="str">
        <f ca="1">IFERROR(__xludf.DUMMYFUNCTION("GOOGLETRANSLATE(C2022,""es"",""en"")"),"#VALUE!")</f>
        <v>#VALUE!</v>
      </c>
    </row>
    <row r="2023" spans="1:5" ht="13.2" x14ac:dyDescent="0.25">
      <c r="A2023" t="s">
        <v>669</v>
      </c>
      <c r="B2023" t="s">
        <v>670</v>
      </c>
      <c r="C2023" t="s">
        <v>3997</v>
      </c>
      <c r="D2023" t="str">
        <f ca="1">IFERROR(__xludf.DUMMYFUNCTION("GOOGLETRANSLATE(B2023,""es"",""en"")"),"Cautious")</f>
        <v>Cautious</v>
      </c>
      <c r="E2023" t="str">
        <f ca="1">IFERROR(__xludf.DUMMYFUNCTION("GOOGLETRANSLATE(C2023,""es"",""en"")"),"With prudence, , , ,")</f>
        <v>With prudence, , , ,</v>
      </c>
    </row>
    <row r="2024" spans="1:5" ht="13.2" x14ac:dyDescent="0.25">
      <c r="A2024" t="s">
        <v>3998</v>
      </c>
      <c r="B2024" t="s">
        <v>3999</v>
      </c>
      <c r="C2024" t="s">
        <v>4000</v>
      </c>
      <c r="D2024" t="str">
        <f ca="1">IFERROR(__xludf.DUMMYFUNCTION("GOOGLETRANSLATE(B2024,""es"",""en"")"),"Think")</f>
        <v>Think</v>
      </c>
      <c r="E2024" t="str">
        <f ca="1">IFERROR(__xludf.DUMMYFUNCTION("GOOGLETRANSLATE(C2024,""es"",""en"")"),"Reflect, meditate ,,,")</f>
        <v>Reflect, meditate ,,,</v>
      </c>
    </row>
    <row r="2025" spans="1:5" ht="13.2" x14ac:dyDescent="0.25">
      <c r="A2025" t="s">
        <v>3654</v>
      </c>
      <c r="B2025" t="s">
        <v>4001</v>
      </c>
      <c r="C2025" t="s">
        <v>4002</v>
      </c>
      <c r="D2025" t="str">
        <f ca="1">IFERROR(__xludf.DUMMYFUNCTION("GOOGLETRANSLATE(B2025,""es"",""en"")"),"Gratuitous")</f>
        <v>Gratuitous</v>
      </c>
      <c r="E2025" t="str">
        <f ca="1">IFERROR(__xludf.DUMMYFUNCTION("GOOGLETRANSLATE(C2025,""es"",""en"")"),"Free, , , ,")</f>
        <v>Free, , , ,</v>
      </c>
    </row>
    <row r="2026" spans="1:5" ht="13.2" x14ac:dyDescent="0.25">
      <c r="A2026" t="s">
        <v>4003</v>
      </c>
      <c r="B2026" t="s">
        <v>4004</v>
      </c>
      <c r="C2026" t="s">
        <v>4005</v>
      </c>
      <c r="D2026" t="str">
        <f ca="1">IFERROR(__xludf.DUMMYFUNCTION("GOOGLETRANSLATE(B2026,""es"",""en"")"),"Turn")</f>
        <v>Turn</v>
      </c>
      <c r="E2026" t="str">
        <f ca="1">IFERROR(__xludf.DUMMYFUNCTION("GOOGLETRANSLATE(C2026,""es"",""en"")"),"Transfer ,,,,,")</f>
        <v>Transfer ,,,,,</v>
      </c>
    </row>
    <row r="2027" spans="1:5" ht="13.2" x14ac:dyDescent="0.25">
      <c r="A2027" t="s">
        <v>4006</v>
      </c>
      <c r="B2027" t="s">
        <v>4007</v>
      </c>
      <c r="C2027" t="s">
        <v>4008</v>
      </c>
      <c r="D2027" t="str">
        <f ca="1">IFERROR(__xludf.DUMMYFUNCTION("GOOGLETRANSLATE(B2027,""es"",""en"")"),"Saved territory")</f>
        <v>Saved territory</v>
      </c>
      <c r="E2027" t="str">
        <f ca="1">IFERROR(__xludf.DUMMYFUNCTION("GOOGLETRANSLATE(C2027,""es"",""en"")"),"American continent, , , ,")</f>
        <v>American continent, , , ,</v>
      </c>
    </row>
    <row r="2028" spans="1:5" ht="13.2" x14ac:dyDescent="0.25">
      <c r="A2028" t="s">
        <v>4009</v>
      </c>
      <c r="B2028" t="s">
        <v>4010</v>
      </c>
      <c r="D2028" t="str">
        <f ca="1">IFERROR(__xludf.DUMMYFUNCTION("GOOGLETRANSLATE(B2028,""es"",""en"")"),"To nail")</f>
        <v>To nail</v>
      </c>
      <c r="E2028" t="str">
        <f ca="1">IFERROR(__xludf.DUMMYFUNCTION("GOOGLETRANSLATE(C2028,""es"",""en"")"),"#VALUE!")</f>
        <v>#VALUE!</v>
      </c>
    </row>
    <row r="2029" spans="1:5" ht="13.2" x14ac:dyDescent="0.25">
      <c r="A2029" t="s">
        <v>4009</v>
      </c>
      <c r="B2029" t="s">
        <v>4010</v>
      </c>
      <c r="C2029" t="s">
        <v>4011</v>
      </c>
      <c r="D2029" t="str">
        <f ca="1">IFERROR(__xludf.DUMMYFUNCTION("GOOGLETRANSLATE(B2029,""es"",""en"")"),"To nail")</f>
        <v>To nail</v>
      </c>
      <c r="E2029" t="str">
        <f ca="1">IFERROR(__xludf.DUMMYFUNCTION("GOOGLETRANSLATE(C2029,""es"",""en"")"),"Embed")</f>
        <v>Embed</v>
      </c>
    </row>
    <row r="2030" spans="1:5" ht="13.2" x14ac:dyDescent="0.25">
      <c r="A2030" t="s">
        <v>4012</v>
      </c>
      <c r="B2030" t="s">
        <v>4013</v>
      </c>
      <c r="D2030" t="str">
        <f ca="1">IFERROR(__xludf.DUMMYFUNCTION("GOOGLETRANSLATE(B2030,""es"",""en"")"),"Sprout some of the liquid")</f>
        <v>Sprout some of the liquid</v>
      </c>
      <c r="E2030" t="str">
        <f ca="1">IFERROR(__xludf.DUMMYFUNCTION("GOOGLETRANSLATE(C2030,""es"",""en"")"),"#VALUE!")</f>
        <v>#VALUE!</v>
      </c>
    </row>
    <row r="2031" spans="1:5" ht="13.2" x14ac:dyDescent="0.25">
      <c r="A2031" t="s">
        <v>4014</v>
      </c>
      <c r="B2031" t="s">
        <v>4015</v>
      </c>
      <c r="D2031" t="str">
        <f ca="1">IFERROR(__xludf.DUMMYFUNCTION("GOOGLETRANSLATE(B2031,""es"",""en"")"),"Spindle")</f>
        <v>Spindle</v>
      </c>
      <c r="E2031" t="str">
        <f ca="1">IFERROR(__xludf.DUMMYFUNCTION("GOOGLETRANSLATE(C2031,""es"",""en"")"),"#VALUE!")</f>
        <v>#VALUE!</v>
      </c>
    </row>
    <row r="2032" spans="1:5" ht="13.2" x14ac:dyDescent="0.25">
      <c r="A2032" t="s">
        <v>4016</v>
      </c>
      <c r="B2032" t="s">
        <v>4017</v>
      </c>
      <c r="D2032" t="str">
        <f ca="1">IFERROR(__xludf.DUMMYFUNCTION("GOOGLETRANSLATE(B2032,""es"",""en"")"),"Helicopter")</f>
        <v>Helicopter</v>
      </c>
      <c r="E2032" t="str">
        <f ca="1">IFERROR(__xludf.DUMMYFUNCTION("GOOGLETRANSLATE(C2032,""es"",""en"")"),"#VALUE!")</f>
        <v>#VALUE!</v>
      </c>
    </row>
    <row r="2033" spans="1:5" ht="13.2" x14ac:dyDescent="0.25">
      <c r="A2033" t="s">
        <v>4018</v>
      </c>
      <c r="B2033" t="s">
        <v>4019</v>
      </c>
      <c r="C2033" t="s">
        <v>4020</v>
      </c>
      <c r="D2033" t="str">
        <f ca="1">IFERROR(__xludf.DUMMYFUNCTION("GOOGLETRANSLATE(B2033,""es"",""en"")"),"Return")</f>
        <v>Return</v>
      </c>
      <c r="E2033" t="str">
        <f ca="1">IFERROR(__xludf.DUMMYFUNCTION("GOOGLETRANSLATE(C2033,""es"",""en"")"),"Return, return, turn ,,")</f>
        <v>Return, return, turn ,,</v>
      </c>
    </row>
    <row r="2034" spans="1:5" ht="13.2" x14ac:dyDescent="0.25">
      <c r="A2034" t="s">
        <v>4021</v>
      </c>
      <c r="B2034" t="s">
        <v>4019</v>
      </c>
      <c r="C2034" t="s">
        <v>4022</v>
      </c>
      <c r="D2034" t="str">
        <f ca="1">IFERROR(__xludf.DUMMYFUNCTION("GOOGLETRANSLATE(B2034,""es"",""en"")"),"Return")</f>
        <v>Return</v>
      </c>
      <c r="E2034" t="str">
        <f ca="1">IFERROR(__xludf.DUMMYFUNCTION("GOOGLETRANSLATE(C2034,""es"",""en"")"),"Return, return, turn ,,")</f>
        <v>Return, return, turn ,,</v>
      </c>
    </row>
    <row r="2035" spans="1:5" ht="13.2" x14ac:dyDescent="0.25">
      <c r="A2035" t="s">
        <v>4023</v>
      </c>
      <c r="B2035" t="s">
        <v>4024</v>
      </c>
      <c r="C2035" t="s">
        <v>4025</v>
      </c>
      <c r="D2035" t="str">
        <f ca="1">IFERROR(__xludf.DUMMYFUNCTION("GOOGLETRANSLATE(B2035,""es"",""en"")"),"Fish blue parrot")</f>
        <v>Fish blue parrot</v>
      </c>
      <c r="E2035" t="str">
        <f ca="1">IFERROR(__xludf.DUMMYFUNCTION("GOOGLETRANSLATE(C2035,""es"",""en"")"),"Distorted, , , ,")</f>
        <v>Distorted, , , ,</v>
      </c>
    </row>
    <row r="2036" spans="1:5" ht="13.2" x14ac:dyDescent="0.25">
      <c r="A2036" t="s">
        <v>4026</v>
      </c>
      <c r="B2036" t="s">
        <v>4027</v>
      </c>
      <c r="C2036" t="s">
        <v>4028</v>
      </c>
      <c r="D2036" t="str">
        <f ca="1">IFERROR(__xludf.DUMMYFUNCTION("GOOGLETRANSLATE(B2036,""es"",""en"")"),"Year")</f>
        <v>Year</v>
      </c>
      <c r="E2036" t="str">
        <f ca="1">IFERROR(__xludf.DUMMYFUNCTION("GOOGLETRANSLATE(C2036,""es"",""en"")"),"Age, , , ,")</f>
        <v>Age, , , ,</v>
      </c>
    </row>
    <row r="2037" spans="1:5" ht="13.2" x14ac:dyDescent="0.25">
      <c r="A2037" t="s">
        <v>4029</v>
      </c>
      <c r="B2037" t="s">
        <v>4030</v>
      </c>
      <c r="D2037" t="str">
        <f ca="1">IFERROR(__xludf.DUMMYFUNCTION("GOOGLETRANSLATE(B2037,""es"",""en"")"),"Cestillo")</f>
        <v>Cestillo</v>
      </c>
      <c r="E2037" t="str">
        <f ca="1">IFERROR(__xludf.DUMMYFUNCTION("GOOGLETRANSLATE(C2037,""es"",""en"")"),"#VALUE!")</f>
        <v>#VALUE!</v>
      </c>
    </row>
    <row r="2038" spans="1:5" ht="13.2" x14ac:dyDescent="0.25">
      <c r="A2038" t="s">
        <v>3051</v>
      </c>
      <c r="B2038" t="s">
        <v>3048</v>
      </c>
      <c r="C2038" t="s">
        <v>3049</v>
      </c>
      <c r="D2038" t="str">
        <f ca="1">IFERROR(__xludf.DUMMYFUNCTION("GOOGLETRANSLATE(B2038,""es"",""en"")"),"On")</f>
        <v>On</v>
      </c>
      <c r="E2038" t="str">
        <f ca="1">IFERROR(__xludf.DUMMYFUNCTION("GOOGLETRANSLATE(C2038,""es"",""en"")"),"About, , , ,")</f>
        <v>About, , , ,</v>
      </c>
    </row>
    <row r="2039" spans="1:5" ht="13.2" x14ac:dyDescent="0.25">
      <c r="A2039" t="s">
        <v>3715</v>
      </c>
      <c r="B2039" t="s">
        <v>3695</v>
      </c>
      <c r="D2039" t="str">
        <f ca="1">IFERROR(__xludf.DUMMYFUNCTION("GOOGLETRANSLATE(B2039,""es"",""en"")"),"Wait")</f>
        <v>Wait</v>
      </c>
      <c r="E2039" t="str">
        <f ca="1">IFERROR(__xludf.DUMMYFUNCTION("GOOGLETRANSLATE(C2039,""es"",""en"")"),"#VALUE!")</f>
        <v>#VALUE!</v>
      </c>
    </row>
    <row r="2040" spans="1:5" ht="13.2" x14ac:dyDescent="0.25">
      <c r="A2040" t="s">
        <v>3216</v>
      </c>
      <c r="B2040" t="s">
        <v>3048</v>
      </c>
      <c r="C2040" t="s">
        <v>3049</v>
      </c>
      <c r="D2040" t="str">
        <f ca="1">IFERROR(__xludf.DUMMYFUNCTION("GOOGLETRANSLATE(B2040,""es"",""en"")"),"On")</f>
        <v>On</v>
      </c>
      <c r="E2040" t="str">
        <f ca="1">IFERROR(__xludf.DUMMYFUNCTION("GOOGLETRANSLATE(C2040,""es"",""en"")"),"About, , , ,")</f>
        <v>About, , , ,</v>
      </c>
    </row>
    <row r="2041" spans="1:5" ht="13.2" x14ac:dyDescent="0.25">
      <c r="A2041" t="s">
        <v>177</v>
      </c>
      <c r="B2041" t="s">
        <v>176</v>
      </c>
      <c r="D2041" t="str">
        <f ca="1">IFERROR(__xludf.DUMMYFUNCTION("GOOGLETRANSLATE(B2041,""es"",""en"")"),"Cocobolo tree")</f>
        <v>Cocobolo tree</v>
      </c>
      <c r="E2041" t="str">
        <f ca="1">IFERROR(__xludf.DUMMYFUNCTION("GOOGLETRANSLATE(C2041,""es"",""en"")"),"#VALUE!")</f>
        <v>#VALUE!</v>
      </c>
    </row>
    <row r="2042" spans="1:5" ht="13.2" x14ac:dyDescent="0.25">
      <c r="A2042" t="s">
        <v>4031</v>
      </c>
      <c r="B2042" t="s">
        <v>4032</v>
      </c>
      <c r="D2042" t="str">
        <f ca="1">IFERROR(__xludf.DUMMYFUNCTION("GOOGLETRANSLATE(B2042,""es"",""en"")"),"Fruit of the Cocobolo Tree")</f>
        <v>Fruit of the Cocobolo Tree</v>
      </c>
      <c r="E2042" t="str">
        <f ca="1">IFERROR(__xludf.DUMMYFUNCTION("GOOGLETRANSLATE(C2042,""es"",""en"")"),"#VALUE!")</f>
        <v>#VALUE!</v>
      </c>
    </row>
    <row r="2043" spans="1:5" ht="13.2" x14ac:dyDescent="0.25">
      <c r="A2043" t="s">
        <v>179</v>
      </c>
      <c r="B2043" t="s">
        <v>4033</v>
      </c>
      <c r="D2043" t="str">
        <f ca="1">IFERROR(__xludf.DUMMYFUNCTION("GOOGLETRANSLATE(B2043,""es"",""en"")"),"Cocobolo Tree Fruit")</f>
        <v>Cocobolo Tree Fruit</v>
      </c>
      <c r="E2043" t="str">
        <f ca="1">IFERROR(__xludf.DUMMYFUNCTION("GOOGLETRANSLATE(C2043,""es"",""en"")"),"#VALUE!")</f>
        <v>#VALUE!</v>
      </c>
    </row>
    <row r="2044" spans="1:5" ht="13.2" x14ac:dyDescent="0.25">
      <c r="A2044" t="s">
        <v>4034</v>
      </c>
      <c r="B2044" t="s">
        <v>4035</v>
      </c>
      <c r="D2044" t="str">
        <f ca="1">IFERROR(__xludf.DUMMYFUNCTION("GOOGLETRANSLATE(B2044,""es"",""en"")"),"Peppermint")</f>
        <v>Peppermint</v>
      </c>
      <c r="E2044" t="str">
        <f ca="1">IFERROR(__xludf.DUMMYFUNCTION("GOOGLETRANSLATE(C2044,""es"",""en"")"),"#VALUE!")</f>
        <v>#VALUE!</v>
      </c>
    </row>
    <row r="2045" spans="1:5" ht="13.2" x14ac:dyDescent="0.25">
      <c r="A2045" t="s">
        <v>3378</v>
      </c>
      <c r="B2045" t="s">
        <v>3376</v>
      </c>
      <c r="D2045" t="str">
        <f ca="1">IFERROR(__xludf.DUMMYFUNCTION("GOOGLETRANSLATE(B2045,""es"",""en"")"),"Collect")</f>
        <v>Collect</v>
      </c>
      <c r="E2045" t="str">
        <f ca="1">IFERROR(__xludf.DUMMYFUNCTION("GOOGLETRANSLATE(C2045,""es"",""en"")"),"#VALUE!")</f>
        <v>#VALUE!</v>
      </c>
    </row>
    <row r="2046" spans="1:5" ht="13.2" x14ac:dyDescent="0.25">
      <c r="A2046" t="s">
        <v>3375</v>
      </c>
      <c r="B2046" t="s">
        <v>3376</v>
      </c>
      <c r="C2046" t="s">
        <v>3377</v>
      </c>
      <c r="D2046" t="str">
        <f ca="1">IFERROR(__xludf.DUMMYFUNCTION("GOOGLETRANSLATE(B2046,""es"",""en"")"),"Collect")</f>
        <v>Collect</v>
      </c>
      <c r="E2046" t="str">
        <f ca="1">IFERROR(__xludf.DUMMYFUNCTION("GOOGLETRANSLATE(C2046,""es"",""en"")"),"Chop ,,,,,")</f>
        <v>Chop ,,,,,</v>
      </c>
    </row>
    <row r="2047" spans="1:5" ht="13.2" x14ac:dyDescent="0.25">
      <c r="A2047" t="s">
        <v>4036</v>
      </c>
      <c r="B2047" t="s">
        <v>4037</v>
      </c>
      <c r="C2047" t="s">
        <v>4038</v>
      </c>
      <c r="D2047" t="str">
        <f ca="1">IFERROR(__xludf.DUMMYFUNCTION("GOOGLETRANSLATE(B2047,""es"",""en"")"),"Break")</f>
        <v>Break</v>
      </c>
      <c r="E2047" t="str">
        <f ca="1">IFERROR(__xludf.DUMMYFUNCTION("GOOGLETRANSLATE(C2047,""es"",""en"")"),"Break, , , ,")</f>
        <v>Break, , , ,</v>
      </c>
    </row>
    <row r="2048" spans="1:5" ht="13.2" x14ac:dyDescent="0.25">
      <c r="A2048" t="s">
        <v>4039</v>
      </c>
      <c r="B2048" t="s">
        <v>2440</v>
      </c>
      <c r="D2048" t="s">
        <v>4040</v>
      </c>
      <c r="E2048" t="str">
        <f ca="1">IFERROR(__xludf.DUMMYFUNCTION("GOOGLETRANSLATE(C2048,""es"",""en"")"),"#VALUE!")</f>
        <v>#VALUE!</v>
      </c>
    </row>
    <row r="2049" spans="1:5" ht="13.2" x14ac:dyDescent="0.25">
      <c r="A2049" t="s">
        <v>4041</v>
      </c>
      <c r="B2049" t="s">
        <v>4042</v>
      </c>
      <c r="C2049" t="s">
        <v>4043</v>
      </c>
      <c r="D2049" t="s">
        <v>4044</v>
      </c>
      <c r="E2049" t="str">
        <f ca="1">IFERROR(__xludf.DUMMYFUNCTION("GOOGLETRANSLATE(C2049,""es"",""en"")"),"Tortuous, scribble ,,,")</f>
        <v>Tortuous, scribble ,,,</v>
      </c>
    </row>
    <row r="2050" spans="1:5" ht="13.2" x14ac:dyDescent="0.25">
      <c r="A2050" t="s">
        <v>3747</v>
      </c>
      <c r="B2050" t="s">
        <v>3716</v>
      </c>
      <c r="D2050" t="str">
        <f ca="1">IFERROR(__xludf.DUMMYFUNCTION("GOOGLETRANSLATE(B2050,""es"",""en"")"),"Wait")</f>
        <v>Wait</v>
      </c>
      <c r="E2050" t="str">
        <f ca="1">IFERROR(__xludf.DUMMYFUNCTION("GOOGLETRANSLATE(C2050,""es"",""en"")"),"#VALUE!")</f>
        <v>#VALUE!</v>
      </c>
    </row>
    <row r="2051" spans="1:5" ht="13.2" x14ac:dyDescent="0.25">
      <c r="A2051" t="s">
        <v>4045</v>
      </c>
      <c r="B2051" t="s">
        <v>4046</v>
      </c>
      <c r="C2051" t="s">
        <v>4047</v>
      </c>
      <c r="D2051" t="str">
        <f ca="1">IFERROR(__xludf.DUMMYFUNCTION("GOOGLETRANSLATE(B2051,""es"",""en"")"),"Cry")</f>
        <v>Cry</v>
      </c>
      <c r="E2051" t="s">
        <v>4048</v>
      </c>
    </row>
    <row r="2052" spans="1:5" ht="13.2" x14ac:dyDescent="0.25">
      <c r="A2052" t="s">
        <v>4049</v>
      </c>
      <c r="B2052" t="s">
        <v>4046</v>
      </c>
      <c r="C2052" t="s">
        <v>4047</v>
      </c>
      <c r="D2052" t="str">
        <f ca="1">IFERROR(__xludf.DUMMYFUNCTION("GOOGLETRANSLATE(B2052,""es"",""en"")"),"Cry")</f>
        <v>Cry</v>
      </c>
      <c r="E2052" t="s">
        <v>4048</v>
      </c>
    </row>
    <row r="2053" spans="1:5" ht="13.2" x14ac:dyDescent="0.25">
      <c r="A2053" t="s">
        <v>4050</v>
      </c>
      <c r="B2053" t="s">
        <v>4051</v>
      </c>
      <c r="D2053" t="str">
        <f ca="1">IFERROR(__xludf.DUMMYFUNCTION("GOOGLETRANSLATE(B2053,""es"",""en"")"),"Weeping")</f>
        <v>Weeping</v>
      </c>
      <c r="E2053" t="str">
        <f ca="1">IFERROR(__xludf.DUMMYFUNCTION("GOOGLETRANSLATE(C2053,""es"",""en"")"),"#VALUE!")</f>
        <v>#VALUE!</v>
      </c>
    </row>
    <row r="2054" spans="1:5" ht="13.2" x14ac:dyDescent="0.25">
      <c r="A2054" t="s">
        <v>4052</v>
      </c>
      <c r="B2054" t="s">
        <v>4051</v>
      </c>
      <c r="D2054" t="str">
        <f ca="1">IFERROR(__xludf.DUMMYFUNCTION("GOOGLETRANSLATE(B2054,""es"",""en"")"),"Weeping")</f>
        <v>Weeping</v>
      </c>
      <c r="E2054" t="str">
        <f ca="1">IFERROR(__xludf.DUMMYFUNCTION("GOOGLETRANSLATE(C2054,""es"",""en"")"),"#VALUE!")</f>
        <v>#VALUE!</v>
      </c>
    </row>
    <row r="2055" spans="1:5" ht="13.2" x14ac:dyDescent="0.25">
      <c r="A2055" t="s">
        <v>4053</v>
      </c>
      <c r="B2055" t="s">
        <v>4054</v>
      </c>
      <c r="C2055" t="s">
        <v>4055</v>
      </c>
      <c r="D2055" t="str">
        <f ca="1">IFERROR(__xludf.DUMMYFUNCTION("GOOGLETRANSLATE(B2055,""es"",""en"")"),"Calm down")</f>
        <v>Calm down</v>
      </c>
      <c r="E2055" t="str">
        <f ca="1">IFERROR(__xludf.DUMMYFUNCTION("GOOGLETRANSLATE(C2055,""es"",""en"")"),"Calm down, appeased, here,")</f>
        <v>Calm down, appeased, here,</v>
      </c>
    </row>
    <row r="2056" spans="1:5" ht="13.2" x14ac:dyDescent="0.25">
      <c r="A2056" t="s">
        <v>4056</v>
      </c>
      <c r="B2056" t="s">
        <v>1573</v>
      </c>
      <c r="C2056" t="s">
        <v>1574</v>
      </c>
      <c r="D2056" t="s">
        <v>4057</v>
      </c>
      <c r="E2056" t="str">
        <f ca="1">IFERROR(__xludf.DUMMYFUNCTION("GOOGLETRANSLATE(C2056,""es"",""en"")"),"Calm, , , ,")</f>
        <v>Calm, , , ,</v>
      </c>
    </row>
    <row r="2057" spans="1:5" ht="13.2" x14ac:dyDescent="0.25">
      <c r="A2057" t="s">
        <v>4058</v>
      </c>
      <c r="B2057" t="s">
        <v>1573</v>
      </c>
      <c r="C2057" t="s">
        <v>1574</v>
      </c>
      <c r="D2057" t="s">
        <v>4057</v>
      </c>
      <c r="E2057" t="str">
        <f ca="1">IFERROR(__xludf.DUMMYFUNCTION("GOOGLETRANSLATE(C2057,""es"",""en"")"),"Calm, , , ,")</f>
        <v>Calm, , , ,</v>
      </c>
    </row>
    <row r="2058" spans="1:5" ht="13.2" x14ac:dyDescent="0.25">
      <c r="A2058" t="s">
        <v>4059</v>
      </c>
      <c r="B2058" t="s">
        <v>4060</v>
      </c>
      <c r="D2058" t="str">
        <f ca="1">IFERROR(__xludf.DUMMYFUNCTION("GOOGLETRANSLATE(B2058,""es"",""en"")"),"Stillness")</f>
        <v>Stillness</v>
      </c>
      <c r="E2058" t="str">
        <f ca="1">IFERROR(__xludf.DUMMYFUNCTION("GOOGLETRANSLATE(C2058,""es"",""en"")"),"#VALUE!")</f>
        <v>#VALUE!</v>
      </c>
    </row>
    <row r="2059" spans="1:5" ht="13.2" x14ac:dyDescent="0.25">
      <c r="A2059" t="s">
        <v>4061</v>
      </c>
      <c r="B2059" t="s">
        <v>4060</v>
      </c>
      <c r="D2059" t="str">
        <f ca="1">IFERROR(__xludf.DUMMYFUNCTION("GOOGLETRANSLATE(B2059,""es"",""en"")"),"Stillness")</f>
        <v>Stillness</v>
      </c>
      <c r="E2059" t="str">
        <f ca="1">IFERROR(__xludf.DUMMYFUNCTION("GOOGLETRANSLATE(C2059,""es"",""en"")"),"#VALUE!")</f>
        <v>#VALUE!</v>
      </c>
    </row>
    <row r="2060" spans="1:5" ht="13.2" x14ac:dyDescent="0.25">
      <c r="A2060" t="s">
        <v>4062</v>
      </c>
      <c r="B2060" t="s">
        <v>4063</v>
      </c>
      <c r="D2060" t="str">
        <f ca="1">IFERROR(__xludf.DUMMYFUNCTION("GOOGLETRANSLATE(B2060,""es"",""en"")"),"Two")</f>
        <v>Two</v>
      </c>
      <c r="E2060" t="str">
        <f ca="1">IFERROR(__xludf.DUMMYFUNCTION("GOOGLETRANSLATE(C2060,""es"",""en"")"),"#VALUE!")</f>
        <v>#VALUE!</v>
      </c>
    </row>
    <row r="2061" spans="1:5" ht="13.2" x14ac:dyDescent="0.25">
      <c r="A2061" t="s">
        <v>3694</v>
      </c>
      <c r="B2061" t="s">
        <v>3748</v>
      </c>
      <c r="D2061" t="str">
        <f ca="1">IFERROR(__xludf.DUMMYFUNCTION("GOOGLETRANSLATE(B2061,""es"",""en"")"),"Go to encounter")</f>
        <v>Go to encounter</v>
      </c>
      <c r="E2061" t="str">
        <f ca="1">IFERROR(__xludf.DUMMYFUNCTION("GOOGLETRANSLATE(C2061,""es"",""en"")"),"#VALUE!")</f>
        <v>#VALUE!</v>
      </c>
    </row>
    <row r="2062" spans="1:5" ht="13.2" x14ac:dyDescent="0.25">
      <c r="A2062" t="s">
        <v>4064</v>
      </c>
      <c r="B2062" t="s">
        <v>4063</v>
      </c>
      <c r="D2062" t="str">
        <f ca="1">IFERROR(__xludf.DUMMYFUNCTION("GOOGLETRANSLATE(B2062,""es"",""en"")"),"Two")</f>
        <v>Two</v>
      </c>
      <c r="E2062" t="str">
        <f ca="1">IFERROR(__xludf.DUMMYFUNCTION("GOOGLETRANSLATE(C2062,""es"",""en"")"),"#VALUE!")</f>
        <v>#VALUE!</v>
      </c>
    </row>
    <row r="2063" spans="1:5" ht="13.2" x14ac:dyDescent="0.25">
      <c r="A2063" t="s">
        <v>4065</v>
      </c>
      <c r="B2063" t="s">
        <v>4066</v>
      </c>
      <c r="C2063" t="s">
        <v>4067</v>
      </c>
      <c r="D2063" t="str">
        <f ca="1">IFERROR(__xludf.DUMMYFUNCTION("GOOGLETRANSLATE(B2063,""es"",""en"")"),"Early morning")</f>
        <v>Early morning</v>
      </c>
      <c r="E2063" t="str">
        <f ca="1">IFERROR(__xludf.DUMMYFUNCTION("GOOGLETRANSLATE(C2063,""es"",""en"")"),"Aurora, Alba, early ,,,")</f>
        <v>Aurora, Alba, early ,,,</v>
      </c>
    </row>
    <row r="2064" spans="1:5" ht="13.2" x14ac:dyDescent="0.25">
      <c r="A2064" t="s">
        <v>4068</v>
      </c>
      <c r="B2064" t="s">
        <v>4066</v>
      </c>
      <c r="C2064" t="s">
        <v>4067</v>
      </c>
      <c r="D2064" t="str">
        <f ca="1">IFERROR(__xludf.DUMMYFUNCTION("GOOGLETRANSLATE(B2064,""es"",""en"")"),"Early morning")</f>
        <v>Early morning</v>
      </c>
      <c r="E2064" t="str">
        <f ca="1">IFERROR(__xludf.DUMMYFUNCTION("GOOGLETRANSLATE(C2064,""es"",""en"")"),"Aurora, Alba, early ,,,")</f>
        <v>Aurora, Alba, early ,,,</v>
      </c>
    </row>
    <row r="2065" spans="1:5" ht="13.2" x14ac:dyDescent="0.25">
      <c r="A2065" t="s">
        <v>4069</v>
      </c>
      <c r="B2065" t="s">
        <v>4070</v>
      </c>
      <c r="C2065" t="s">
        <v>4071</v>
      </c>
      <c r="D2065" t="str">
        <f ca="1">IFERROR(__xludf.DUMMYFUNCTION("GOOGLETRANSLATE(B2065,""es"",""en"")"),"Sparkle the water")</f>
        <v>Sparkle the water</v>
      </c>
      <c r="E2065" t="str">
        <f ca="1">IFERROR(__xludf.DUMMYFUNCTION("GOOGLETRANSLATE(C2065,""es"",""en"")"),"Lloviznar ,,,,")</f>
        <v>Lloviznar ,,,,</v>
      </c>
    </row>
    <row r="2066" spans="1:5" ht="13.2" x14ac:dyDescent="0.25">
      <c r="A2066" t="s">
        <v>4072</v>
      </c>
      <c r="B2066" t="s">
        <v>4073</v>
      </c>
      <c r="C2066" t="s">
        <v>4071</v>
      </c>
      <c r="D2066" t="str">
        <f ca="1">IFERROR(__xludf.DUMMYFUNCTION("GOOGLETRANSLATE(B2066,""es"",""en"")"),"Spark")</f>
        <v>Spark</v>
      </c>
      <c r="E2066" t="str">
        <f ca="1">IFERROR(__xludf.DUMMYFUNCTION("GOOGLETRANSLATE(C2066,""es"",""en"")"),"Lloviznar ,,,,")</f>
        <v>Lloviznar ,,,,</v>
      </c>
    </row>
    <row r="2067" spans="1:5" ht="13.2" x14ac:dyDescent="0.25">
      <c r="A2067" t="s">
        <v>4074</v>
      </c>
      <c r="B2067" t="s">
        <v>4075</v>
      </c>
      <c r="C2067" t="s">
        <v>4076</v>
      </c>
      <c r="D2067" t="str">
        <f ca="1">IFERROR(__xludf.DUMMYFUNCTION("GOOGLETRANSLATE(B2067,""es"",""en"")"),"Danger")</f>
        <v>Danger</v>
      </c>
      <c r="E2067" t="str">
        <f ca="1">IFERROR(__xludf.DUMMYFUNCTION("GOOGLETRANSLATE(C2067,""es"",""en"")"),"Difficulty ,,,,")</f>
        <v>Difficulty ,,,,</v>
      </c>
    </row>
    <row r="2068" spans="1:5" ht="13.2" x14ac:dyDescent="0.25">
      <c r="A2068" t="s">
        <v>4077</v>
      </c>
      <c r="B2068" t="s">
        <v>4078</v>
      </c>
      <c r="D2068" t="str">
        <f ca="1">IFERROR(__xludf.DUMMYFUNCTION("GOOGLETRANSLATE(B2068,""es"",""en"")"),"Malaria")</f>
        <v>Malaria</v>
      </c>
      <c r="E2068" t="str">
        <f ca="1">IFERROR(__xludf.DUMMYFUNCTION("GOOGLETRANSLATE(C2068,""es"",""en"")"),"#VALUE!")</f>
        <v>#VALUE!</v>
      </c>
    </row>
    <row r="2069" spans="1:5" ht="13.2" x14ac:dyDescent="0.25">
      <c r="A2069" t="s">
        <v>4079</v>
      </c>
      <c r="B2069" t="s">
        <v>4080</v>
      </c>
      <c r="C2069" t="s">
        <v>4081</v>
      </c>
      <c r="D2069" t="str">
        <f ca="1">IFERROR(__xludf.DUMMYFUNCTION("GOOGLETRANSLATE(B2069,""es"",""en"")"),"Dangerous")</f>
        <v>Dangerous</v>
      </c>
      <c r="E2069" t="s">
        <v>4082</v>
      </c>
    </row>
    <row r="2070" spans="1:5" ht="13.2" x14ac:dyDescent="0.25">
      <c r="A2070" t="s">
        <v>4083</v>
      </c>
      <c r="B2070" t="s">
        <v>4084</v>
      </c>
      <c r="C2070" t="s">
        <v>4085</v>
      </c>
      <c r="D2070" t="str">
        <f ca="1">IFERROR(__xludf.DUMMYFUNCTION("GOOGLETRANSLATE(B2070,""es"",""en"")"),"Fog")</f>
        <v>Fog</v>
      </c>
      <c r="E2070" t="str">
        <f ca="1">IFERROR(__xludf.DUMMYFUNCTION("GOOGLETRANSLATE(C2070,""es"",""en"")"),"Haze, , , ,")</f>
        <v>Haze, , , ,</v>
      </c>
    </row>
    <row r="2071" spans="1:5" ht="13.2" x14ac:dyDescent="0.25">
      <c r="A2071" t="s">
        <v>4086</v>
      </c>
      <c r="B2071" t="s">
        <v>4087</v>
      </c>
      <c r="D2071" t="s">
        <v>4088</v>
      </c>
      <c r="E2071" t="str">
        <f ca="1">IFERROR(__xludf.DUMMYFUNCTION("GOOGLETRANSLATE(C2071,""es"",""en"")"),"#VALUE!")</f>
        <v>#VALUE!</v>
      </c>
    </row>
    <row r="2072" spans="1:5" ht="13.2" x14ac:dyDescent="0.25">
      <c r="A2072" t="s">
        <v>4089</v>
      </c>
      <c r="B2072" t="s">
        <v>4090</v>
      </c>
      <c r="C2072" t="s">
        <v>4091</v>
      </c>
      <c r="D2072" t="str">
        <f ca="1">IFERROR(__xludf.DUMMYFUNCTION("GOOGLETRANSLATE(B2072,""es"",""en"")"),"Receive")</f>
        <v>Receive</v>
      </c>
      <c r="E2072" t="str">
        <f ca="1">IFERROR(__xludf.DUMMYFUNCTION("GOOGLETRANSLATE(C2072,""es"",""en"")"),"Embrace, , , ,")</f>
        <v>Embrace, , , ,</v>
      </c>
    </row>
    <row r="2073" spans="1:5" ht="13.2" x14ac:dyDescent="0.25">
      <c r="A2073" t="s">
        <v>4092</v>
      </c>
      <c r="B2073" t="s">
        <v>4093</v>
      </c>
      <c r="D2073" t="str">
        <f ca="1">IFERROR(__xludf.DUMMYFUNCTION("GOOGLETRANSLATE(B2073,""es"",""en"")"),"Sprout in a gaseous state")</f>
        <v>Sprout in a gaseous state</v>
      </c>
      <c r="E2073" t="str">
        <f ca="1">IFERROR(__xludf.DUMMYFUNCTION("GOOGLETRANSLATE(C2073,""es"",""en"")"),"#VALUE!")</f>
        <v>#VALUE!</v>
      </c>
    </row>
    <row r="2074" spans="1:5" ht="13.2" x14ac:dyDescent="0.25">
      <c r="A2074" t="s">
        <v>4094</v>
      </c>
      <c r="B2074" t="s">
        <v>4095</v>
      </c>
      <c r="C2074" t="s">
        <v>4096</v>
      </c>
      <c r="D2074" t="str">
        <f ca="1">IFERROR(__xludf.DUMMYFUNCTION("GOOGLETRANSLATE(B2074,""es"",""en"")"),"Weakness")</f>
        <v>Weakness</v>
      </c>
      <c r="E2074" t="str">
        <f ca="1">IFERROR(__xludf.DUMMYFUNCTION("GOOGLETRANSLATE(C2074,""es"",""en"")"),"Drowsiness, , , ,")</f>
        <v>Drowsiness, , , ,</v>
      </c>
    </row>
    <row r="2075" spans="1:5" ht="13.2" x14ac:dyDescent="0.25">
      <c r="A2075" t="s">
        <v>4097</v>
      </c>
      <c r="B2075" t="s">
        <v>4098</v>
      </c>
      <c r="D2075" t="str">
        <f ca="1">IFERROR(__xludf.DUMMYFUNCTION("GOOGLETRANSLATE(B2075,""es"",""en"")"),"Sea urchin")</f>
        <v>Sea urchin</v>
      </c>
      <c r="E2075" t="str">
        <f ca="1">IFERROR(__xludf.DUMMYFUNCTION("GOOGLETRANSLATE(C2075,""es"",""en"")"),"#VALUE!")</f>
        <v>#VALUE!</v>
      </c>
    </row>
    <row r="2076" spans="1:5" ht="13.2" x14ac:dyDescent="0.25">
      <c r="A2076" t="s">
        <v>4099</v>
      </c>
      <c r="B2076" t="s">
        <v>4100</v>
      </c>
      <c r="D2076" t="str">
        <f ca="1">IFERROR(__xludf.DUMMYFUNCTION("GOOGLETRANSLATE(B2076,""es"",""en"")"),"Bottle")</f>
        <v>Bottle</v>
      </c>
      <c r="E2076" t="str">
        <f ca="1">IFERROR(__xludf.DUMMYFUNCTION("GOOGLETRANSLATE(C2076,""es"",""en"")"),"#VALUE!")</f>
        <v>#VALUE!</v>
      </c>
    </row>
    <row r="2077" spans="1:5" ht="13.2" x14ac:dyDescent="0.25">
      <c r="A2077" t="s">
        <v>4101</v>
      </c>
      <c r="B2077" t="s">
        <v>1269</v>
      </c>
      <c r="C2077" t="s">
        <v>4102</v>
      </c>
      <c r="D2077" t="s">
        <v>4103</v>
      </c>
      <c r="E2077" t="str">
        <f ca="1">IFERROR(__xludf.DUMMYFUNCTION("GOOGLETRANSLATE(C2077,""es"",""en"")"),"Ark partridge ,,,,")</f>
        <v>Ark partridge ,,,,</v>
      </c>
    </row>
    <row r="2078" spans="1:5" ht="13.2" x14ac:dyDescent="0.25">
      <c r="A2078" t="s">
        <v>4104</v>
      </c>
      <c r="B2078" t="s">
        <v>4105</v>
      </c>
      <c r="D2078" t="str">
        <f ca="1">IFERROR(__xludf.DUMMYFUNCTION("GOOGLETRANSLATE(B2078,""es"",""en"")"),"Get hurried")</f>
        <v>Get hurried</v>
      </c>
      <c r="E2078" t="str">
        <f ca="1">IFERROR(__xludf.DUMMYFUNCTION("GOOGLETRANSLATE(C2078,""es"",""en"")"),"#VALUE!")</f>
        <v>#VALUE!</v>
      </c>
    </row>
    <row r="2079" spans="1:5" ht="13.2" x14ac:dyDescent="0.25">
      <c r="A2079" t="s">
        <v>4106</v>
      </c>
      <c r="B2079" t="s">
        <v>4107</v>
      </c>
      <c r="D2079" t="str">
        <f ca="1">IFERROR(__xludf.DUMMYFUNCTION("GOOGLETRANSLATE(B2079,""es"",""en"")"),"Blowgun")</f>
        <v>Blowgun</v>
      </c>
      <c r="E2079" t="str">
        <f ca="1">IFERROR(__xludf.DUMMYFUNCTION("GOOGLETRANSLATE(C2079,""es"",""en"")"),"#VALUE!")</f>
        <v>#VALUE!</v>
      </c>
    </row>
    <row r="2080" spans="1:5" ht="13.2" x14ac:dyDescent="0.25">
      <c r="A2080" t="s">
        <v>4108</v>
      </c>
      <c r="B2080" t="s">
        <v>4109</v>
      </c>
      <c r="D2080" t="str">
        <f ca="1">IFERROR(__xludf.DUMMYFUNCTION("GOOGLETRANSLATE(B2080,""es"",""en"")"),"Strainer")</f>
        <v>Strainer</v>
      </c>
      <c r="E2080" t="str">
        <f ca="1">IFERROR(__xludf.DUMMYFUNCTION("GOOGLETRANSLATE(C2080,""es"",""en"")"),"#VALUE!")</f>
        <v>#VALUE!</v>
      </c>
    </row>
    <row r="2081" spans="1:5" ht="13.2" x14ac:dyDescent="0.25">
      <c r="A2081" t="s">
        <v>4110</v>
      </c>
      <c r="B2081" t="s">
        <v>1459</v>
      </c>
      <c r="C2081" t="s">
        <v>4111</v>
      </c>
      <c r="D2081" t="str">
        <f ca="1">IFERROR(__xludf.DUMMYFUNCTION("GOOGLETRANSLATE(B2081,""es"",""en"")"),"A lot")</f>
        <v>A lot</v>
      </c>
      <c r="E2081" t="str">
        <f ca="1">IFERROR(__xludf.DUMMYFUNCTION("GOOGLETRANSLATE(C2081,""es"",""en"")"),"Numerous ,,,,")</f>
        <v>Numerous ,,,,</v>
      </c>
    </row>
    <row r="2082" spans="1:5" ht="13.2" x14ac:dyDescent="0.25">
      <c r="A2082" t="s">
        <v>3452</v>
      </c>
      <c r="B2082" t="s">
        <v>3450</v>
      </c>
      <c r="C2082" t="s">
        <v>3451</v>
      </c>
      <c r="D2082" t="str">
        <f ca="1">IFERROR(__xludf.DUMMYFUNCTION("GOOGLETRANSLATE(B2082,""es"",""en"")"),"Sadness")</f>
        <v>Sadness</v>
      </c>
      <c r="E2082" t="str">
        <f ca="1">IFERROR(__xludf.DUMMYFUNCTION("GOOGLETRANSLATE(C2082,""es"",""en"")"),"Hightenance ,,,,")</f>
        <v>Hightenance ,,,,</v>
      </c>
    </row>
    <row r="2083" spans="1:5" ht="13.2" x14ac:dyDescent="0.25">
      <c r="A2083" t="s">
        <v>4112</v>
      </c>
      <c r="B2083" t="s">
        <v>4113</v>
      </c>
      <c r="C2083" t="s">
        <v>4114</v>
      </c>
      <c r="D2083" t="str">
        <f ca="1">IFERROR(__xludf.DUMMYFUNCTION("GOOGLETRANSLATE(B2083,""es"",""en"")"),"Meet")</f>
        <v>Meet</v>
      </c>
      <c r="E2083" t="str">
        <f ca="1">IFERROR(__xludf.DUMMYFUNCTION("GOOGLETRANSLATE(C2083,""es"",""en"")"),"Top, find yourself ,,,,")</f>
        <v>Top, find yourself ,,,,</v>
      </c>
    </row>
    <row r="2084" spans="1:5" ht="13.2" x14ac:dyDescent="0.25">
      <c r="A2084" t="s">
        <v>3449</v>
      </c>
      <c r="B2084" t="s">
        <v>3450</v>
      </c>
      <c r="C2084" t="s">
        <v>3451</v>
      </c>
      <c r="D2084" t="str">
        <f ca="1">IFERROR(__xludf.DUMMYFUNCTION("GOOGLETRANSLATE(B2084,""es"",""en"")"),"Sadness")</f>
        <v>Sadness</v>
      </c>
      <c r="E2084" t="str">
        <f ca="1">IFERROR(__xludf.DUMMYFUNCTION("GOOGLETRANSLATE(C2084,""es"",""en"")"),"Hightenance ,,,,")</f>
        <v>Hightenance ,,,,</v>
      </c>
    </row>
    <row r="2085" spans="1:5" ht="13.2" x14ac:dyDescent="0.25">
      <c r="A2085" t="s">
        <v>4115</v>
      </c>
      <c r="B2085" t="s">
        <v>3537</v>
      </c>
      <c r="C2085" t="s">
        <v>1532</v>
      </c>
      <c r="D2085" t="str">
        <f ca="1">IFERROR(__xludf.DUMMYFUNCTION("GOOGLETRANSLATE(B2085,""es"",""en"")"),"Large")</f>
        <v>Large</v>
      </c>
      <c r="E2085" t="str">
        <f ca="1">IFERROR(__xludf.DUMMYFUNCTION("GOOGLETRANSLATE(C2085,""es"",""en"")"),"A lot, , , ,")</f>
        <v>A lot, , , ,</v>
      </c>
    </row>
    <row r="2086" spans="1:5" ht="13.2" x14ac:dyDescent="0.25">
      <c r="A2086" t="s">
        <v>3539</v>
      </c>
      <c r="B2086" t="s">
        <v>3537</v>
      </c>
      <c r="C2086" t="s">
        <v>1532</v>
      </c>
      <c r="D2086" t="str">
        <f ca="1">IFERROR(__xludf.DUMMYFUNCTION("GOOGLETRANSLATE(B2086,""es"",""en"")"),"Large")</f>
        <v>Large</v>
      </c>
      <c r="E2086" t="str">
        <f ca="1">IFERROR(__xludf.DUMMYFUNCTION("GOOGLETRANSLATE(C2086,""es"",""en"")"),"A lot, , , ,")</f>
        <v>A lot, , , ,</v>
      </c>
    </row>
    <row r="2087" spans="1:5" ht="13.2" x14ac:dyDescent="0.25">
      <c r="A2087" t="s">
        <v>4116</v>
      </c>
      <c r="B2087" t="s">
        <v>3537</v>
      </c>
      <c r="C2087" t="s">
        <v>1532</v>
      </c>
      <c r="D2087" t="str">
        <f ca="1">IFERROR(__xludf.DUMMYFUNCTION("GOOGLETRANSLATE(B2087,""es"",""en"")"),"Large")</f>
        <v>Large</v>
      </c>
      <c r="E2087" t="str">
        <f ca="1">IFERROR(__xludf.DUMMYFUNCTION("GOOGLETRANSLATE(C2087,""es"",""en"")"),"A lot, , , ,")</f>
        <v>A lot, , , ,</v>
      </c>
    </row>
    <row r="2088" spans="1:5" ht="13.2" x14ac:dyDescent="0.25">
      <c r="A2088" t="s">
        <v>4117</v>
      </c>
      <c r="B2088" t="s">
        <v>4118</v>
      </c>
      <c r="C2088" t="s">
        <v>4119</v>
      </c>
      <c r="D2088" t="s">
        <v>4120</v>
      </c>
      <c r="E2088" t="str">
        <f ca="1">IFERROR(__xludf.DUMMYFUNCTION("GOOGLETRANSLATE(C2088,""es"",""en"")"),"Verb of being")</f>
        <v>Verb of being</v>
      </c>
    </row>
    <row r="2089" spans="1:5" ht="13.2" x14ac:dyDescent="0.25">
      <c r="A2089" t="s">
        <v>4121</v>
      </c>
      <c r="B2089" t="s">
        <v>4122</v>
      </c>
      <c r="C2089" t="s">
        <v>4123</v>
      </c>
      <c r="D2089" t="str">
        <f ca="1">IFERROR(__xludf.DUMMYFUNCTION("GOOGLETRANSLATE(B2089,""es"",""en"")"),"Pumppiece to wear corn chicha")</f>
        <v>Pumppiece to wear corn chicha</v>
      </c>
      <c r="E2089" t="str">
        <f ca="1">IFERROR(__xludf.DUMMYFUNCTION("GOOGLETRANSLATE(C2089,""es"",""en"")"),"Cantimplora ,,,,")</f>
        <v>Cantimplora ,,,,</v>
      </c>
    </row>
    <row r="2090" spans="1:5" ht="13.2" x14ac:dyDescent="0.25">
      <c r="A2090" t="s">
        <v>750</v>
      </c>
      <c r="B2090" t="s">
        <v>751</v>
      </c>
      <c r="C2090" t="s">
        <v>3738</v>
      </c>
      <c r="D2090" t="s">
        <v>3739</v>
      </c>
      <c r="E2090" t="str">
        <f ca="1">IFERROR(__xludf.DUMMYFUNCTION("GOOGLETRANSLATE(C2090,""es"",""en"")"),"Venus, Lucero ,,,")</f>
        <v>Venus, Lucero ,,,</v>
      </c>
    </row>
    <row r="2091" spans="1:5" ht="13.2" x14ac:dyDescent="0.25">
      <c r="A2091" t="s">
        <v>4124</v>
      </c>
      <c r="B2091" t="s">
        <v>4125</v>
      </c>
      <c r="C2091" t="s">
        <v>4125</v>
      </c>
      <c r="D2091" t="s">
        <v>3739</v>
      </c>
      <c r="E2091" t="str">
        <f ca="1">IFERROR(__xludf.DUMMYFUNCTION("GOOGLETRANSLATE(C2091,""es"",""en"")"),"Ibeler's brother")</f>
        <v>Ibeler's brother</v>
      </c>
    </row>
    <row r="2092" spans="1:5" ht="13.2" x14ac:dyDescent="0.25">
      <c r="A2092" t="s">
        <v>4126</v>
      </c>
      <c r="B2092" t="s">
        <v>4127</v>
      </c>
      <c r="C2092" t="s">
        <v>4128</v>
      </c>
      <c r="D2092" t="str">
        <f ca="1">IFERROR(__xludf.DUMMYFUNCTION("GOOGLETRANSLATE(B2092,""es"",""en"")"),"Undergrowth")</f>
        <v>Undergrowth</v>
      </c>
      <c r="E2092" t="str">
        <f ca="1">IFERROR(__xludf.DUMMYFUNCTION("GOOGLETRANSLATE(C2092,""es"",""en"")"),"Scrub, garbage ,,,")</f>
        <v>Scrub, garbage ,,,</v>
      </c>
    </row>
    <row r="2093" spans="1:5" ht="13.2" x14ac:dyDescent="0.25">
      <c r="A2093" t="s">
        <v>4129</v>
      </c>
      <c r="B2093" t="s">
        <v>4130</v>
      </c>
      <c r="C2093" t="s">
        <v>4131</v>
      </c>
      <c r="D2093" t="str">
        <f ca="1">IFERROR(__xludf.DUMMYFUNCTION("GOOGLETRANSLATE(B2093,""es"",""en"")"),"Among all")</f>
        <v>Among all</v>
      </c>
      <c r="E2093" t="str">
        <f ca="1">IFERROR(__xludf.DUMMYFUNCTION("GOOGLETRANSLATE(C2093,""es"",""en"")"),"Together, United ,,,")</f>
        <v>Together, United ,,,</v>
      </c>
    </row>
    <row r="2094" spans="1:5" ht="13.2" x14ac:dyDescent="0.25">
      <c r="A2094" t="s">
        <v>4132</v>
      </c>
      <c r="B2094" t="s">
        <v>4133</v>
      </c>
      <c r="D2094" t="str">
        <f ca="1">IFERROR(__xludf.DUMMYFUNCTION("GOOGLETRANSLATE(B2094,""es"",""en"")"),"Rather")</f>
        <v>Rather</v>
      </c>
      <c r="E2094" t="str">
        <f ca="1">IFERROR(__xludf.DUMMYFUNCTION("GOOGLETRANSLATE(C2094,""es"",""en"")"),"#VALUE!")</f>
        <v>#VALUE!</v>
      </c>
    </row>
    <row r="2095" spans="1:5" ht="13.2" x14ac:dyDescent="0.25">
      <c r="A2095" t="s">
        <v>2018</v>
      </c>
      <c r="B2095" t="s">
        <v>4134</v>
      </c>
      <c r="D2095" t="str">
        <f ca="1">IFERROR(__xludf.DUMMYFUNCTION("GOOGLETRANSLATE(B2095,""es"",""en"")"),"For something")</f>
        <v>For something</v>
      </c>
      <c r="E2095" t="str">
        <f ca="1">IFERROR(__xludf.DUMMYFUNCTION("GOOGLETRANSLATE(C2095,""es"",""en"")"),"#VALUE!")</f>
        <v>#VALUE!</v>
      </c>
    </row>
    <row r="2096" spans="1:5" ht="13.2" x14ac:dyDescent="0.25">
      <c r="A2096" t="s">
        <v>4135</v>
      </c>
      <c r="B2096" t="s">
        <v>4130</v>
      </c>
      <c r="C2096" t="s">
        <v>4131</v>
      </c>
      <c r="D2096" t="str">
        <f ca="1">IFERROR(__xludf.DUMMYFUNCTION("GOOGLETRANSLATE(B2096,""es"",""en"")"),"Among all")</f>
        <v>Among all</v>
      </c>
      <c r="E2096" t="s">
        <v>4136</v>
      </c>
    </row>
    <row r="2097" spans="1:5" ht="13.2" x14ac:dyDescent="0.25">
      <c r="A2097" t="s">
        <v>4137</v>
      </c>
      <c r="B2097" t="s">
        <v>4138</v>
      </c>
      <c r="C2097" t="s">
        <v>4139</v>
      </c>
      <c r="D2097" t="str">
        <f ca="1">IFERROR(__xludf.DUMMYFUNCTION("GOOGLETRANSLATE(B2097,""es"",""en"")"),"Joined")</f>
        <v>Joined</v>
      </c>
      <c r="E2097" t="str">
        <f ca="1">IFERROR(__xludf.DUMMYFUNCTION("GOOGLETRANSLATE(C2097,""es"",""en"")"),"Together like grass ,,,,,")</f>
        <v>Together like grass ,,,,,</v>
      </c>
    </row>
    <row r="2098" spans="1:5" ht="13.2" x14ac:dyDescent="0.25">
      <c r="A2098" t="s">
        <v>4140</v>
      </c>
      <c r="D2098" t="str">
        <f ca="1">IFERROR(__xludf.DUMMYFUNCTION("GOOGLETRANSLATE(B2098,""es"",""en"")"),"#VALUE!")</f>
        <v>#VALUE!</v>
      </c>
      <c r="E2098" t="str">
        <f ca="1">IFERROR(__xludf.DUMMYFUNCTION("GOOGLETRANSLATE(C2098,""es"",""en"")"),"#VALUE!")</f>
        <v>#VALUE!</v>
      </c>
    </row>
    <row r="2099" spans="1:5" ht="13.2" x14ac:dyDescent="0.25">
      <c r="A2099" t="s">
        <v>3819</v>
      </c>
      <c r="B2099" t="s">
        <v>4141</v>
      </c>
      <c r="C2099" t="s">
        <v>3917</v>
      </c>
      <c r="D2099" t="str">
        <f ca="1">IFERROR(__xludf.DUMMYFUNCTION("GOOGLETRANSLATE(B2099,""es"",""en"")"),"How far")</f>
        <v>How far</v>
      </c>
      <c r="E2099" t="str">
        <f ca="1">IFERROR(__xludf.DUMMYFUNCTION("GOOGLETRANSLATE(C2099,""es"",""en"")"),"Where, , , ,")</f>
        <v>Where, , , ,</v>
      </c>
    </row>
    <row r="2100" spans="1:5" ht="13.2" x14ac:dyDescent="0.25">
      <c r="A2100" t="s">
        <v>3816</v>
      </c>
      <c r="B2100" t="s">
        <v>4141</v>
      </c>
      <c r="C2100" t="s">
        <v>3917</v>
      </c>
      <c r="D2100" t="str">
        <f ca="1">IFERROR(__xludf.DUMMYFUNCTION("GOOGLETRANSLATE(B2100,""es"",""en"")"),"How far")</f>
        <v>How far</v>
      </c>
      <c r="E2100" t="str">
        <f ca="1">IFERROR(__xludf.DUMMYFUNCTION("GOOGLETRANSLATE(C2100,""es"",""en"")"),"Where, , , ,")</f>
        <v>Where, , , ,</v>
      </c>
    </row>
    <row r="2101" spans="1:5" ht="13.2" x14ac:dyDescent="0.25">
      <c r="A2101" t="s">
        <v>4142</v>
      </c>
      <c r="B2101" t="s">
        <v>4143</v>
      </c>
      <c r="C2101" t="s">
        <v>4144</v>
      </c>
      <c r="D2101" t="str">
        <f ca="1">IFERROR(__xludf.DUMMYFUNCTION("GOOGLETRANSLATE(B2101,""es"",""en"")"),"Brave")</f>
        <v>Brave</v>
      </c>
      <c r="E2101" t="str">
        <f ca="1">IFERROR(__xludf.DUMMYFUNCTION("GOOGLETRANSLATE(C2101,""es"",""en"")"),"Able, , , ,")</f>
        <v>Able, , , ,</v>
      </c>
    </row>
    <row r="2102" spans="1:5" ht="13.2" x14ac:dyDescent="0.25">
      <c r="A2102" t="s">
        <v>4145</v>
      </c>
      <c r="B2102" t="s">
        <v>4146</v>
      </c>
      <c r="C2102" t="s">
        <v>4144</v>
      </c>
      <c r="D2102" t="str">
        <f ca="1">IFERROR(__xludf.DUMMYFUNCTION("GOOGLETRANSLATE(B2102,""es"",""en"")"),"brave")</f>
        <v>brave</v>
      </c>
      <c r="E2102" t="str">
        <f ca="1">IFERROR(__xludf.DUMMYFUNCTION("GOOGLETRANSLATE(C2102,""es"",""en"")"),"Able, , , ,")</f>
        <v>Able, , , ,</v>
      </c>
    </row>
    <row r="2103" spans="1:5" ht="13.2" x14ac:dyDescent="0.25">
      <c r="A2103" t="s">
        <v>4147</v>
      </c>
      <c r="B2103" t="s">
        <v>4143</v>
      </c>
      <c r="C2103" t="s">
        <v>4144</v>
      </c>
      <c r="D2103" t="str">
        <f ca="1">IFERROR(__xludf.DUMMYFUNCTION("GOOGLETRANSLATE(B2103,""es"",""en"")"),"Brave")</f>
        <v>Brave</v>
      </c>
      <c r="E2103" t="str">
        <f ca="1">IFERROR(__xludf.DUMMYFUNCTION("GOOGLETRANSLATE(C2103,""es"",""en"")"),"Able, , , ,")</f>
        <v>Able, , , ,</v>
      </c>
    </row>
    <row r="2104" spans="1:5" ht="13.2" x14ac:dyDescent="0.25">
      <c r="A2104" t="s">
        <v>4148</v>
      </c>
      <c r="B2104" t="s">
        <v>1180</v>
      </c>
      <c r="D2104" t="str">
        <f ca="1">IFERROR(__xludf.DUMMYFUNCTION("GOOGLETRANSLATE(B2104,""es"",""en"")"),"How many")</f>
        <v>How many</v>
      </c>
      <c r="E2104" t="str">
        <f ca="1">IFERROR(__xludf.DUMMYFUNCTION("GOOGLETRANSLATE(C2104,""es"",""en"")"),"#VALUE!")</f>
        <v>#VALUE!</v>
      </c>
    </row>
    <row r="2105" spans="1:5" ht="13.2" x14ac:dyDescent="0.25">
      <c r="A2105" t="s">
        <v>1179</v>
      </c>
      <c r="B2105" t="s">
        <v>1180</v>
      </c>
      <c r="D2105" t="str">
        <f ca="1">IFERROR(__xludf.DUMMYFUNCTION("GOOGLETRANSLATE(B2105,""es"",""en"")"),"How many")</f>
        <v>How many</v>
      </c>
      <c r="E2105" t="str">
        <f ca="1">IFERROR(__xludf.DUMMYFUNCTION("GOOGLETRANSLATE(C2105,""es"",""en"")"),"#VALUE!")</f>
        <v>#VALUE!</v>
      </c>
    </row>
    <row r="2106" spans="1:5" ht="13.2" x14ac:dyDescent="0.25">
      <c r="A2106" t="s">
        <v>4149</v>
      </c>
      <c r="B2106" t="s">
        <v>4150</v>
      </c>
      <c r="D2106" t="str">
        <f ca="1">IFERROR(__xludf.DUMMYFUNCTION("GOOGLETRANSLATE(B2106,""es"",""en"")"),"In couple")</f>
        <v>In couple</v>
      </c>
      <c r="E2106" t="str">
        <f ca="1">IFERROR(__xludf.DUMMYFUNCTION("GOOGLETRANSLATE(C2106,""es"",""en"")"),"#VALUE!")</f>
        <v>#VALUE!</v>
      </c>
    </row>
    <row r="2107" spans="1:5" ht="13.2" x14ac:dyDescent="0.25">
      <c r="A2107" t="s">
        <v>1181</v>
      </c>
      <c r="B2107" t="s">
        <v>1180</v>
      </c>
      <c r="D2107" t="str">
        <f ca="1">IFERROR(__xludf.DUMMYFUNCTION("GOOGLETRANSLATE(B2107,""es"",""en"")"),"How many")</f>
        <v>How many</v>
      </c>
      <c r="E2107" t="str">
        <f ca="1">IFERROR(__xludf.DUMMYFUNCTION("GOOGLETRANSLATE(C2107,""es"",""en"")"),"#VALUE!")</f>
        <v>#VALUE!</v>
      </c>
    </row>
    <row r="2108" spans="1:5" ht="13.2" x14ac:dyDescent="0.25">
      <c r="A2108" t="s">
        <v>4151</v>
      </c>
      <c r="B2108" t="s">
        <v>4152</v>
      </c>
      <c r="C2108" t="s">
        <v>2234</v>
      </c>
      <c r="D2108" t="str">
        <f ca="1">IFERROR(__xludf.DUMMYFUNCTION("GOOGLETRANSLATE(B2108,""es"",""en"")"),"Sister said by a male")</f>
        <v>Sister said by a male</v>
      </c>
      <c r="E2108" t="str">
        <f ca="1">IFERROR(__xludf.DUMMYFUNCTION("GOOGLETRANSLATE(C2108,""es"",""en"")"),"Women, , , ,")</f>
        <v>Women, , , ,</v>
      </c>
    </row>
    <row r="2109" spans="1:5" ht="13.2" x14ac:dyDescent="0.25">
      <c r="A2109" t="s">
        <v>4153</v>
      </c>
      <c r="B2109" t="s">
        <v>1927</v>
      </c>
      <c r="C2109" t="s">
        <v>4154</v>
      </c>
      <c r="D2109" t="str">
        <f ca="1">IFERROR(__xludf.DUMMYFUNCTION("GOOGLETRANSLATE(B2109,""es"",""en"")"),"Young")</f>
        <v>Young</v>
      </c>
      <c r="E2109" t="s">
        <v>4155</v>
      </c>
    </row>
    <row r="2110" spans="1:5" ht="13.2" x14ac:dyDescent="0.25">
      <c r="A2110" t="s">
        <v>4156</v>
      </c>
      <c r="B2110" t="s">
        <v>4157</v>
      </c>
      <c r="D2110" t="str">
        <f ca="1">IFERROR(__xludf.DUMMYFUNCTION("GOOGLETRANSLATE(B2110,""es"",""en"")"),"Gynecologist")</f>
        <v>Gynecologist</v>
      </c>
      <c r="E2110" t="str">
        <f ca="1">IFERROR(__xludf.DUMMYFUNCTION("GOOGLETRANSLATE(C2110,""es"",""en"")"),"#VALUE!")</f>
        <v>#VALUE!</v>
      </c>
    </row>
    <row r="2111" spans="1:5" ht="13.2" x14ac:dyDescent="0.25">
      <c r="A2111" t="s">
        <v>4158</v>
      </c>
      <c r="B2111" t="s">
        <v>4159</v>
      </c>
      <c r="D2111" t="str">
        <f ca="1">IFERROR(__xludf.DUMMYFUNCTION("GOOGLETRANSLATE(B2111,""es"",""en"")"),"Breathe")</f>
        <v>Breathe</v>
      </c>
      <c r="E2111" t="str">
        <f ca="1">IFERROR(__xludf.DUMMYFUNCTION("GOOGLETRANSLATE(C2111,""es"",""en"")"),"#VALUE!")</f>
        <v>#VALUE!</v>
      </c>
    </row>
    <row r="2112" spans="1:5" ht="13.2" x14ac:dyDescent="0.25">
      <c r="A2112" t="s">
        <v>4160</v>
      </c>
      <c r="B2112" t="s">
        <v>4161</v>
      </c>
      <c r="C2112" t="s">
        <v>4162</v>
      </c>
      <c r="D2112" t="str">
        <f ca="1">IFERROR(__xludf.DUMMYFUNCTION("GOOGLETRANSLATE(B2112,""es"",""en"")"),"Line")</f>
        <v>Line</v>
      </c>
      <c r="E2112" t="str">
        <f ca="1">IFERROR(__xludf.DUMMYFUNCTION("GOOGLETRANSLATE(C2112,""es"",""en"")"),"Tail ,,,,")</f>
        <v>Tail ,,,,</v>
      </c>
    </row>
    <row r="2113" spans="1:5" ht="13.2" x14ac:dyDescent="0.25">
      <c r="A2113" t="s">
        <v>4163</v>
      </c>
      <c r="B2113" t="s">
        <v>4164</v>
      </c>
      <c r="D2113" t="str">
        <f ca="1">IFERROR(__xludf.DUMMYFUNCTION("GOOGLETRANSLATE(B2113,""es"",""en"")"),"Snapper fish")</f>
        <v>Snapper fish</v>
      </c>
      <c r="E2113" t="str">
        <f ca="1">IFERROR(__xludf.DUMMYFUNCTION("GOOGLETRANSLATE(C2113,""es"",""en"")"),"#VALUE!")</f>
        <v>#VALUE!</v>
      </c>
    </row>
    <row r="2114" spans="1:5" ht="13.2" x14ac:dyDescent="0.25">
      <c r="A2114" t="s">
        <v>4165</v>
      </c>
      <c r="B2114" t="s">
        <v>4166</v>
      </c>
      <c r="C2114" t="s">
        <v>4167</v>
      </c>
      <c r="D2114" t="str">
        <f ca="1">IFERROR(__xludf.DUMMYFUNCTION("GOOGLETRANSLATE(B2114,""es"",""en"")"),"Little girl")</f>
        <v>Little girl</v>
      </c>
      <c r="E2114" t="str">
        <f ca="1">IFERROR(__xludf.DUMMYFUNCTION("GOOGLETRANSLATE(C2114,""es"",""en"")"),"Small, , , ,")</f>
        <v>Small, , , ,</v>
      </c>
    </row>
    <row r="2115" spans="1:5" ht="13.2" x14ac:dyDescent="0.25">
      <c r="A2115" t="s">
        <v>4168</v>
      </c>
      <c r="B2115" t="s">
        <v>4169</v>
      </c>
      <c r="C2115" t="s">
        <v>4170</v>
      </c>
      <c r="D2115" t="str">
        <f ca="1">IFERROR(__xludf.DUMMYFUNCTION("GOOGLETRANSLATE(B2115,""es"",""en"")"),"Helicone variety")</f>
        <v>Helicone variety</v>
      </c>
      <c r="E2115" t="str">
        <f ca="1">IFERROR(__xludf.DUMMYFUNCTION("GOOGLETRANSLATE(C2115,""es"",""en"")"),"Medication ,,,,")</f>
        <v>Medication ,,,,</v>
      </c>
    </row>
    <row r="2116" spans="1:5" ht="13.2" x14ac:dyDescent="0.25">
      <c r="A2116" t="s">
        <v>4171</v>
      </c>
      <c r="B2116" t="s">
        <v>4150</v>
      </c>
      <c r="D2116" t="str">
        <f ca="1">IFERROR(__xludf.DUMMYFUNCTION("GOOGLETRANSLATE(B2116,""es"",""en"")"),"In couple")</f>
        <v>In couple</v>
      </c>
      <c r="E2116" t="str">
        <f ca="1">IFERROR(__xludf.DUMMYFUNCTION("GOOGLETRANSLATE(C2116,""es"",""en"")"),"#VALUE!")</f>
        <v>#VALUE!</v>
      </c>
    </row>
    <row r="2117" spans="1:5" ht="13.2" x14ac:dyDescent="0.25">
      <c r="A2117" t="s">
        <v>4172</v>
      </c>
      <c r="B2117" t="s">
        <v>4173</v>
      </c>
      <c r="D2117" t="str">
        <f ca="1">IFERROR(__xludf.DUMMYFUNCTION("GOOGLETRANSLATE(B2117,""es"",""en"")"),"July")</f>
        <v>July</v>
      </c>
      <c r="E2117" t="str">
        <f ca="1">IFERROR(__xludf.DUMMYFUNCTION("GOOGLETRANSLATE(C2117,""es"",""en"")"),"#VALUE!")</f>
        <v>#VALUE!</v>
      </c>
    </row>
    <row r="2118" spans="1:5" ht="13.2" x14ac:dyDescent="0.25">
      <c r="A2118" t="s">
        <v>4174</v>
      </c>
      <c r="B2118" t="s">
        <v>4175</v>
      </c>
      <c r="D2118" t="str">
        <f ca="1">IFERROR(__xludf.DUMMYFUNCTION("GOOGLETRANSLATE(B2118,""es"",""en"")"),"Wasp")</f>
        <v>Wasp</v>
      </c>
      <c r="E2118" t="str">
        <f ca="1">IFERROR(__xludf.DUMMYFUNCTION("GOOGLETRANSLATE(C2118,""es"",""en"")"),"#VALUE!")</f>
        <v>#VALUE!</v>
      </c>
    </row>
    <row r="2119" spans="1:5" ht="13.2" x14ac:dyDescent="0.25">
      <c r="A2119" t="s">
        <v>4176</v>
      </c>
      <c r="B2119" t="s">
        <v>4175</v>
      </c>
      <c r="D2119" t="str">
        <f ca="1">IFERROR(__xludf.DUMMYFUNCTION("GOOGLETRANSLATE(B2119,""es"",""en"")"),"Wasp")</f>
        <v>Wasp</v>
      </c>
      <c r="E2119" t="str">
        <f ca="1">IFERROR(__xludf.DUMMYFUNCTION("GOOGLETRANSLATE(C2119,""es"",""en"")"),"#VALUE!")</f>
        <v>#VALUE!</v>
      </c>
    </row>
    <row r="2120" spans="1:5" ht="13.2" x14ac:dyDescent="0.25">
      <c r="A2120" t="s">
        <v>4177</v>
      </c>
      <c r="B2120" t="s">
        <v>4178</v>
      </c>
      <c r="C2120" t="s">
        <v>4179</v>
      </c>
      <c r="D2120" t="str">
        <f ca="1">IFERROR(__xludf.DUMMYFUNCTION("GOOGLETRANSLATE(B2120,""es"",""en"")"),"Shade")</f>
        <v>Shade</v>
      </c>
      <c r="E2120" t="str">
        <f ca="1">IFERROR(__xludf.DUMMYFUNCTION("GOOGLETRANSLATE(C2120,""es"",""en"")"),"Spirit, breath ,,,")</f>
        <v>Spirit, breath ,,,</v>
      </c>
    </row>
    <row r="2121" spans="1:5" ht="13.2" x14ac:dyDescent="0.25">
      <c r="A2121" t="s">
        <v>3255</v>
      </c>
      <c r="B2121" t="s">
        <v>3253</v>
      </c>
      <c r="C2121" t="s">
        <v>4180</v>
      </c>
      <c r="D2121" t="str">
        <f ca="1">IFERROR(__xludf.DUMMYFUNCTION("GOOGLETRANSLATE(B2121,""es"",""en"")"),"To portray")</f>
        <v>To portray</v>
      </c>
      <c r="E2121" t="str">
        <f ca="1">IFERROR(__xludf.DUMMYFUNCTION("GOOGLETRANSLATE(C2121,""es"",""en"")"),"Photograph, photographer ,,,")</f>
        <v>Photograph, photographer ,,,</v>
      </c>
    </row>
    <row r="2122" spans="1:5" ht="13.2" x14ac:dyDescent="0.25">
      <c r="A2122" t="s">
        <v>3256</v>
      </c>
      <c r="B2122" t="s">
        <v>3253</v>
      </c>
      <c r="C2122" t="s">
        <v>4180</v>
      </c>
      <c r="D2122" t="str">
        <f ca="1">IFERROR(__xludf.DUMMYFUNCTION("GOOGLETRANSLATE(B2122,""es"",""en"")"),"To portray")</f>
        <v>To portray</v>
      </c>
      <c r="E2122" t="str">
        <f ca="1">IFERROR(__xludf.DUMMYFUNCTION("GOOGLETRANSLATE(C2122,""es"",""en"")"),"Photograph, photographer ,,,")</f>
        <v>Photograph, photographer ,,,</v>
      </c>
    </row>
    <row r="2123" spans="1:5" ht="13.2" x14ac:dyDescent="0.25">
      <c r="A2123" t="s">
        <v>3252</v>
      </c>
      <c r="B2123" t="s">
        <v>3253</v>
      </c>
      <c r="C2123" t="s">
        <v>4180</v>
      </c>
      <c r="D2123" t="str">
        <f ca="1">IFERROR(__xludf.DUMMYFUNCTION("GOOGLETRANSLATE(B2123,""es"",""en"")"),"To portray")</f>
        <v>To portray</v>
      </c>
      <c r="E2123" t="str">
        <f ca="1">IFERROR(__xludf.DUMMYFUNCTION("GOOGLETRANSLATE(C2123,""es"",""en"")"),"Photograph, photographer ,,,")</f>
        <v>Photograph, photographer ,,,</v>
      </c>
    </row>
    <row r="2124" spans="1:5" ht="13.2" x14ac:dyDescent="0.25">
      <c r="A2124" t="s">
        <v>3467</v>
      </c>
      <c r="B2124" t="s">
        <v>3466</v>
      </c>
      <c r="D2124" t="str">
        <f ca="1">IFERROR(__xludf.DUMMYFUNCTION("GOOGLETRANSLATE(B2124,""es"",""en"")"),"Symbolism")</f>
        <v>Symbolism</v>
      </c>
      <c r="E2124" t="str">
        <f ca="1">IFERROR(__xludf.DUMMYFUNCTION("GOOGLETRANSLATE(C2124,""es"",""en"")"),"#VALUE!")</f>
        <v>#VALUE!</v>
      </c>
    </row>
    <row r="2125" spans="1:5" ht="13.2" x14ac:dyDescent="0.25">
      <c r="A2125" t="s">
        <v>3465</v>
      </c>
      <c r="B2125" t="s">
        <v>3466</v>
      </c>
      <c r="D2125" t="str">
        <f ca="1">IFERROR(__xludf.DUMMYFUNCTION("GOOGLETRANSLATE(B2125,""es"",""en"")"),"Symbolism")</f>
        <v>Symbolism</v>
      </c>
      <c r="E2125" t="str">
        <f ca="1">IFERROR(__xludf.DUMMYFUNCTION("GOOGLETRANSLATE(C2125,""es"",""en"")"),"#VALUE!")</f>
        <v>#VALUE!</v>
      </c>
    </row>
    <row r="2126" spans="1:5" ht="13.2" x14ac:dyDescent="0.25">
      <c r="A2126" t="s">
        <v>4181</v>
      </c>
      <c r="B2126" t="s">
        <v>4182</v>
      </c>
      <c r="C2126" t="s">
        <v>4183</v>
      </c>
      <c r="D2126" t="str">
        <f ca="1">IFERROR(__xludf.DUMMYFUNCTION("GOOGLETRANSLATE(B2126,""es"",""en"")"),"Symbolic")</f>
        <v>Symbolic</v>
      </c>
      <c r="E2126" t="str">
        <f ca="1">IFERROR(__xludf.DUMMYFUNCTION("GOOGLETRANSLATE(C2126,""es"",""en"")"),"The hidden, , , ,")</f>
        <v>The hidden, , , ,</v>
      </c>
    </row>
    <row r="2127" spans="1:5" ht="13.2" x14ac:dyDescent="0.25">
      <c r="A2127" t="s">
        <v>3793</v>
      </c>
      <c r="B2127" t="s">
        <v>3774</v>
      </c>
      <c r="D2127" t="str">
        <f ca="1">IFERROR(__xludf.DUMMYFUNCTION("GOOGLETRANSLATE(B2127,""es"",""en"")"),"Blood")</f>
        <v>Blood</v>
      </c>
      <c r="E2127" t="str">
        <f ca="1">IFERROR(__xludf.DUMMYFUNCTION("GOOGLETRANSLATE(C2127,""es"",""en"")"),"#VALUE!")</f>
        <v>#VALUE!</v>
      </c>
    </row>
    <row r="2128" spans="1:5" ht="13.2" x14ac:dyDescent="0.25">
      <c r="A2128" t="s">
        <v>4184</v>
      </c>
      <c r="B2128" t="s">
        <v>4185</v>
      </c>
      <c r="D2128" t="str">
        <f ca="1">IFERROR(__xludf.DUMMYFUNCTION("GOOGLETRANSLATE(B2128,""es"",""en"")"),"Mirror")</f>
        <v>Mirror</v>
      </c>
      <c r="E2128" t="str">
        <f ca="1">IFERROR(__xludf.DUMMYFUNCTION("GOOGLETRANSLATE(C2128,""es"",""en"")"),"#VALUE!")</f>
        <v>#VALUE!</v>
      </c>
    </row>
    <row r="2129" spans="1:5" ht="13.2" x14ac:dyDescent="0.25">
      <c r="A2129" t="s">
        <v>4186</v>
      </c>
      <c r="B2129" t="s">
        <v>4187</v>
      </c>
      <c r="C2129" t="s">
        <v>4188</v>
      </c>
      <c r="D2129" t="str">
        <f ca="1">IFERROR(__xludf.DUMMYFUNCTION("GOOGLETRANSLATE(B2129,""es"",""en"")"),"Diving")</f>
        <v>Diving</v>
      </c>
      <c r="E2129" t="str">
        <f ca="1">IFERROR(__xludf.DUMMYFUNCTION("GOOGLETRANSLATE(C2129,""es"",""en"")"),"Immerse yourself, resist ,,,,")</f>
        <v>Immerse yourself, resist ,,,,</v>
      </c>
    </row>
    <row r="2130" spans="1:5" ht="13.2" x14ac:dyDescent="0.25">
      <c r="A2130" t="s">
        <v>4189</v>
      </c>
      <c r="B2130" t="s">
        <v>4190</v>
      </c>
      <c r="D2130" t="str">
        <f ca="1">IFERROR(__xludf.DUMMYFUNCTION("GOOGLETRANSLATE(B2130,""es"",""en"")"),"Best fish")</f>
        <v>Best fish</v>
      </c>
      <c r="E2130" t="str">
        <f ca="1">IFERROR(__xludf.DUMMYFUNCTION("GOOGLETRANSLATE(C2130,""es"",""en"")"),"#VALUE!")</f>
        <v>#VALUE!</v>
      </c>
    </row>
    <row r="2131" spans="1:5" ht="13.2" x14ac:dyDescent="0.25">
      <c r="A2131" t="s">
        <v>3829</v>
      </c>
      <c r="B2131" t="s">
        <v>4191</v>
      </c>
      <c r="D2131" t="str">
        <f ca="1">IFERROR(__xludf.DUMMYFUNCTION("GOOGLETRANSLATE(B2131,""es"",""en"")"),"Worsen")</f>
        <v>Worsen</v>
      </c>
      <c r="E2131" t="str">
        <f ca="1">IFERROR(__xludf.DUMMYFUNCTION("GOOGLETRANSLATE(C2131,""es"",""en"")"),"#VALUE!")</f>
        <v>#VALUE!</v>
      </c>
    </row>
    <row r="2132" spans="1:5" ht="13.2" x14ac:dyDescent="0.25">
      <c r="A2132" t="s">
        <v>3824</v>
      </c>
      <c r="B2132" t="s">
        <v>4191</v>
      </c>
      <c r="D2132" t="str">
        <f ca="1">IFERROR(__xludf.DUMMYFUNCTION("GOOGLETRANSLATE(B2132,""es"",""en"")"),"Worsen")</f>
        <v>Worsen</v>
      </c>
      <c r="E2132" t="str">
        <f ca="1">IFERROR(__xludf.DUMMYFUNCTION("GOOGLETRANSLATE(C2132,""es"",""en"")"),"#VALUE!")</f>
        <v>#VALUE!</v>
      </c>
    </row>
    <row r="2133" spans="1:5" ht="13.2" x14ac:dyDescent="0.25">
      <c r="A2133" t="s">
        <v>4192</v>
      </c>
      <c r="B2133" t="s">
        <v>4193</v>
      </c>
      <c r="C2133" t="s">
        <v>4194</v>
      </c>
      <c r="D2133" t="str">
        <f ca="1">IFERROR(__xludf.DUMMYFUNCTION("GOOGLETRANSLATE(B2133,""es"",""en"")"),"Die")</f>
        <v>Die</v>
      </c>
      <c r="E2133" t="str">
        <f ca="1">IFERROR(__xludf.DUMMYFUNCTION("GOOGLETRANSLATE(C2133,""es"",""en"")"),"Die, , , ,")</f>
        <v>Die, , , ,</v>
      </c>
    </row>
    <row r="2134" spans="1:5" ht="13.2" x14ac:dyDescent="0.25">
      <c r="A2134" t="s">
        <v>4195</v>
      </c>
      <c r="B2134" t="s">
        <v>4193</v>
      </c>
      <c r="D2134" t="str">
        <f ca="1">IFERROR(__xludf.DUMMYFUNCTION("GOOGLETRANSLATE(B2134,""es"",""en"")"),"Die")</f>
        <v>Die</v>
      </c>
      <c r="E2134" t="str">
        <f ca="1">IFERROR(__xludf.DUMMYFUNCTION("GOOGLETRANSLATE(C2134,""es"",""en"")"),"#VALUE!")</f>
        <v>#VALUE!</v>
      </c>
    </row>
    <row r="2135" spans="1:5" ht="13.2" x14ac:dyDescent="0.25">
      <c r="A2135" t="s">
        <v>4196</v>
      </c>
      <c r="B2135" t="s">
        <v>4197</v>
      </c>
      <c r="D2135" t="str">
        <f ca="1">IFERROR(__xludf.DUMMYFUNCTION("GOOGLETRANSLATE(B2135,""es"",""en"")"),"First woman ne the earth")</f>
        <v>First woman ne the earth</v>
      </c>
      <c r="E2135" t="str">
        <f ca="1">IFERROR(__xludf.DUMMYFUNCTION("GOOGLETRANSLATE(C2135,""es"",""en"")"),"#VALUE!")</f>
        <v>#VALUE!</v>
      </c>
    </row>
    <row r="2136" spans="1:5" ht="13.2" x14ac:dyDescent="0.25">
      <c r="A2136" t="s">
        <v>2203</v>
      </c>
      <c r="B2136" t="s">
        <v>2204</v>
      </c>
      <c r="D2136" t="str">
        <f ca="1">IFERROR(__xludf.DUMMYFUNCTION("GOOGLETRANSLATE(B2136,""es"",""en"")"),"First woman")</f>
        <v>First woman</v>
      </c>
      <c r="E2136" t="str">
        <f ca="1">IFERROR(__xludf.DUMMYFUNCTION("GOOGLETRANSLATE(C2136,""es"",""en"")"),"#VALUE!")</f>
        <v>#VALUE!</v>
      </c>
    </row>
    <row r="2137" spans="1:5" ht="13.2" x14ac:dyDescent="0.25">
      <c r="A2137" t="s">
        <v>4198</v>
      </c>
      <c r="B2137" t="s">
        <v>4199</v>
      </c>
      <c r="C2137" t="s">
        <v>4200</v>
      </c>
      <c r="D2137" t="str">
        <f ca="1">IFERROR(__xludf.DUMMYFUNCTION("GOOGLETRANSLATE(B2137,""es"",""en"")"),"Breadfruit")</f>
        <v>Breadfruit</v>
      </c>
      <c r="E2137" t="str">
        <f ca="1">IFERROR(__xludf.DUMMYFUNCTION("GOOGLETRANSLATE(C2137,""es"",""en"")")," Ash, , , ,")</f>
        <v xml:space="preserve"> Ash, , , ,</v>
      </c>
    </row>
    <row r="2138" spans="1:5" ht="13.2" x14ac:dyDescent="0.25">
      <c r="A2138" t="s">
        <v>3773</v>
      </c>
      <c r="B2138" t="s">
        <v>3774</v>
      </c>
      <c r="D2138" t="str">
        <f ca="1">IFERROR(__xludf.DUMMYFUNCTION("GOOGLETRANSLATE(B2138,""es"",""en"")"),"Blood")</f>
        <v>Blood</v>
      </c>
      <c r="E2138" t="str">
        <f ca="1">IFERROR(__xludf.DUMMYFUNCTION("GOOGLETRANSLATE(C2138,""es"",""en"")"),"#VALUE!")</f>
        <v>#VALUE!</v>
      </c>
    </row>
    <row r="2139" spans="1:5" ht="13.2" x14ac:dyDescent="0.25">
      <c r="A2139" t="s">
        <v>4201</v>
      </c>
      <c r="B2139" t="s">
        <v>4202</v>
      </c>
      <c r="C2139" t="s">
        <v>4203</v>
      </c>
      <c r="D2139" t="str">
        <f ca="1">IFERROR(__xludf.DUMMYFUNCTION("GOOGLETRANSLATE(B2139,""es"",""en"")"),"Wind")</f>
        <v>Wind</v>
      </c>
      <c r="E2139" t="s">
        <v>4204</v>
      </c>
    </row>
    <row r="2140" spans="1:5" ht="13.2" x14ac:dyDescent="0.25">
      <c r="A2140" t="s">
        <v>4205</v>
      </c>
      <c r="B2140" t="s">
        <v>4206</v>
      </c>
      <c r="C2140" t="s">
        <v>4207</v>
      </c>
      <c r="D2140" t="str">
        <f ca="1">IFERROR(__xludf.DUMMYFUNCTION("GOOGLETRANSLATE(B2140,""es"",""en"")"),"Twister")</f>
        <v>Twister</v>
      </c>
      <c r="E2140" t="str">
        <f ca="1">IFERROR(__xludf.DUMMYFUNCTION("GOOGLETRANSLATE(C2140,""es"",""en"")"),"Typhoon ,,,,")</f>
        <v>Typhoon ,,,,</v>
      </c>
    </row>
    <row r="2141" spans="1:5" ht="13.2" x14ac:dyDescent="0.25">
      <c r="A2141" t="s">
        <v>4208</v>
      </c>
      <c r="B2141" t="s">
        <v>4209</v>
      </c>
      <c r="C2141" t="s">
        <v>4210</v>
      </c>
      <c r="D2141" t="str">
        <f ca="1">IFERROR(__xludf.DUMMYFUNCTION("GOOGLETRANSLATE(B2141,""es"",""en"")"),"Hurricane wind")</f>
        <v>Hurricane wind</v>
      </c>
      <c r="E2141" t="s">
        <v>4211</v>
      </c>
    </row>
    <row r="2142" spans="1:5" ht="13.2" x14ac:dyDescent="0.25">
      <c r="A2142" t="s">
        <v>4212</v>
      </c>
      <c r="B2142" t="s">
        <v>4213</v>
      </c>
      <c r="D2142" t="str">
        <f ca="1">IFERROR(__xludf.DUMMYFUNCTION("GOOGLETRANSLATE(B2142,""es"",""en"")"),"Main Pale of the house")</f>
        <v>Main Pale of the house</v>
      </c>
      <c r="E2142" t="str">
        <f ca="1">IFERROR(__xludf.DUMMYFUNCTION("GOOGLETRANSLATE(C2142,""es"",""en"")"),"#VALUE!")</f>
        <v>#VALUE!</v>
      </c>
    </row>
    <row r="2143" spans="1:5" ht="13.2" x14ac:dyDescent="0.25">
      <c r="A2143" t="s">
        <v>4214</v>
      </c>
      <c r="B2143" t="s">
        <v>4215</v>
      </c>
      <c r="C2143" t="s">
        <v>4216</v>
      </c>
      <c r="D2143" t="str">
        <f ca="1">IFERROR(__xludf.DUMMYFUNCTION("GOOGLETRANSLATE(B2143,""es"",""en"")"),"Heron")</f>
        <v>Heron</v>
      </c>
      <c r="E2143" t="s">
        <v>4217</v>
      </c>
    </row>
    <row r="2144" spans="1:5" ht="13.2" x14ac:dyDescent="0.25">
      <c r="A2144" t="s">
        <v>1031</v>
      </c>
      <c r="B2144" t="s">
        <v>4218</v>
      </c>
      <c r="C2144" t="s">
        <v>4219</v>
      </c>
      <c r="D2144" t="str">
        <f ca="1">IFERROR(__xludf.DUMMYFUNCTION("GOOGLETRANSLATE(B2144,""es"",""en"")"),"Barracuda")</f>
        <v>Barracuda</v>
      </c>
      <c r="E2144" t="str">
        <f ca="1">IFERROR(__xludf.DUMMYFUNCTION("GOOGLETRANSLATE(C2144,""es"",""en"")"),"Fish, , , ,")</f>
        <v>Fish, , , ,</v>
      </c>
    </row>
    <row r="2145" spans="1:5" ht="13.2" x14ac:dyDescent="0.25">
      <c r="A2145" t="s">
        <v>4220</v>
      </c>
      <c r="B2145" t="s">
        <v>4221</v>
      </c>
      <c r="C2145" t="s">
        <v>4222</v>
      </c>
      <c r="D2145" t="s">
        <v>4223</v>
      </c>
      <c r="E2145" t="s">
        <v>4223</v>
      </c>
    </row>
    <row r="2146" spans="1:5" ht="13.2" x14ac:dyDescent="0.25">
      <c r="A2146" t="s">
        <v>2038</v>
      </c>
      <c r="B2146" t="s">
        <v>2036</v>
      </c>
      <c r="C2146" t="s">
        <v>2037</v>
      </c>
      <c r="D2146" t="str">
        <f ca="1">IFERROR(__xludf.DUMMYFUNCTION("GOOGLETRANSLATE(B2146,""es"",""en"")"),"Canoe")</f>
        <v>Canoe</v>
      </c>
      <c r="E2146" t="str">
        <f ca="1">IFERROR(__xludf.DUMMYFUNCTION("GOOGLETRANSLATE(C2146,""es"",""en"")"),"Batel ,,,,")</f>
        <v>Batel ,,,,</v>
      </c>
    </row>
    <row r="2147" spans="1:5" ht="13.2" x14ac:dyDescent="0.25">
      <c r="A2147" t="s">
        <v>2662</v>
      </c>
      <c r="B2147" t="s">
        <v>4224</v>
      </c>
      <c r="C2147" t="s">
        <v>4225</v>
      </c>
      <c r="D2147" t="str">
        <f ca="1">IFERROR(__xludf.DUMMYFUNCTION("GOOGLETRANSLATE(B2147,""es"",""en"")"),"Hair, beard")</f>
        <v>Hair, beard</v>
      </c>
      <c r="E2147" t="str">
        <f ca="1">IFERROR(__xludf.DUMMYFUNCTION("GOOGLETRANSLATE(C2147,""es"",""en"")"),"Hair, fluff ,,,,")</f>
        <v>Hair, fluff ,,,,</v>
      </c>
    </row>
    <row r="2148" spans="1:5" ht="13.2" x14ac:dyDescent="0.25">
      <c r="A2148" t="s">
        <v>2039</v>
      </c>
      <c r="B2148" t="s">
        <v>2036</v>
      </c>
      <c r="C2148" t="s">
        <v>2037</v>
      </c>
      <c r="D2148" t="str">
        <f ca="1">IFERROR(__xludf.DUMMYFUNCTION("GOOGLETRANSLATE(B2148,""es"",""en"")"),"Canoe")</f>
        <v>Canoe</v>
      </c>
      <c r="E2148" t="str">
        <f ca="1">IFERROR(__xludf.DUMMYFUNCTION("GOOGLETRANSLATE(C2148,""es"",""en"")"),"Batel ,,,,")</f>
        <v>Batel ,,,,</v>
      </c>
    </row>
    <row r="2149" spans="1:5" ht="13.2" x14ac:dyDescent="0.25">
      <c r="A2149" t="s">
        <v>2035</v>
      </c>
      <c r="B2149" t="s">
        <v>4226</v>
      </c>
      <c r="C2149" t="s">
        <v>2037</v>
      </c>
      <c r="D2149" t="str">
        <f ca="1">IFERROR(__xludf.DUMMYFUNCTION("GOOGLETRANSLATE(B2149,""es"",""en"")"),"Canaoo")</f>
        <v>Canaoo</v>
      </c>
      <c r="E2149" t="str">
        <f ca="1">IFERROR(__xludf.DUMMYFUNCTION("GOOGLETRANSLATE(C2149,""es"",""en"")"),"Batel ,,,,")</f>
        <v>Batel ,,,,</v>
      </c>
    </row>
    <row r="2150" spans="1:5" ht="13.2" x14ac:dyDescent="0.25">
      <c r="A2150" t="s">
        <v>4227</v>
      </c>
      <c r="B2150" t="s">
        <v>4228</v>
      </c>
      <c r="D2150" t="str">
        <f ca="1">IFERROR(__xludf.DUMMYFUNCTION("GOOGLETRANSLATE(B2150,""es"",""en"")"),"Sawfish")</f>
        <v>Sawfish</v>
      </c>
      <c r="E2150" t="str">
        <f ca="1">IFERROR(__xludf.DUMMYFUNCTION("GOOGLETRANSLATE(C2150,""es"",""en"")"),"#VALUE!")</f>
        <v>#VALUE!</v>
      </c>
    </row>
    <row r="2151" spans="1:5" ht="13.2" x14ac:dyDescent="0.25">
      <c r="A2151" t="s">
        <v>4229</v>
      </c>
      <c r="B2151" t="s">
        <v>3705</v>
      </c>
      <c r="D2151" t="str">
        <f ca="1">IFERROR(__xludf.DUMMYFUNCTION("GOOGLETRANSLATE(B2151,""es"",""en"")"),"Grandfather")</f>
        <v>Grandfather</v>
      </c>
      <c r="E2151" t="str">
        <f ca="1">IFERROR(__xludf.DUMMYFUNCTION("GOOGLETRANSLATE(C2151,""es"",""en"")"),"#VALUE!")</f>
        <v>#VALUE!</v>
      </c>
    </row>
    <row r="2152" spans="1:5" ht="13.2" x14ac:dyDescent="0.25">
      <c r="A2152" t="s">
        <v>4230</v>
      </c>
      <c r="B2152" t="s">
        <v>3705</v>
      </c>
      <c r="D2152" t="str">
        <f ca="1">IFERROR(__xludf.DUMMYFUNCTION("GOOGLETRANSLATE(B2152,""es"",""en"")"),"Grandfather")</f>
        <v>Grandfather</v>
      </c>
      <c r="E2152" t="str">
        <f ca="1">IFERROR(__xludf.DUMMYFUNCTION("GOOGLETRANSLATE(C2152,""es"",""en"")"),"#VALUE!")</f>
        <v>#VALUE!</v>
      </c>
    </row>
    <row r="2153" spans="1:5" ht="13.2" x14ac:dyDescent="0.25">
      <c r="A2153" t="s">
        <v>3704</v>
      </c>
      <c r="B2153" t="s">
        <v>3705</v>
      </c>
      <c r="D2153" t="str">
        <f ca="1">IFERROR(__xludf.DUMMYFUNCTION("GOOGLETRANSLATE(B2153,""es"",""en"")"),"Grandfather")</f>
        <v>Grandfather</v>
      </c>
      <c r="E2153" t="str">
        <f ca="1">IFERROR(__xludf.DUMMYFUNCTION("GOOGLETRANSLATE(C2153,""es"",""en"")"),"#VALUE!")</f>
        <v>#VALUE!</v>
      </c>
    </row>
    <row r="2154" spans="1:5" ht="13.2" x14ac:dyDescent="0.25">
      <c r="A2154" t="s">
        <v>3706</v>
      </c>
      <c r="B2154" t="s">
        <v>3705</v>
      </c>
      <c r="D2154" t="str">
        <f ca="1">IFERROR(__xludf.DUMMYFUNCTION("GOOGLETRANSLATE(B2154,""es"",""en"")"),"Grandfather")</f>
        <v>Grandfather</v>
      </c>
      <c r="E2154" t="str">
        <f ca="1">IFERROR(__xludf.DUMMYFUNCTION("GOOGLETRANSLATE(C2154,""es"",""en"")"),"#VALUE!")</f>
        <v>#VALUE!</v>
      </c>
    </row>
    <row r="2155" spans="1:5" ht="13.2" x14ac:dyDescent="0.25">
      <c r="A2155" t="s">
        <v>4229</v>
      </c>
      <c r="B2155" t="s">
        <v>4231</v>
      </c>
      <c r="C2155" t="s">
        <v>4232</v>
      </c>
      <c r="D2155" t="str">
        <f ca="1">IFERROR(__xludf.DUMMYFUNCTION("GOOGLETRANSLATE(B2155,""es"",""en"")"),"Old man")</f>
        <v>Old man</v>
      </c>
      <c r="E2155" t="str">
        <f ca="1">IFERROR(__xludf.DUMMYFUNCTION("GOOGLETRANSLATE(C2155,""es"",""en"")"),"Veteran, old, sun ,,")</f>
        <v>Veteran, old, sun ,,</v>
      </c>
    </row>
    <row r="2156" spans="1:5" ht="13.2" x14ac:dyDescent="0.25">
      <c r="A2156" t="s">
        <v>4233</v>
      </c>
      <c r="B2156" t="s">
        <v>4234</v>
      </c>
      <c r="C2156" t="s">
        <v>4235</v>
      </c>
      <c r="D2156" t="str">
        <f ca="1">IFERROR(__xludf.DUMMYFUNCTION("GOOGLETRANSLATE(B2156,""es"",""en"")"),"Sober")</f>
        <v>Sober</v>
      </c>
      <c r="E2156" t="str">
        <f ca="1">IFERROR(__xludf.DUMMYFUNCTION("GOOGLETRANSLATE(C2156,""es"",""en"")"),"Awake, , , ,")</f>
        <v>Awake, , , ,</v>
      </c>
    </row>
    <row r="2157" spans="1:5" ht="13.2" x14ac:dyDescent="0.25">
      <c r="A2157" t="s">
        <v>4236</v>
      </c>
      <c r="B2157" t="s">
        <v>4234</v>
      </c>
      <c r="C2157" t="s">
        <v>4235</v>
      </c>
      <c r="D2157" t="str">
        <f ca="1">IFERROR(__xludf.DUMMYFUNCTION("GOOGLETRANSLATE(B2157,""es"",""en"")"),"Sober")</f>
        <v>Sober</v>
      </c>
      <c r="E2157" t="str">
        <f ca="1">IFERROR(__xludf.DUMMYFUNCTION("GOOGLETRANSLATE(C2157,""es"",""en"")"),"Awake, , , ,")</f>
        <v>Awake, , , ,</v>
      </c>
    </row>
    <row r="2158" spans="1:5" ht="13.2" x14ac:dyDescent="0.25">
      <c r="A2158" t="s">
        <v>2659</v>
      </c>
      <c r="B2158" t="s">
        <v>2660</v>
      </c>
      <c r="C2158" t="s">
        <v>4237</v>
      </c>
      <c r="D2158" t="str">
        <f ca="1">IFERROR(__xludf.DUMMYFUNCTION("GOOGLETRANSLATE(B2158,""es"",""en"")"),"Hair")</f>
        <v>Hair</v>
      </c>
      <c r="E2158" t="str">
        <f ca="1">IFERROR(__xludf.DUMMYFUNCTION("GOOGLETRANSLATE(C2158,""es"",""en"")"),"Beard, hair, fluff ,,,")</f>
        <v>Beard, hair, fluff ,,,</v>
      </c>
    </row>
    <row r="2159" spans="1:5" ht="13.2" x14ac:dyDescent="0.25">
      <c r="A2159" t="s">
        <v>4238</v>
      </c>
      <c r="B2159" t="s">
        <v>4239</v>
      </c>
      <c r="D2159" t="str">
        <f ca="1">IFERROR(__xludf.DUMMYFUNCTION("GOOGLETRANSLATE(B2159,""es"",""en"")"),"Great grandfather")</f>
        <v>Great grandfather</v>
      </c>
      <c r="E2159" t="str">
        <f ca="1">IFERROR(__xludf.DUMMYFUNCTION("GOOGLETRANSLATE(C2159,""es"",""en"")"),"#VALUE!")</f>
        <v>#VALUE!</v>
      </c>
    </row>
    <row r="2160" spans="1:5" ht="13.2" x14ac:dyDescent="0.25">
      <c r="A2160" t="s">
        <v>4240</v>
      </c>
      <c r="B2160" t="s">
        <v>4241</v>
      </c>
      <c r="D2160" t="s">
        <v>4242</v>
      </c>
      <c r="E2160" t="str">
        <f ca="1">IFERROR(__xludf.DUMMYFUNCTION("GOOGLETRANSLATE(C2160,""es"",""en"")"),"#VALUE!")</f>
        <v>#VALUE!</v>
      </c>
    </row>
    <row r="2161" spans="1:5" ht="13.2" x14ac:dyDescent="0.25">
      <c r="A2161" t="s">
        <v>3690</v>
      </c>
      <c r="B2161" t="s">
        <v>3689</v>
      </c>
      <c r="D2161" t="str">
        <f ca="1">IFERROR(__xludf.DUMMYFUNCTION("GOOGLETRANSLATE(B2161,""es"",""en"")"),"Ancestors")</f>
        <v>Ancestors</v>
      </c>
      <c r="E2161" t="str">
        <f ca="1">IFERROR(__xludf.DUMMYFUNCTION("GOOGLETRANSLATE(C2161,""es"",""en"")"),"#VALUE!")</f>
        <v>#VALUE!</v>
      </c>
    </row>
    <row r="2162" spans="1:5" ht="13.2" x14ac:dyDescent="0.25">
      <c r="A2162" t="s">
        <v>4243</v>
      </c>
      <c r="B2162" t="s">
        <v>3689</v>
      </c>
      <c r="D2162" t="str">
        <f ca="1">IFERROR(__xludf.DUMMYFUNCTION("GOOGLETRANSLATE(B2162,""es"",""en"")"),"Ancestors")</f>
        <v>Ancestors</v>
      </c>
      <c r="E2162" t="str">
        <f ca="1">IFERROR(__xludf.DUMMYFUNCTION("GOOGLETRANSLATE(C2162,""es"",""en"")"),"#VALUE!")</f>
        <v>#VALUE!</v>
      </c>
    </row>
    <row r="2163" spans="1:5" ht="13.2" x14ac:dyDescent="0.25">
      <c r="A2163" t="s">
        <v>4244</v>
      </c>
      <c r="B2163" t="s">
        <v>4245</v>
      </c>
      <c r="D2163" t="str">
        <f ca="1">IFERROR(__xludf.DUMMYFUNCTION("GOOGLETRANSLATE(B2163,""es"",""en"")"),"Sun")</f>
        <v>Sun</v>
      </c>
      <c r="E2163" t="str">
        <f ca="1">IFERROR(__xludf.DUMMYFUNCTION("GOOGLETRANSLATE(C2163,""es"",""en"")"),"#VALUE!")</f>
        <v>#VALUE!</v>
      </c>
    </row>
    <row r="2164" spans="1:5" ht="13.2" x14ac:dyDescent="0.25">
      <c r="A2164" t="s">
        <v>4229</v>
      </c>
      <c r="B2164" t="s">
        <v>4245</v>
      </c>
      <c r="D2164" t="str">
        <f ca="1">IFERROR(__xludf.DUMMYFUNCTION("GOOGLETRANSLATE(B2164,""es"",""en"")"),"Sun")</f>
        <v>Sun</v>
      </c>
      <c r="E2164" t="str">
        <f ca="1">IFERROR(__xludf.DUMMYFUNCTION("GOOGLETRANSLATE(C2164,""es"",""en"")"),"#VALUE!")</f>
        <v>#VALUE!</v>
      </c>
    </row>
    <row r="2165" spans="1:5" ht="13.2" x14ac:dyDescent="0.25">
      <c r="A2165" t="s">
        <v>4230</v>
      </c>
      <c r="B2165" t="s">
        <v>4245</v>
      </c>
      <c r="D2165" t="str">
        <f ca="1">IFERROR(__xludf.DUMMYFUNCTION("GOOGLETRANSLATE(B2165,""es"",""en"")"),"Sun")</f>
        <v>Sun</v>
      </c>
      <c r="E2165" t="str">
        <f ca="1">IFERROR(__xludf.DUMMYFUNCTION("GOOGLETRANSLATE(C2165,""es"",""en"")"),"#VALUE!")</f>
        <v>#VALUE!</v>
      </c>
    </row>
    <row r="2166" spans="1:5" ht="13.2" x14ac:dyDescent="0.25">
      <c r="A2166" t="s">
        <v>2571</v>
      </c>
      <c r="B2166" t="s">
        <v>2566</v>
      </c>
      <c r="C2166" t="s">
        <v>2567</v>
      </c>
      <c r="D2166" t="str">
        <f ca="1">IFERROR(__xludf.DUMMYFUNCTION("GOOGLETRANSLATE(B2166,""es"",""en"")"),"Late")</f>
        <v>Late</v>
      </c>
      <c r="E2166" t="str">
        <f ca="1">IFERROR(__xludf.DUMMYFUNCTION("GOOGLETRANSLATE(C2166,""es"",""en"")"),"In the afternoon, , , ,")</f>
        <v>In the afternoon, , , ,</v>
      </c>
    </row>
    <row r="2167" spans="1:5" ht="13.2" x14ac:dyDescent="0.25">
      <c r="A2167" t="s">
        <v>2565</v>
      </c>
      <c r="B2167" t="s">
        <v>2566</v>
      </c>
      <c r="C2167" t="s">
        <v>2567</v>
      </c>
      <c r="D2167" t="str">
        <f ca="1">IFERROR(__xludf.DUMMYFUNCTION("GOOGLETRANSLATE(B2167,""es"",""en"")"),"Late")</f>
        <v>Late</v>
      </c>
      <c r="E2167" t="str">
        <f ca="1">IFERROR(__xludf.DUMMYFUNCTION("GOOGLETRANSLATE(C2167,""es"",""en"")"),"In the afternoon, , , ,")</f>
        <v>In the afternoon, , , ,</v>
      </c>
    </row>
    <row r="2168" spans="1:5" ht="13.2" x14ac:dyDescent="0.25">
      <c r="A2168" t="s">
        <v>4246</v>
      </c>
      <c r="B2168" t="s">
        <v>3360</v>
      </c>
      <c r="C2168" t="s">
        <v>4247</v>
      </c>
      <c r="D2168" t="str">
        <f ca="1">IFERROR(__xludf.DUMMYFUNCTION("GOOGLETRANSLATE(B2168,""es"",""en"")"),"This")</f>
        <v>This</v>
      </c>
      <c r="E2168" t="s">
        <v>4248</v>
      </c>
    </row>
    <row r="2169" spans="1:5" ht="13.2" x14ac:dyDescent="0.25">
      <c r="A2169" t="s">
        <v>4249</v>
      </c>
      <c r="B2169" t="s">
        <v>4250</v>
      </c>
      <c r="C2169" t="s">
        <v>4251</v>
      </c>
      <c r="D2169" t="str">
        <f ca="1">IFERROR(__xludf.DUMMYFUNCTION("GOOGLETRANSLATE(B2169,""es"",""en"")"),"Read")</f>
        <v>Read</v>
      </c>
      <c r="E2169" t="s">
        <v>4252</v>
      </c>
    </row>
    <row r="2170" spans="1:5" ht="13.2" x14ac:dyDescent="0.25">
      <c r="A2170" t="s">
        <v>4253</v>
      </c>
      <c r="B2170" t="s">
        <v>4254</v>
      </c>
      <c r="D2170" t="str">
        <f ca="1">IFERROR(__xludf.DUMMYFUNCTION("GOOGLETRANSLATE(B2170,""es"",""en"")"),"Great grandfather")</f>
        <v>Great grandfather</v>
      </c>
      <c r="E2170" t="str">
        <f ca="1">IFERROR(__xludf.DUMMYFUNCTION("GOOGLETRANSLATE(C2170,""es"",""en"")"),"#VALUE!")</f>
        <v>#VALUE!</v>
      </c>
    </row>
    <row r="2171" spans="1:5" ht="13.2" x14ac:dyDescent="0.25">
      <c r="A2171" t="s">
        <v>4255</v>
      </c>
      <c r="B2171" t="s">
        <v>4256</v>
      </c>
      <c r="D2171" t="str">
        <f ca="1">IFERROR(__xludf.DUMMYFUNCTION("GOOGLETRANSLATE(B2171,""es"",""en"")"),"Noon")</f>
        <v>Noon</v>
      </c>
      <c r="E2171" t="str">
        <f ca="1">IFERROR(__xludf.DUMMYFUNCTION("GOOGLETRANSLATE(C2171,""es"",""en"")"),"#VALUE!")</f>
        <v>#VALUE!</v>
      </c>
    </row>
    <row r="2172" spans="1:5" ht="13.2" x14ac:dyDescent="0.25">
      <c r="A2172" t="s">
        <v>4257</v>
      </c>
      <c r="B2172" t="s">
        <v>4258</v>
      </c>
      <c r="C2172" t="s">
        <v>4259</v>
      </c>
      <c r="D2172" t="str">
        <f ca="1">IFERROR(__xludf.DUMMYFUNCTION("GOOGLETRANSLATE(B2172,""es"",""en"")"),"Culture")</f>
        <v>Culture</v>
      </c>
      <c r="E2172" t="s">
        <v>4260</v>
      </c>
    </row>
    <row r="2173" spans="1:5" ht="13.2" x14ac:dyDescent="0.25">
      <c r="A2173" t="s">
        <v>4261</v>
      </c>
      <c r="B2173" t="s">
        <v>4262</v>
      </c>
      <c r="D2173" t="str">
        <f ca="1">IFERROR(__xludf.DUMMYFUNCTION("GOOGLETRANSLATE(B2173,""es"",""en"")"),"Helicone Leaves similar to Guineo")</f>
        <v>Helicone Leaves similar to Guineo</v>
      </c>
      <c r="E2173" t="str">
        <f ca="1">IFERROR(__xludf.DUMMYFUNCTION("GOOGLETRANSLATE(C2173,""es"",""en"")"),"#VALUE!")</f>
        <v>#VALUE!</v>
      </c>
    </row>
    <row r="2174" spans="1:5" ht="13.2" x14ac:dyDescent="0.25">
      <c r="A2174" t="s">
        <v>4263</v>
      </c>
      <c r="B2174" t="s">
        <v>4264</v>
      </c>
      <c r="D2174" t="str">
        <f ca="1">IFERROR(__xludf.DUMMYFUNCTION("GOOGLETRANSLATE(B2174,""es"",""en"")"),"Come")</f>
        <v>Come</v>
      </c>
      <c r="E2174" t="str">
        <f ca="1">IFERROR(__xludf.DUMMYFUNCTION("GOOGLETRANSLATE(C2174,""es"",""en"")"),"#VALUE!")</f>
        <v>#VALUE!</v>
      </c>
    </row>
    <row r="2175" spans="1:5" ht="13.2" x14ac:dyDescent="0.25">
      <c r="A2175" t="s">
        <v>4265</v>
      </c>
      <c r="B2175" t="s">
        <v>4266</v>
      </c>
      <c r="C2175" t="s">
        <v>4267</v>
      </c>
      <c r="D2175" t="str">
        <f ca="1">IFERROR(__xludf.DUMMYFUNCTION("GOOGLETRANSLATE(B2175,""es"",""en"")"),"Shine")</f>
        <v>Shine</v>
      </c>
      <c r="E2175" t="s">
        <v>4268</v>
      </c>
    </row>
    <row r="2176" spans="1:5" ht="13.2" x14ac:dyDescent="0.25">
      <c r="A2176" t="s">
        <v>647</v>
      </c>
      <c r="B2176" t="s">
        <v>4266</v>
      </c>
      <c r="C2176" t="s">
        <v>4267</v>
      </c>
      <c r="D2176" t="str">
        <f ca="1">IFERROR(__xludf.DUMMYFUNCTION("GOOGLETRANSLATE(B2176,""es"",""en"")"),"Shine")</f>
        <v>Shine</v>
      </c>
      <c r="E2176" t="s">
        <v>4268</v>
      </c>
    </row>
    <row r="2177" spans="1:5" ht="13.2" x14ac:dyDescent="0.25">
      <c r="A2177" t="s">
        <v>4269</v>
      </c>
      <c r="B2177" t="s">
        <v>4270</v>
      </c>
      <c r="C2177" t="s">
        <v>4271</v>
      </c>
      <c r="D2177" t="str">
        <f ca="1">IFERROR(__xludf.DUMMYFUNCTION("GOOGLETRANSLATE(B2177,""es"",""en"")"),"Nettle")</f>
        <v>Nettle</v>
      </c>
      <c r="E2177" t="str">
        <f ca="1">IFERROR(__xludf.DUMMYFUNCTION("GOOGLETRANSLATE(C2177,""es"",""en"")"),"Medicinal plant")</f>
        <v>Medicinal plant</v>
      </c>
    </row>
    <row r="2178" spans="1:5" ht="13.2" x14ac:dyDescent="0.25">
      <c r="A2178" t="s">
        <v>4272</v>
      </c>
      <c r="B2178" t="s">
        <v>1217</v>
      </c>
      <c r="C2178" t="s">
        <v>4273</v>
      </c>
      <c r="D2178" t="str">
        <f ca="1">IFERROR(__xludf.DUMMYFUNCTION("GOOGLETRANSLATE(B2178,""es"",""en"")"),"Look")</f>
        <v>Look</v>
      </c>
      <c r="E2178" t="str">
        <f ca="1">IFERROR(__xludf.DUMMYFUNCTION("GOOGLETRANSLATE(C2178,""es"",""en"")"),"Observe, not lose sight of, to give,")</f>
        <v>Observe, not lose sight of, to give,</v>
      </c>
    </row>
    <row r="2179" spans="1:5" ht="13.2" x14ac:dyDescent="0.25">
      <c r="A2179" t="s">
        <v>4274</v>
      </c>
      <c r="B2179" t="s">
        <v>4275</v>
      </c>
      <c r="C2179" t="s">
        <v>4276</v>
      </c>
      <c r="D2179" t="str">
        <f ca="1">IFERROR(__xludf.DUMMYFUNCTION("GOOGLETRANSLATE(B2179,""es"",""en"")"),"Go to see")</f>
        <v>Go to see</v>
      </c>
      <c r="E2179" t="str">
        <f ca="1">IFERROR(__xludf.DUMMYFUNCTION("GOOGLETRANSLATE(C2179,""es"",""en"")"),"Go to observe ,,,,")</f>
        <v>Go to observe ,,,,</v>
      </c>
    </row>
    <row r="2180" spans="1:5" ht="13.2" x14ac:dyDescent="0.25">
      <c r="A2180" t="s">
        <v>4277</v>
      </c>
      <c r="B2180" t="s">
        <v>4278</v>
      </c>
      <c r="D2180" t="str">
        <f ca="1">IFERROR(__xludf.DUMMYFUNCTION("GOOGLETRANSLATE(B2180,""es"",""en"")"),"Parrotfish")</f>
        <v>Parrotfish</v>
      </c>
      <c r="E2180" t="str">
        <f ca="1">IFERROR(__xludf.DUMMYFUNCTION("GOOGLETRANSLATE(C2180,""es"",""en"")"),"#VALUE!")</f>
        <v>#VALUE!</v>
      </c>
    </row>
    <row r="2181" spans="1:5" ht="13.2" x14ac:dyDescent="0.25">
      <c r="A2181" t="s">
        <v>4279</v>
      </c>
      <c r="B2181" t="s">
        <v>4280</v>
      </c>
      <c r="C2181" t="s">
        <v>4281</v>
      </c>
      <c r="D2181" t="str">
        <f ca="1">IFERROR(__xludf.DUMMYFUNCTION("GOOGLETRANSLATE(B2181,""es"",""en"")"),"Back")</f>
        <v>Back</v>
      </c>
      <c r="E2181" t="str">
        <f ca="1">IFERROR(__xludf.DUMMYFUNCTION("GOOGLETRANSLATE(C2181,""es"",""en"")"),"Behind, , , ,")</f>
        <v>Behind, , , ,</v>
      </c>
    </row>
    <row r="2182" spans="1:5" ht="13.2" x14ac:dyDescent="0.25">
      <c r="A2182" t="s">
        <v>4282</v>
      </c>
      <c r="B2182" t="s">
        <v>4280</v>
      </c>
      <c r="C2182" t="s">
        <v>4281</v>
      </c>
      <c r="D2182" t="str">
        <f ca="1">IFERROR(__xludf.DUMMYFUNCTION("GOOGLETRANSLATE(B2182,""es"",""en"")"),"Back")</f>
        <v>Back</v>
      </c>
      <c r="E2182" t="str">
        <f ca="1">IFERROR(__xludf.DUMMYFUNCTION("GOOGLETRANSLATE(C2182,""es"",""en"")"),"Behind, , , ,")</f>
        <v>Behind, , , ,</v>
      </c>
    </row>
    <row r="2183" spans="1:5" ht="13.2" x14ac:dyDescent="0.25">
      <c r="A2183" t="s">
        <v>4283</v>
      </c>
      <c r="B2183" t="s">
        <v>4284</v>
      </c>
      <c r="C2183" t="s">
        <v>4285</v>
      </c>
      <c r="D2183" t="str">
        <f ca="1">IFERROR(__xludf.DUMMYFUNCTION("GOOGLETRANSLATE(B2183,""es"",""en"")"),"Bad water")</f>
        <v>Bad water</v>
      </c>
      <c r="E2183" t="str">
        <f ca="1">IFERROR(__xludf.DUMMYFUNCTION("GOOGLETRANSLATE(C2183,""es"",""en"")"),"Jellyfish, , , ,")</f>
        <v>Jellyfish, , , ,</v>
      </c>
    </row>
    <row r="2184" spans="1:5" ht="13.2" x14ac:dyDescent="0.25">
      <c r="A2184" t="s">
        <v>4286</v>
      </c>
      <c r="B2184" t="s">
        <v>4287</v>
      </c>
      <c r="C2184" t="s">
        <v>4288</v>
      </c>
      <c r="D2184" t="str">
        <f ca="1">IFERROR(__xludf.DUMMYFUNCTION("GOOGLETRANSLATE(B2184,""es"",""en"")"),"Crocodile")</f>
        <v>Crocodile</v>
      </c>
      <c r="E2184" t="s">
        <v>4289</v>
      </c>
    </row>
    <row r="2185" spans="1:5" ht="13.2" x14ac:dyDescent="0.25">
      <c r="A2185" t="s">
        <v>629</v>
      </c>
      <c r="B2185" t="s">
        <v>626</v>
      </c>
      <c r="C2185" t="s">
        <v>627</v>
      </c>
      <c r="D2185" t="s">
        <v>628</v>
      </c>
      <c r="E2185" t="str">
        <f ca="1">IFERROR(__xludf.DUMMYFUNCTION("GOOGLETRANSLATE(C2185,""es"",""en"")"),"View, , , ,")</f>
        <v>View, , , ,</v>
      </c>
    </row>
    <row r="2186" spans="1:5" ht="13.2" x14ac:dyDescent="0.25">
      <c r="A2186" t="s">
        <v>625</v>
      </c>
      <c r="B2186" t="s">
        <v>626</v>
      </c>
      <c r="D2186" t="s">
        <v>628</v>
      </c>
      <c r="E2186" t="str">
        <f ca="1">IFERROR(__xludf.DUMMYFUNCTION("GOOGLETRANSLATE(C2186,""es"",""en"")"),"#VALUE!")</f>
        <v>#VALUE!</v>
      </c>
    </row>
    <row r="2187" spans="1:5" ht="13.2" x14ac:dyDescent="0.25">
      <c r="A2187" t="s">
        <v>646</v>
      </c>
      <c r="B2187" t="s">
        <v>644</v>
      </c>
      <c r="C2187" t="s">
        <v>645</v>
      </c>
      <c r="D2187" t="str">
        <f ca="1">IFERROR(__xludf.DUMMYFUNCTION("GOOGLETRANSLATE(B2187,""es"",""en"")"),"Blind")</f>
        <v>Blind</v>
      </c>
      <c r="E2187" t="str">
        <f ca="1">IFERROR(__xludf.DUMMYFUNCTION("GOOGLETRANSLATE(C2187,""es"",""en"")"),"Blind, , , ,")</f>
        <v>Blind, , , ,</v>
      </c>
    </row>
    <row r="2188" spans="1:5" ht="13.2" x14ac:dyDescent="0.25">
      <c r="A2188" t="s">
        <v>643</v>
      </c>
      <c r="B2188" t="s">
        <v>644</v>
      </c>
      <c r="C2188" t="s">
        <v>645</v>
      </c>
      <c r="D2188" t="str">
        <f ca="1">IFERROR(__xludf.DUMMYFUNCTION("GOOGLETRANSLATE(B2188,""es"",""en"")"),"Blind")</f>
        <v>Blind</v>
      </c>
      <c r="E2188" t="str">
        <f ca="1">IFERROR(__xludf.DUMMYFUNCTION("GOOGLETRANSLATE(C2188,""es"",""en"")"),"Blind, , , ,")</f>
        <v>Blind, , , ,</v>
      </c>
    </row>
    <row r="2189" spans="1:5" ht="13.2" x14ac:dyDescent="0.25">
      <c r="A2189" t="s">
        <v>4290</v>
      </c>
      <c r="B2189" t="s">
        <v>4291</v>
      </c>
      <c r="D2189" t="s">
        <v>4292</v>
      </c>
      <c r="E2189" t="str">
        <f ca="1">IFERROR(__xludf.DUMMYFUNCTION("GOOGLETRANSLATE(C2189,""es"",""en"")"),"#VALUE!")</f>
        <v>#VALUE!</v>
      </c>
    </row>
    <row r="2190" spans="1:5" ht="13.2" x14ac:dyDescent="0.25">
      <c r="A2190" t="s">
        <v>365</v>
      </c>
      <c r="B2190" t="s">
        <v>362</v>
      </c>
      <c r="D2190" t="str">
        <f ca="1">IFERROR(__xludf.DUMMYFUNCTION("GOOGLETRANSLATE(B2190,""es"",""en"")"),"Fail the shot")</f>
        <v>Fail the shot</v>
      </c>
      <c r="E2190" t="str">
        <f ca="1">IFERROR(__xludf.DUMMYFUNCTION("GOOGLETRANSLATE(C2190,""es"",""en"")"),"#VALUE!")</f>
        <v>#VALUE!</v>
      </c>
    </row>
    <row r="2191" spans="1:5" ht="13.2" x14ac:dyDescent="0.25">
      <c r="A2191" t="s">
        <v>4293</v>
      </c>
      <c r="B2191" t="s">
        <v>4294</v>
      </c>
      <c r="D2191" t="str">
        <f ca="1">IFERROR(__xludf.DUMMYFUNCTION("GOOGLETRANSLATE(B2191,""es"",""en"")"),"Shredded soft object")</f>
        <v>Shredded soft object</v>
      </c>
      <c r="E2191" t="str">
        <f ca="1">IFERROR(__xludf.DUMMYFUNCTION("GOOGLETRANSLATE(C2191,""es"",""en"")"),"#VALUE!")</f>
        <v>#VALUE!</v>
      </c>
    </row>
    <row r="2192" spans="1:5" ht="13.2" x14ac:dyDescent="0.25">
      <c r="A2192" t="s">
        <v>361</v>
      </c>
      <c r="B2192" t="s">
        <v>362</v>
      </c>
      <c r="C2192" t="s">
        <v>363</v>
      </c>
      <c r="D2192" t="str">
        <f ca="1">IFERROR(__xludf.DUMMYFUNCTION("GOOGLETRANSLATE(B2192,""es"",""en"")"),"Fail the shot")</f>
        <v>Fail the shot</v>
      </c>
      <c r="E2192" t="str">
        <f ca="1">IFERROR(__xludf.DUMMYFUNCTION("GOOGLETRANSLATE(C2192,""es"",""en"")"),"Err ,,,,")</f>
        <v>Err ,,,,</v>
      </c>
    </row>
    <row r="2193" spans="1:5" ht="13.2" x14ac:dyDescent="0.25">
      <c r="A2193" t="s">
        <v>4295</v>
      </c>
      <c r="B2193" t="s">
        <v>4296</v>
      </c>
      <c r="C2193" t="s">
        <v>4297</v>
      </c>
      <c r="D2193" t="str">
        <f ca="1">IFERROR(__xludf.DUMMYFUNCTION("GOOGLETRANSLATE(B2193,""es"",""en"")"),"Melt")</f>
        <v>Melt</v>
      </c>
      <c r="E2193" t="str">
        <f ca="1">IFERROR(__xludf.DUMMYFUNCTION("GOOGLETRANSLATE(C2193,""es"",""en"")"),"Blend, dissolve ,,,")</f>
        <v>Blend, dissolve ,,,</v>
      </c>
    </row>
    <row r="2194" spans="1:5" ht="13.2" x14ac:dyDescent="0.25">
      <c r="A2194" t="s">
        <v>4298</v>
      </c>
      <c r="B2194" t="s">
        <v>4299</v>
      </c>
      <c r="D2194" t="str">
        <f ca="1">IFERROR(__xludf.DUMMYFUNCTION("GOOGLETRANSLATE(B2194,""es"",""en"")"),"Cold")</f>
        <v>Cold</v>
      </c>
      <c r="E2194" t="str">
        <f ca="1">IFERROR(__xludf.DUMMYFUNCTION("GOOGLETRANSLATE(C2194,""es"",""en"")"),"#VALUE!")</f>
        <v>#VALUE!</v>
      </c>
    </row>
    <row r="2195" spans="1:5" ht="13.2" x14ac:dyDescent="0.25">
      <c r="A2195" t="s">
        <v>4300</v>
      </c>
      <c r="B2195" t="s">
        <v>4301</v>
      </c>
      <c r="C2195" t="s">
        <v>4302</v>
      </c>
      <c r="D2195" t="str">
        <f ca="1">IFERROR(__xludf.DUMMYFUNCTION("GOOGLETRANSLATE(B2195,""es"",""en"")"),"Cluster")</f>
        <v>Cluster</v>
      </c>
      <c r="E2195" t="str">
        <f ca="1">IFERROR(__xludf.DUMMYFUNCTION("GOOGLETRANSLATE(C2195,""es"",""en"")"),"Set, grouped ,,,")</f>
        <v>Set, grouped ,,,</v>
      </c>
    </row>
    <row r="2196" spans="1:5" ht="13.2" x14ac:dyDescent="0.25">
      <c r="A2196" t="s">
        <v>4303</v>
      </c>
      <c r="B2196" t="s">
        <v>4301</v>
      </c>
      <c r="C2196" t="s">
        <v>4302</v>
      </c>
      <c r="D2196" t="str">
        <f ca="1">IFERROR(__xludf.DUMMYFUNCTION("GOOGLETRANSLATE(B2196,""es"",""en"")"),"Cluster")</f>
        <v>Cluster</v>
      </c>
      <c r="E2196" t="str">
        <f ca="1">IFERROR(__xludf.DUMMYFUNCTION("GOOGLETRANSLATE(C2196,""es"",""en"")"),"Set, grouped ,,,")</f>
        <v>Set, grouped ,,,</v>
      </c>
    </row>
    <row r="2197" spans="1:5" ht="13.2" x14ac:dyDescent="0.25">
      <c r="A2197" t="s">
        <v>4304</v>
      </c>
      <c r="B2197" t="s">
        <v>4305</v>
      </c>
      <c r="C2197" t="s">
        <v>4306</v>
      </c>
      <c r="D2197" t="str">
        <f ca="1">IFERROR(__xludf.DUMMYFUNCTION("GOOGLETRANSLATE(B2197,""es"",""en"")"),"Double")</f>
        <v>Double</v>
      </c>
      <c r="E2197" t="str">
        <f ca="1">IFERROR(__xludf.DUMMYFUNCTION("GOOGLETRANSLATE(C2197,""es"",""en"")"),"Twin ,,,,")</f>
        <v>Twin ,,,,</v>
      </c>
    </row>
    <row r="2198" spans="1:5" ht="13.2" x14ac:dyDescent="0.25">
      <c r="A2198" t="s">
        <v>4307</v>
      </c>
      <c r="B2198" t="s">
        <v>4308</v>
      </c>
      <c r="D2198" t="str">
        <f ca="1">IFERROR(__xludf.DUMMYFUNCTION("GOOGLETRANSLATE(B2198,""es"",""en"")"),"Oteo")</f>
        <v>Oteo</v>
      </c>
      <c r="E2198" t="str">
        <f ca="1">IFERROR(__xludf.DUMMYFUNCTION("GOOGLETRANSLATE(C2198,""es"",""en"")"),"#VALUE!")</f>
        <v>#VALUE!</v>
      </c>
    </row>
    <row r="2199" spans="1:5" ht="13.2" x14ac:dyDescent="0.25">
      <c r="A2199" t="s">
        <v>4309</v>
      </c>
      <c r="B2199" t="s">
        <v>4310</v>
      </c>
      <c r="C2199" t="s">
        <v>4311</v>
      </c>
      <c r="D2199" t="s">
        <v>4312</v>
      </c>
      <c r="E2199" t="str">
        <f ca="1">IFERROR(__xludf.DUMMYFUNCTION("GOOGLETRANSLATE(C2199,""es"",""en"")"),"Fox, , , ,")</f>
        <v>Fox, , , ,</v>
      </c>
    </row>
    <row r="2200" spans="1:5" ht="13.2" x14ac:dyDescent="0.25">
      <c r="A2200" t="s">
        <v>4313</v>
      </c>
      <c r="B2200" t="s">
        <v>4314</v>
      </c>
      <c r="D2200" t="str">
        <f ca="1">IFERROR(__xludf.DUMMYFUNCTION("GOOGLETRANSLATE(B2200,""es"",""en"")"),"Down river")</f>
        <v>Down river</v>
      </c>
      <c r="E2200" t="str">
        <f ca="1">IFERROR(__xludf.DUMMYFUNCTION("GOOGLETRANSLATE(C2200,""es"",""en"")"),"#VALUE!")</f>
        <v>#VALUE!</v>
      </c>
    </row>
    <row r="2201" spans="1:5" ht="13.2" x14ac:dyDescent="0.25">
      <c r="A2201" t="s">
        <v>4315</v>
      </c>
      <c r="B2201" t="s">
        <v>4316</v>
      </c>
      <c r="D2201" t="str">
        <f ca="1">IFERROR(__xludf.DUMMYFUNCTION("GOOGLETRANSLATE(B2201,""es"",""en"")"),"ABJO RIVER")</f>
        <v>ABJO RIVER</v>
      </c>
      <c r="E2201" t="str">
        <f ca="1">IFERROR(__xludf.DUMMYFUNCTION("GOOGLETRANSLATE(C2201,""es"",""en"")"),"#VALUE!")</f>
        <v>#VALUE!</v>
      </c>
    </row>
    <row r="2202" spans="1:5" ht="13.2" x14ac:dyDescent="0.25">
      <c r="A2202" t="s">
        <v>4317</v>
      </c>
      <c r="B2202" t="s">
        <v>4133</v>
      </c>
      <c r="D2202" t="str">
        <f ca="1">IFERROR(__xludf.DUMMYFUNCTION("GOOGLETRANSLATE(B2202,""es"",""en"")"),"Rather")</f>
        <v>Rather</v>
      </c>
      <c r="E2202" t="str">
        <f ca="1">IFERROR(__xludf.DUMMYFUNCTION("GOOGLETRANSLATE(C2202,""es"",""en"")"),"#VALUE!")</f>
        <v>#VALUE!</v>
      </c>
    </row>
    <row r="2203" spans="1:5" ht="13.2" x14ac:dyDescent="0.25">
      <c r="A2203" t="s">
        <v>4318</v>
      </c>
      <c r="B2203" t="s">
        <v>4319</v>
      </c>
      <c r="C2203" t="s">
        <v>4320</v>
      </c>
      <c r="D2203" t="str">
        <f ca="1">IFERROR(__xludf.DUMMYFUNCTION("GOOGLETRANSLATE(B2203,""es"",""en"")"),"Destroy")</f>
        <v>Destroy</v>
      </c>
      <c r="E2203" t="str">
        <f ca="1">IFERROR(__xludf.DUMMYFUNCTION("GOOGLETRANSLATE(C2203,""es"",""en"")"),"Space, spread ,,,,")</f>
        <v>Space, spread ,,,,</v>
      </c>
    </row>
    <row r="2204" spans="1:5" ht="13.2" x14ac:dyDescent="0.25">
      <c r="A2204" t="s">
        <v>4321</v>
      </c>
      <c r="B2204" t="s">
        <v>4322</v>
      </c>
      <c r="C2204" t="s">
        <v>4323</v>
      </c>
      <c r="D2204" t="str">
        <f ca="1">IFERROR(__xludf.DUMMYFUNCTION("GOOGLETRANSLATE(B2204,""es"",""en"")"),"No tip")</f>
        <v>No tip</v>
      </c>
      <c r="E2204" t="str">
        <f ca="1">IFERROR(__xludf.DUMMYFUNCTION("GOOGLETRANSLATE(C2204,""es"",""en"")"),"Blunt, , , ,")</f>
        <v>Blunt, , , ,</v>
      </c>
    </row>
    <row r="2205" spans="1:5" ht="13.2" x14ac:dyDescent="0.25">
      <c r="A2205" t="s">
        <v>4324</v>
      </c>
      <c r="B2205" t="s">
        <v>4322</v>
      </c>
      <c r="C2205" t="s">
        <v>4323</v>
      </c>
      <c r="D2205" t="str">
        <f ca="1">IFERROR(__xludf.DUMMYFUNCTION("GOOGLETRANSLATE(B2205,""es"",""en"")"),"No tip")</f>
        <v>No tip</v>
      </c>
      <c r="E2205" t="str">
        <f ca="1">IFERROR(__xludf.DUMMYFUNCTION("GOOGLETRANSLATE(C2205,""es"",""en"")"),"Blunt, , , ,")</f>
        <v>Blunt, , , ,</v>
      </c>
    </row>
    <row r="2206" spans="1:5" ht="13.2" x14ac:dyDescent="0.25">
      <c r="A2206" t="s">
        <v>4325</v>
      </c>
      <c r="B2206" t="s">
        <v>4326</v>
      </c>
      <c r="D2206" t="s">
        <v>4327</v>
      </c>
      <c r="E2206" t="str">
        <f ca="1">IFERROR(__xludf.DUMMYFUNCTION("GOOGLETRANSLATE(C2206,""es"",""en"")"),"#VALUE!")</f>
        <v>#VALUE!</v>
      </c>
    </row>
    <row r="2207" spans="1:5" ht="13.2" x14ac:dyDescent="0.25">
      <c r="A2207" t="s">
        <v>4328</v>
      </c>
      <c r="B2207" t="s">
        <v>4329</v>
      </c>
      <c r="D2207" t="str">
        <f ca="1">IFERROR(__xludf.DUMMYFUNCTION("GOOGLETRANSLATE(B2207,""es"",""en"")"),"Armadillo instrument")</f>
        <v>Armadillo instrument</v>
      </c>
      <c r="E2207" t="str">
        <f ca="1">IFERROR(__xludf.DUMMYFUNCTION("GOOGLETRANSLATE(C2207,""es"",""en"")"),"#VALUE!")</f>
        <v>#VALUE!</v>
      </c>
    </row>
    <row r="2208" spans="1:5" ht="13.2" x14ac:dyDescent="0.25">
      <c r="A2208" t="s">
        <v>3528</v>
      </c>
      <c r="B2208" t="s">
        <v>3527</v>
      </c>
      <c r="D2208" t="str">
        <f ca="1">IFERROR(__xludf.DUMMYFUNCTION("GOOGLETRANSLATE(B2208,""es"",""en"")"),"Drip")</f>
        <v>Drip</v>
      </c>
      <c r="E2208" t="str">
        <f ca="1">IFERROR(__xludf.DUMMYFUNCTION("GOOGLETRANSLATE(C2208,""es"",""en"")"),"#VALUE!")</f>
        <v>#VALUE!</v>
      </c>
    </row>
    <row r="2209" spans="1:5" ht="13.2" x14ac:dyDescent="0.25">
      <c r="A2209" t="s">
        <v>3526</v>
      </c>
      <c r="B2209" t="s">
        <v>3527</v>
      </c>
      <c r="D2209" t="str">
        <f ca="1">IFERROR(__xludf.DUMMYFUNCTION("GOOGLETRANSLATE(B2209,""es"",""en"")"),"Drip")</f>
        <v>Drip</v>
      </c>
      <c r="E2209" t="str">
        <f ca="1">IFERROR(__xludf.DUMMYFUNCTION("GOOGLETRANSLATE(C2209,""es"",""en"")"),"#VALUE!")</f>
        <v>#VALUE!</v>
      </c>
    </row>
    <row r="2210" spans="1:5" ht="13.2" x14ac:dyDescent="0.25">
      <c r="A2210" t="s">
        <v>1432</v>
      </c>
      <c r="B2210" t="s">
        <v>1429</v>
      </c>
      <c r="C2210" t="s">
        <v>4330</v>
      </c>
      <c r="D2210" t="str">
        <f ca="1">IFERROR(__xludf.DUMMYFUNCTION("GOOGLETRANSLATE(B2210,""es"",""en"")"),"Hello")</f>
        <v>Hello</v>
      </c>
      <c r="E2210" t="str">
        <f ca="1">IFERROR(__xludf.DUMMYFUNCTION("GOOGLETRANSLATE(C2210,""es"",""en"")"),"Greeting expression ,,,,")</f>
        <v>Greeting expression ,,,,</v>
      </c>
    </row>
    <row r="2211" spans="1:5" ht="13.2" x14ac:dyDescent="0.25">
      <c r="A2211" t="s">
        <v>2384</v>
      </c>
      <c r="B2211" t="s">
        <v>1429</v>
      </c>
      <c r="D2211" t="str">
        <f ca="1">IFERROR(__xludf.DUMMYFUNCTION("GOOGLETRANSLATE(B2211,""es"",""en"")"),"Hello")</f>
        <v>Hello</v>
      </c>
      <c r="E2211" t="str">
        <f ca="1">IFERROR(__xludf.DUMMYFUNCTION("GOOGLETRANSLATE(C2211,""es"",""en"")"),"#VALUE!")</f>
        <v>#VALUE!</v>
      </c>
    </row>
    <row r="2212" spans="1:5" ht="13.2" x14ac:dyDescent="0.25">
      <c r="A2212" t="s">
        <v>1431</v>
      </c>
      <c r="B2212" t="s">
        <v>1429</v>
      </c>
      <c r="D2212" t="str">
        <f ca="1">IFERROR(__xludf.DUMMYFUNCTION("GOOGLETRANSLATE(B2212,""es"",""en"")"),"Hello")</f>
        <v>Hello</v>
      </c>
      <c r="E2212" t="str">
        <f ca="1">IFERROR(__xludf.DUMMYFUNCTION("GOOGLETRANSLATE(C2212,""es"",""en"")"),"#VALUE!")</f>
        <v>#VALUE!</v>
      </c>
    </row>
    <row r="2213" spans="1:5" ht="13.2" x14ac:dyDescent="0.25">
      <c r="A2213" t="s">
        <v>4331</v>
      </c>
      <c r="B2213" t="s">
        <v>4332</v>
      </c>
      <c r="D2213" t="str">
        <f ca="1">IFERROR(__xludf.DUMMYFUNCTION("GOOGLETRANSLATE(B2213,""es"",""en"")"),"That's how it is")</f>
        <v>That's how it is</v>
      </c>
      <c r="E2213" t="str">
        <f ca="1">IFERROR(__xludf.DUMMYFUNCTION("GOOGLETRANSLATE(C2213,""es"",""en"")"),"#VALUE!")</f>
        <v>#VALUE!</v>
      </c>
    </row>
    <row r="2214" spans="1:5" ht="13.2" x14ac:dyDescent="0.25">
      <c r="A2214" t="s">
        <v>4333</v>
      </c>
      <c r="B2214" t="s">
        <v>4334</v>
      </c>
      <c r="C2214" t="s">
        <v>4335</v>
      </c>
      <c r="D2214" t="str">
        <f ca="1">IFERROR(__xludf.DUMMYFUNCTION("GOOGLETRANSLATE(B2214,""es"",""en"")"),"Wake up")</f>
        <v>Wake up</v>
      </c>
      <c r="E2214" t="s">
        <v>4336</v>
      </c>
    </row>
    <row r="2215" spans="1:5" ht="13.2" x14ac:dyDescent="0.25">
      <c r="A2215" t="s">
        <v>867</v>
      </c>
      <c r="B2215" t="s">
        <v>4332</v>
      </c>
      <c r="D2215" t="str">
        <f ca="1">IFERROR(__xludf.DUMMYFUNCTION("GOOGLETRANSLATE(B2215,""es"",""en"")"),"That's how it is")</f>
        <v>That's how it is</v>
      </c>
      <c r="E2215" t="str">
        <f ca="1">IFERROR(__xludf.DUMMYFUNCTION("GOOGLETRANSLATE(C2215,""es"",""en"")"),"#VALUE!")</f>
        <v>#VALUE!</v>
      </c>
    </row>
    <row r="2216" spans="1:5" ht="13.2" x14ac:dyDescent="0.25">
      <c r="A2216" t="s">
        <v>4309</v>
      </c>
      <c r="B2216" t="s">
        <v>4310</v>
      </c>
      <c r="D2216" t="s">
        <v>4337</v>
      </c>
      <c r="E2216" t="str">
        <f ca="1">IFERROR(__xludf.DUMMYFUNCTION("GOOGLETRANSLATE(C2216,""es"",""en"")"),"#VALUE!")</f>
        <v>#VALUE!</v>
      </c>
    </row>
    <row r="2217" spans="1:5" ht="13.2" x14ac:dyDescent="0.25">
      <c r="A2217" t="s">
        <v>1408</v>
      </c>
      <c r="B2217" t="s">
        <v>1093</v>
      </c>
      <c r="C2217" t="s">
        <v>4338</v>
      </c>
      <c r="D2217" t="str">
        <f ca="1">IFERROR(__xludf.DUMMYFUNCTION("GOOGLETRANSLATE(B2217,""es"",""en"")"),"Sea")</f>
        <v>Sea</v>
      </c>
      <c r="E2217" t="str">
        <f ca="1">IFERROR(__xludf.DUMMYFUNCTION("GOOGLETRANSLATE(C2217,""es"",""en"")"),"Ocean, , , ,")</f>
        <v>Ocean, , , ,</v>
      </c>
    </row>
    <row r="2218" spans="1:5" ht="13.2" x14ac:dyDescent="0.25">
      <c r="A2218" t="s">
        <v>4339</v>
      </c>
      <c r="B2218" t="s">
        <v>1093</v>
      </c>
      <c r="C2218" t="s">
        <v>4338</v>
      </c>
      <c r="D2218" t="str">
        <f ca="1">IFERROR(__xludf.DUMMYFUNCTION("GOOGLETRANSLATE(B2218,""es"",""en"")"),"Sea")</f>
        <v>Sea</v>
      </c>
      <c r="E2218" t="str">
        <f ca="1">IFERROR(__xludf.DUMMYFUNCTION("GOOGLETRANSLATE(C2218,""es"",""en"")"),"Ocean, , , ,")</f>
        <v>Ocean, , , ,</v>
      </c>
    </row>
    <row r="2219" spans="1:5" ht="13.2" x14ac:dyDescent="0.25">
      <c r="A2219" t="s">
        <v>4340</v>
      </c>
      <c r="B2219" t="s">
        <v>4341</v>
      </c>
      <c r="D2219" t="str">
        <f ca="1">IFERROR(__xludf.DUMMYFUNCTION("GOOGLETRANSLATE(B2219,""es"",""en"")"),"Seaweed")</f>
        <v>Seaweed</v>
      </c>
      <c r="E2219" t="str">
        <f ca="1">IFERROR(__xludf.DUMMYFUNCTION("GOOGLETRANSLATE(C2219,""es"",""en"")"),"#VALUE!")</f>
        <v>#VALUE!</v>
      </c>
    </row>
    <row r="2220" spans="1:5" ht="13.2" x14ac:dyDescent="0.25">
      <c r="A2220" t="s">
        <v>4342</v>
      </c>
      <c r="B2220" t="s">
        <v>4341</v>
      </c>
      <c r="D2220" t="str">
        <f ca="1">IFERROR(__xludf.DUMMYFUNCTION("GOOGLETRANSLATE(B2220,""es"",""en"")"),"Seaweed")</f>
        <v>Seaweed</v>
      </c>
      <c r="E2220" t="str">
        <f ca="1">IFERROR(__xludf.DUMMYFUNCTION("GOOGLETRANSLATE(C2220,""es"",""en"")"),"#VALUE!")</f>
        <v>#VALUE!</v>
      </c>
    </row>
    <row r="2221" spans="1:5" ht="13.2" x14ac:dyDescent="0.25">
      <c r="A2221" t="s">
        <v>4343</v>
      </c>
      <c r="B2221" t="s">
        <v>4344</v>
      </c>
      <c r="C2221" t="s">
        <v>4345</v>
      </c>
      <c r="D2221" t="s">
        <v>4346</v>
      </c>
      <c r="E2221" t="str">
        <f ca="1">IFERROR(__xludf.DUMMYFUNCTION("GOOGLETRANSLATE(C2221,""es"",""en"")"),"Waves, , , ,")</f>
        <v>Waves, , , ,</v>
      </c>
    </row>
    <row r="2222" spans="1:5" ht="13.2" x14ac:dyDescent="0.25">
      <c r="A2222" t="s">
        <v>4347</v>
      </c>
      <c r="B2222" t="s">
        <v>4344</v>
      </c>
      <c r="C2222" t="s">
        <v>4345</v>
      </c>
      <c r="D2222" t="s">
        <v>4346</v>
      </c>
      <c r="E2222" t="str">
        <f ca="1">IFERROR(__xludf.DUMMYFUNCTION("GOOGLETRANSLATE(C2222,""es"",""en"")"),"Waves, , , ,")</f>
        <v>Waves, , , ,</v>
      </c>
    </row>
    <row r="2223" spans="1:5" ht="13.2" x14ac:dyDescent="0.25">
      <c r="A2223" t="s">
        <v>4348</v>
      </c>
      <c r="B2223" t="s">
        <v>4349</v>
      </c>
      <c r="D2223" t="str">
        <f ca="1">IFERROR(__xludf.DUMMYFUNCTION("GOOGLETRANSLATE(B2223,""es"",""en"")"),"Ronquito fish")</f>
        <v>Ronquito fish</v>
      </c>
      <c r="E2223" t="str">
        <f ca="1">IFERROR(__xludf.DUMMYFUNCTION("GOOGLETRANSLATE(C2223,""es"",""en"")"),"#VALUE!")</f>
        <v>#VALUE!</v>
      </c>
    </row>
    <row r="2224" spans="1:5" ht="13.2" x14ac:dyDescent="0.25">
      <c r="A2224" t="s">
        <v>4350</v>
      </c>
      <c r="B2224" t="s">
        <v>4351</v>
      </c>
      <c r="D2224" t="str">
        <f ca="1">IFERROR(__xludf.DUMMYFUNCTION("GOOGLETRANSLATE(B2224,""es"",""en"")"),"Water")</f>
        <v>Water</v>
      </c>
      <c r="E2224" t="str">
        <f ca="1">IFERROR(__xludf.DUMMYFUNCTION("GOOGLETRANSLATE(C2224,""es"",""en"")"),"#VALUE!")</f>
        <v>#VALUE!</v>
      </c>
    </row>
    <row r="2225" spans="1:5" ht="13.2" x14ac:dyDescent="0.25">
      <c r="A2225" t="s">
        <v>4352</v>
      </c>
      <c r="B2225" t="s">
        <v>4353</v>
      </c>
      <c r="D2225" t="str">
        <f ca="1">IFERROR(__xludf.DUMMYFUNCTION("GOOGLETRANSLATE(B2225,""es"",""en"")"),"Five")</f>
        <v>Five</v>
      </c>
      <c r="E2225" t="str">
        <f ca="1">IFERROR(__xludf.DUMMYFUNCTION("GOOGLETRANSLATE(C2225,""es"",""en"")"),"#VALUE!")</f>
        <v>#VALUE!</v>
      </c>
    </row>
    <row r="2226" spans="1:5" ht="13.2" x14ac:dyDescent="0.25">
      <c r="A2226" t="s">
        <v>4354</v>
      </c>
      <c r="B2226" t="s">
        <v>4355</v>
      </c>
      <c r="D2226" t="str">
        <f ca="1">IFERROR(__xludf.DUMMYFUNCTION("GOOGLETRANSLATE(B2226,""es"",""en"")"),"Well")</f>
        <v>Well</v>
      </c>
      <c r="E2226" t="str">
        <f ca="1">IFERROR(__xludf.DUMMYFUNCTION("GOOGLETRANSLATE(C2226,""es"",""en"")"),"#VALUE!")</f>
        <v>#VALUE!</v>
      </c>
    </row>
    <row r="2227" spans="1:5" ht="13.2" x14ac:dyDescent="0.25">
      <c r="A2227" t="s">
        <v>4356</v>
      </c>
      <c r="B2227" t="s">
        <v>4357</v>
      </c>
      <c r="C2227" t="s">
        <v>4358</v>
      </c>
      <c r="D2227" t="str">
        <f ca="1">IFERROR(__xludf.DUMMYFUNCTION("GOOGLETRANSLATE(B2227,""es"",""en"")"),"Creek")</f>
        <v>Creek</v>
      </c>
      <c r="E2227" t="str">
        <f ca="1">IFERROR(__xludf.DUMMYFUNCTION("GOOGLETRANSLATE(C2227,""es"",""en"")"),"Arroyo ,,,,")</f>
        <v>Arroyo ,,,,</v>
      </c>
    </row>
    <row r="2228" spans="1:5" ht="13.2" x14ac:dyDescent="0.25">
      <c r="A2228" t="s">
        <v>4359</v>
      </c>
      <c r="B2228" t="s">
        <v>4360</v>
      </c>
      <c r="D2228" t="s">
        <v>4361</v>
      </c>
      <c r="E2228" t="str">
        <f ca="1">IFERROR(__xludf.DUMMYFUNCTION("GOOGLETRANSLATE(C2228,""es"",""en"")"),"#VALUE!")</f>
        <v>#VALUE!</v>
      </c>
    </row>
    <row r="2229" spans="1:5" ht="13.2" x14ac:dyDescent="0.25">
      <c r="A2229" t="s">
        <v>4362</v>
      </c>
      <c r="B2229" t="s">
        <v>4363</v>
      </c>
      <c r="C2229" t="s">
        <v>4364</v>
      </c>
      <c r="D2229" t="str">
        <f ca="1">IFERROR(__xludf.DUMMYFUNCTION("GOOGLETRANSLATE(B2229,""es"",""en"")"),"Tulle")</f>
        <v>Tulle</v>
      </c>
      <c r="E2229" t="str">
        <f ca="1">IFERROR(__xludf.DUMMYFUNCTION("GOOGLETRANSLATE(C2229,""es"",""en"")"),"Gauze, , , ,")</f>
        <v>Gauze, , , ,</v>
      </c>
    </row>
    <row r="2230" spans="1:5" ht="13.2" x14ac:dyDescent="0.25">
      <c r="A2230" t="s">
        <v>4365</v>
      </c>
      <c r="B2230" t="s">
        <v>4366</v>
      </c>
      <c r="D2230" t="str">
        <f ca="1">IFERROR(__xludf.DUMMYFUNCTION("GOOGLETRANSLATE(B2230,""es"",""en"")"),"Skinny")</f>
        <v>Skinny</v>
      </c>
      <c r="E2230" t="str">
        <f ca="1">IFERROR(__xludf.DUMMYFUNCTION("GOOGLETRANSLATE(C2230,""es"",""en"")"),"#VALUE!")</f>
        <v>#VALUE!</v>
      </c>
    </row>
    <row r="2231" spans="1:5" ht="13.2" x14ac:dyDescent="0.25">
      <c r="A2231" t="s">
        <v>4367</v>
      </c>
      <c r="B2231" t="s">
        <v>4366</v>
      </c>
      <c r="C2231" t="s">
        <v>4368</v>
      </c>
      <c r="D2231" t="str">
        <f ca="1">IFERROR(__xludf.DUMMYFUNCTION("GOOGLETRANSLATE(B2231,""es"",""en"")"),"Skinny")</f>
        <v>Skinny</v>
      </c>
      <c r="E2231" t="str">
        <f ca="1">IFERROR(__xludf.DUMMYFUNCTION("GOOGLETRANSLATE(C2231,""es"",""en"")"),"Vain ,,,,")</f>
        <v>Vain ,,,,</v>
      </c>
    </row>
    <row r="2232" spans="1:5" ht="13.2" x14ac:dyDescent="0.25">
      <c r="A2232" t="s">
        <v>4369</v>
      </c>
      <c r="B2232" t="s">
        <v>4370</v>
      </c>
      <c r="D2232" t="str">
        <f ca="1">IFERROR(__xludf.DUMMYFUNCTION("GOOGLETRANSLATE(B2232,""es"",""en"")"),"Pumpkin for water")</f>
        <v>Pumpkin for water</v>
      </c>
      <c r="E2232" t="str">
        <f ca="1">IFERROR(__xludf.DUMMYFUNCTION("GOOGLETRANSLATE(C2232,""es"",""en"")"),"#VALUE!")</f>
        <v>#VALUE!</v>
      </c>
    </row>
    <row r="2233" spans="1:5" ht="13.2" x14ac:dyDescent="0.25">
      <c r="A2233" t="s">
        <v>4371</v>
      </c>
      <c r="B2233" t="s">
        <v>4202</v>
      </c>
      <c r="C2233" t="s">
        <v>4372</v>
      </c>
      <c r="D2233" t="str">
        <f ca="1">IFERROR(__xludf.DUMMYFUNCTION("GOOGLETRANSLATE(B2233,""es"",""en"")"),"Wind")</f>
        <v>Wind</v>
      </c>
      <c r="E2233" t="str">
        <f ca="1">IFERROR(__xludf.DUMMYFUNCTION("GOOGLETRANSLATE(C2233,""es"",""en"")"),"From the east, , , ,")</f>
        <v>From the east, , , ,</v>
      </c>
    </row>
    <row r="2234" spans="1:5" ht="13.2" x14ac:dyDescent="0.25">
      <c r="A2234" t="s">
        <v>4373</v>
      </c>
      <c r="B2234" t="s">
        <v>4374</v>
      </c>
      <c r="D2234" t="str">
        <f ca="1">IFERROR(__xludf.DUMMYFUNCTION("GOOGLETRANSLATE(B2234,""es"",""en"")"),"Fry")</f>
        <v>Fry</v>
      </c>
      <c r="E2234" t="str">
        <f ca="1">IFERROR(__xludf.DUMMYFUNCTION("GOOGLETRANSLATE(C2234,""es"",""en"")"),"#VALUE!")</f>
        <v>#VALUE!</v>
      </c>
    </row>
    <row r="2235" spans="1:5" ht="13.2" x14ac:dyDescent="0.25">
      <c r="A2235" t="s">
        <v>4375</v>
      </c>
      <c r="B2235" t="s">
        <v>4376</v>
      </c>
      <c r="C2235" t="s">
        <v>4377</v>
      </c>
      <c r="D2235" t="str">
        <f ca="1">IFERROR(__xludf.DUMMYFUNCTION("GOOGLETRANSLATE(B2235,""es"",""en"")"),"Clear water")</f>
        <v>Clear water</v>
      </c>
      <c r="E2235" t="str">
        <f ca="1">IFERROR(__xludf.DUMMYFUNCTION("GOOGLETRANSLATE(C2235,""es"",""en"")"),"Clear, , , ,")</f>
        <v>Clear, , , ,</v>
      </c>
    </row>
    <row r="2236" spans="1:5" ht="13.2" x14ac:dyDescent="0.25">
      <c r="A2236" t="s">
        <v>4378</v>
      </c>
      <c r="B2236" t="s">
        <v>4353</v>
      </c>
      <c r="D2236" t="str">
        <f ca="1">IFERROR(__xludf.DUMMYFUNCTION("GOOGLETRANSLATE(B2236,""es"",""en"")"),"Five")</f>
        <v>Five</v>
      </c>
      <c r="E2236" t="str">
        <f ca="1">IFERROR(__xludf.DUMMYFUNCTION("GOOGLETRANSLATE(C2236,""es"",""en"")"),"#VALUE!")</f>
        <v>#VALUE!</v>
      </c>
    </row>
    <row r="2237" spans="1:5" ht="13.2" x14ac:dyDescent="0.25">
      <c r="A2237" t="s">
        <v>4379</v>
      </c>
      <c r="B2237" t="s">
        <v>4380</v>
      </c>
      <c r="D2237" t="str">
        <f ca="1">IFERROR(__xludf.DUMMYFUNCTION("GOOGLETRANSLATE(B2237,""es"",""en"")"),"Titi monkey")</f>
        <v>Titi monkey</v>
      </c>
      <c r="E2237" t="str">
        <f ca="1">IFERROR(__xludf.DUMMYFUNCTION("GOOGLETRANSLATE(C2237,""es"",""en"")"),"#VALUE!")</f>
        <v>#VALUE!</v>
      </c>
    </row>
    <row r="2238" spans="1:5" ht="13.2" x14ac:dyDescent="0.25">
      <c r="A2238" t="s">
        <v>4381</v>
      </c>
      <c r="B2238" t="s">
        <v>4382</v>
      </c>
      <c r="D2238" t="str">
        <f ca="1">IFERROR(__xludf.DUMMYFUNCTION("GOOGLETRANSLATE(B2238,""es"",""en"")"),"Tití amount")</f>
        <v>Tití amount</v>
      </c>
      <c r="E2238" t="str">
        <f ca="1">IFERROR(__xludf.DUMMYFUNCTION("GOOGLETRANSLATE(C2238,""es"",""en"")"),"#VALUE!")</f>
        <v>#VALUE!</v>
      </c>
    </row>
    <row r="2239" spans="1:5" ht="13.2" x14ac:dyDescent="0.25">
      <c r="A2239" t="s">
        <v>4383</v>
      </c>
      <c r="B2239" t="s">
        <v>4384</v>
      </c>
      <c r="C2239" t="s">
        <v>4385</v>
      </c>
      <c r="D2239" t="str">
        <f ca="1">IFERROR(__xludf.DUMMYFUNCTION("GOOGLETRANSLATE(B2239,""es"",""en"")"),"Cormorant")</f>
        <v>Cormorant</v>
      </c>
      <c r="E2239" t="str">
        <f ca="1">IFERROR(__xludf.DUMMYFUNCTION("GOOGLETRANSLATE(C2239,""es"",""en"")"),"Marine crow ,,,,")</f>
        <v>Marine crow ,,,,</v>
      </c>
    </row>
    <row r="2240" spans="1:5" ht="13.2" x14ac:dyDescent="0.25">
      <c r="A2240" t="s">
        <v>4386</v>
      </c>
      <c r="B2240" t="s">
        <v>4384</v>
      </c>
      <c r="C2240" t="s">
        <v>4385</v>
      </c>
      <c r="D2240" t="str">
        <f ca="1">IFERROR(__xludf.DUMMYFUNCTION("GOOGLETRANSLATE(B2240,""es"",""en"")"),"Cormorant")</f>
        <v>Cormorant</v>
      </c>
      <c r="E2240" t="str">
        <f ca="1">IFERROR(__xludf.DUMMYFUNCTION("GOOGLETRANSLATE(C2240,""es"",""en"")"),"Marine crow ,,,,")</f>
        <v>Marine crow ,,,,</v>
      </c>
    </row>
    <row r="2241" spans="1:5" ht="13.2" x14ac:dyDescent="0.25">
      <c r="A2241" t="s">
        <v>4387</v>
      </c>
      <c r="B2241" t="s">
        <v>4388</v>
      </c>
      <c r="D2241" t="str">
        <f ca="1">IFERROR(__xludf.DUMMYFUNCTION("GOOGLETRANSLATE(B2241,""es"",""en"")"),"Umbrella")</f>
        <v>Umbrella</v>
      </c>
      <c r="E2241" t="str">
        <f ca="1">IFERROR(__xludf.DUMMYFUNCTION("GOOGLETRANSLATE(C2241,""es"",""en"")"),"#VALUE!")</f>
        <v>#VALUE!</v>
      </c>
    </row>
    <row r="2242" spans="1:5" ht="13.2" x14ac:dyDescent="0.25">
      <c r="A2242" t="s">
        <v>302</v>
      </c>
      <c r="B2242" t="s">
        <v>298</v>
      </c>
      <c r="D2242" t="str">
        <f ca="1">IFERROR(__xludf.DUMMYFUNCTION("GOOGLETRANSLATE(B2242,""es"",""en"")"),"Drown")</f>
        <v>Drown</v>
      </c>
      <c r="E2242" t="str">
        <f ca="1">IFERROR(__xludf.DUMMYFUNCTION("GOOGLETRANSLATE(C2242,""es"",""en"")"),"#VALUE!")</f>
        <v>#VALUE!</v>
      </c>
    </row>
    <row r="2243" spans="1:5" ht="13.2" x14ac:dyDescent="0.25">
      <c r="A2243" t="s">
        <v>297</v>
      </c>
      <c r="B2243" t="s">
        <v>298</v>
      </c>
      <c r="D2243" t="str">
        <f ca="1">IFERROR(__xludf.DUMMYFUNCTION("GOOGLETRANSLATE(B2243,""es"",""en"")"),"Drown")</f>
        <v>Drown</v>
      </c>
      <c r="E2243" t="str">
        <f ca="1">IFERROR(__xludf.DUMMYFUNCTION("GOOGLETRANSLATE(C2243,""es"",""en"")"),"#VALUE!")</f>
        <v>#VALUE!</v>
      </c>
    </row>
    <row r="2244" spans="1:5" ht="13.2" x14ac:dyDescent="0.25">
      <c r="A2244" t="s">
        <v>299</v>
      </c>
      <c r="B2244" t="s">
        <v>298</v>
      </c>
      <c r="D2244" t="str">
        <f ca="1">IFERROR(__xludf.DUMMYFUNCTION("GOOGLETRANSLATE(B2244,""es"",""en"")"),"Drown")</f>
        <v>Drown</v>
      </c>
      <c r="E2244" t="str">
        <f ca="1">IFERROR(__xludf.DUMMYFUNCTION("GOOGLETRANSLATE(C2244,""es"",""en"")"),"#VALUE!")</f>
        <v>#VALUE!</v>
      </c>
    </row>
    <row r="2245" spans="1:5" ht="13.2" x14ac:dyDescent="0.25">
      <c r="A2245" t="s">
        <v>4389</v>
      </c>
      <c r="B2245" t="s">
        <v>4390</v>
      </c>
      <c r="D2245" t="str">
        <f ca="1">IFERROR(__xludf.DUMMYFUNCTION("GOOGLETRANSLATE(B2245,""es"",""en"")"),"Aqueduct")</f>
        <v>Aqueduct</v>
      </c>
      <c r="E2245" t="str">
        <f ca="1">IFERROR(__xludf.DUMMYFUNCTION("GOOGLETRANSLATE(C2245,""es"",""en"")"),"#VALUE!")</f>
        <v>#VALUE!</v>
      </c>
    </row>
    <row r="2246" spans="1:5" ht="13.2" x14ac:dyDescent="0.25">
      <c r="A2246" t="s">
        <v>4391</v>
      </c>
      <c r="B2246" t="s">
        <v>4392</v>
      </c>
      <c r="D2246" t="str">
        <f ca="1">IFERROR(__xludf.DUMMYFUNCTION("GOOGLETRANSLATE(B2246,""es"",""en"")"),"Hot water")</f>
        <v>Hot water</v>
      </c>
      <c r="E2246" t="str">
        <f ca="1">IFERROR(__xludf.DUMMYFUNCTION("GOOGLETRANSLATE(C2246,""es"",""en"")"),"#VALUE!")</f>
        <v>#VALUE!</v>
      </c>
    </row>
    <row r="2247" spans="1:5" ht="13.2" x14ac:dyDescent="0.25">
      <c r="A2247" t="s">
        <v>4049</v>
      </c>
      <c r="B2247" t="s">
        <v>4046</v>
      </c>
      <c r="C2247" t="s">
        <v>4047</v>
      </c>
      <c r="D2247" t="str">
        <f ca="1">IFERROR(__xludf.DUMMYFUNCTION("GOOGLETRANSLATE(B2247,""es"",""en"")"),"Cry")</f>
        <v>Cry</v>
      </c>
      <c r="E2247" t="s">
        <v>4048</v>
      </c>
    </row>
    <row r="2248" spans="1:5" ht="13.2" x14ac:dyDescent="0.25">
      <c r="A2248" t="s">
        <v>4393</v>
      </c>
      <c r="B2248" t="s">
        <v>4394</v>
      </c>
      <c r="C2248" t="s">
        <v>4395</v>
      </c>
      <c r="D2248" t="str">
        <f ca="1">IFERROR(__xludf.DUMMYFUNCTION("GOOGLETRANSLATE(B2248,""es"",""en"")"),"Sow")</f>
        <v>Sow</v>
      </c>
      <c r="E2248" t="str">
        <f ca="1">IFERROR(__xludf.DUMMYFUNCTION("GOOGLETRANSLATE(C2248,""es"",""en"")"),"Cultivate, bury, bury,")</f>
        <v>Cultivate, bury, bury,</v>
      </c>
    </row>
    <row r="2249" spans="1:5" ht="13.2" x14ac:dyDescent="0.25">
      <c r="A2249" t="s">
        <v>4396</v>
      </c>
      <c r="B2249" t="s">
        <v>4397</v>
      </c>
      <c r="C2249" t="s">
        <v>4398</v>
      </c>
      <c r="D2249" t="str">
        <f ca="1">IFERROR(__xludf.DUMMYFUNCTION("GOOGLETRANSLATE(B2249,""es"",""en"")"),"Mouse")</f>
        <v>Mouse</v>
      </c>
      <c r="E2249" t="str">
        <f ca="1">IFERROR(__xludf.DUMMYFUNCTION("GOOGLETRANSLATE(C2249,""es"",""en"")"),"Ratilla ,,,,")</f>
        <v>Ratilla ,,,,</v>
      </c>
    </row>
    <row r="2250" spans="1:5" ht="13.2" x14ac:dyDescent="0.25">
      <c r="A2250" t="s">
        <v>4399</v>
      </c>
      <c r="B2250" t="s">
        <v>4400</v>
      </c>
      <c r="C2250" t="s">
        <v>4401</v>
      </c>
      <c r="D2250" t="str">
        <f ca="1">IFERROR(__xludf.DUMMYFUNCTION("GOOGLETRANSLATE(B2250,""es"",""en"")"),"Hip")</f>
        <v>Hip</v>
      </c>
      <c r="E2250" t="str">
        <f ca="1">IFERROR(__xludf.DUMMYFUNCTION("GOOGLETRANSLATE(C2250,""es"",""en"")"),"Beside, , , ,")</f>
        <v>Beside, , , ,</v>
      </c>
    </row>
    <row r="2251" spans="1:5" ht="13.2" x14ac:dyDescent="0.25">
      <c r="A2251" t="s">
        <v>4402</v>
      </c>
      <c r="B2251" t="s">
        <v>4400</v>
      </c>
      <c r="C2251" t="s">
        <v>4401</v>
      </c>
      <c r="D2251" t="str">
        <f ca="1">IFERROR(__xludf.DUMMYFUNCTION("GOOGLETRANSLATE(B2251,""es"",""en"")"),"Hip")</f>
        <v>Hip</v>
      </c>
      <c r="E2251" t="str">
        <f ca="1">IFERROR(__xludf.DUMMYFUNCTION("GOOGLETRANSLATE(C2251,""es"",""en"")"),"Beside, , , ,")</f>
        <v>Beside, , , ,</v>
      </c>
    </row>
    <row r="2252" spans="1:5" ht="13.2" x14ac:dyDescent="0.25">
      <c r="A2252" t="s">
        <v>4403</v>
      </c>
      <c r="B2252" t="s">
        <v>4404</v>
      </c>
      <c r="C2252" t="s">
        <v>4405</v>
      </c>
      <c r="D2252" t="str">
        <f ca="1">IFERROR(__xludf.DUMMYFUNCTION("GOOGLETRANSLATE(B2252,""es"",""en"")"),"Around")</f>
        <v>Around</v>
      </c>
      <c r="E2252" t="str">
        <f ca="1">IFERROR(__xludf.DUMMYFUNCTION("GOOGLETRANSLATE(C2252,""es"",""en"")"),"PERFORD ,,,,,")</f>
        <v>PERFORD ,,,,,</v>
      </c>
    </row>
    <row r="2253" spans="1:5" ht="13.2" x14ac:dyDescent="0.25">
      <c r="A2253" t="s">
        <v>4406</v>
      </c>
      <c r="B2253" t="s">
        <v>4404</v>
      </c>
      <c r="C2253" t="s">
        <v>4405</v>
      </c>
      <c r="D2253" t="str">
        <f ca="1">IFERROR(__xludf.DUMMYFUNCTION("GOOGLETRANSLATE(B2253,""es"",""en"")"),"Around")</f>
        <v>Around</v>
      </c>
      <c r="E2253" t="str">
        <f ca="1">IFERROR(__xludf.DUMMYFUNCTION("GOOGLETRANSLATE(C2253,""es"",""en"")"),"PERFORD ,,,,,")</f>
        <v>PERFORD ,,,,,</v>
      </c>
    </row>
    <row r="2254" spans="1:5" ht="13.2" x14ac:dyDescent="0.25">
      <c r="A2254" t="s">
        <v>4407</v>
      </c>
      <c r="B2254" t="s">
        <v>3791</v>
      </c>
      <c r="C2254" t="s">
        <v>4408</v>
      </c>
      <c r="D2254" t="str">
        <f ca="1">IFERROR(__xludf.DUMMYFUNCTION("GOOGLETRANSLATE(B2254,""es"",""en"")"),"Far")</f>
        <v>Far</v>
      </c>
      <c r="E2254" t="str">
        <f ca="1">IFERROR(__xludf.DUMMYFUNCTION("GOOGLETRANSLATE(C2254,""es"",""en"")"),"Far, there ,,,,")</f>
        <v>Far, there ,,,,</v>
      </c>
    </row>
    <row r="2255" spans="1:5" ht="13.2" x14ac:dyDescent="0.25">
      <c r="A2255" t="s">
        <v>4409</v>
      </c>
      <c r="B2255" t="s">
        <v>4410</v>
      </c>
      <c r="C2255" t="s">
        <v>4411</v>
      </c>
      <c r="D2255" t="str">
        <f ca="1">IFERROR(__xludf.DUMMYFUNCTION("GOOGLETRANSLATE(B2255,""es"",""en"")"),"Far Lejano")</f>
        <v>Far Lejano</v>
      </c>
      <c r="E2255" t="str">
        <f ca="1">IFERROR(__xludf.DUMMYFUNCTION("GOOGLETRANSLATE(C2255,""es"",""en"")"),"There, , , ,")</f>
        <v>There, , , ,</v>
      </c>
    </row>
    <row r="2256" spans="1:5" ht="13.2" x14ac:dyDescent="0.25">
      <c r="A2256" t="s">
        <v>4412</v>
      </c>
      <c r="B2256" t="s">
        <v>3791</v>
      </c>
      <c r="D2256" t="str">
        <f ca="1">IFERROR(__xludf.DUMMYFUNCTION("GOOGLETRANSLATE(B2256,""es"",""en"")"),"Far")</f>
        <v>Far</v>
      </c>
      <c r="E2256" t="str">
        <f ca="1">IFERROR(__xludf.DUMMYFUNCTION("GOOGLETRANSLATE(C2256,""es"",""en"")"),"#VALUE!")</f>
        <v>#VALUE!</v>
      </c>
    </row>
    <row r="2257" spans="1:5" ht="13.2" x14ac:dyDescent="0.25">
      <c r="A2257" t="s">
        <v>4413</v>
      </c>
      <c r="B2257" t="s">
        <v>4414</v>
      </c>
      <c r="C2257" t="s">
        <v>4415</v>
      </c>
      <c r="D2257" t="str">
        <f ca="1">IFERROR(__xludf.DUMMYFUNCTION("GOOGLETRANSLATE(B2257,""es"",""en"")"),"Silt")</f>
        <v>Silt</v>
      </c>
      <c r="E2257" t="str">
        <f ca="1">IFERROR(__xludf.DUMMYFUNCTION("GOOGLETRANSLATE(C2257,""es"",""en"")"),"Algae, , , ,")</f>
        <v>Algae, , , ,</v>
      </c>
    </row>
    <row r="2258" spans="1:5" ht="13.2" x14ac:dyDescent="0.25">
      <c r="A2258" t="s">
        <v>4045</v>
      </c>
      <c r="B2258" t="s">
        <v>4416</v>
      </c>
      <c r="C2258" t="s">
        <v>4047</v>
      </c>
      <c r="D2258" t="s">
        <v>4417</v>
      </c>
      <c r="E2258" t="str">
        <f ca="1">IFERROR(__xludf.DUMMYFUNCTION("GOOGLETRANSLATE(C2258,""es"",""en"")"),"Groan, sob ,,,,")</f>
        <v>Groan, sob ,,,,</v>
      </c>
    </row>
    <row r="2259" spans="1:5" ht="13.2" x14ac:dyDescent="0.25">
      <c r="A2259" t="s">
        <v>4418</v>
      </c>
      <c r="B2259" t="s">
        <v>4419</v>
      </c>
      <c r="C2259" t="s">
        <v>4420</v>
      </c>
      <c r="D2259" t="str">
        <f ca="1">IFERROR(__xludf.DUMMYFUNCTION("GOOGLETRANSLATE(B2259,""es"",""en"")"),"Bucket")</f>
        <v>Bucket</v>
      </c>
      <c r="E2259" t="str">
        <f ca="1">IFERROR(__xludf.DUMMYFUNCTION("GOOGLETRANSLATE(C2259,""es"",""en"")"),"Large ,,,,")</f>
        <v>Large ,,,,</v>
      </c>
    </row>
    <row r="2260" spans="1:5" ht="13.2" x14ac:dyDescent="0.25">
      <c r="A2260" t="s">
        <v>4421</v>
      </c>
      <c r="B2260" t="s">
        <v>4370</v>
      </c>
      <c r="D2260" t="str">
        <f ca="1">IFERROR(__xludf.DUMMYFUNCTION("GOOGLETRANSLATE(B2260,""es"",""en"")"),"Pumpkin for water")</f>
        <v>Pumpkin for water</v>
      </c>
      <c r="E2260" t="str">
        <f ca="1">IFERROR(__xludf.DUMMYFUNCTION("GOOGLETRANSLATE(C2260,""es"",""en"")"),"#VALUE!")</f>
        <v>#VALUE!</v>
      </c>
    </row>
    <row r="2261" spans="1:5" ht="13.2" x14ac:dyDescent="0.25">
      <c r="A2261" t="s">
        <v>4369</v>
      </c>
      <c r="B2261" t="s">
        <v>4370</v>
      </c>
      <c r="D2261" t="str">
        <f ca="1">IFERROR(__xludf.DUMMYFUNCTION("GOOGLETRANSLATE(B2261,""es"",""en"")"),"Pumpkin for water")</f>
        <v>Pumpkin for water</v>
      </c>
      <c r="E2261" t="str">
        <f ca="1">IFERROR(__xludf.DUMMYFUNCTION("GOOGLETRANSLATE(C2261,""es"",""en"")"),"#VALUE!")</f>
        <v>#VALUE!</v>
      </c>
    </row>
    <row r="2262" spans="1:5" ht="13.2" x14ac:dyDescent="0.25">
      <c r="A2262" t="s">
        <v>4422</v>
      </c>
      <c r="B2262" t="s">
        <v>4423</v>
      </c>
      <c r="D2262" t="str">
        <f ca="1">IFERROR(__xludf.DUMMYFUNCTION("GOOGLETRANSLATE(B2262,""es"",""en"")"),"Torrential rain")</f>
        <v>Torrential rain</v>
      </c>
      <c r="E2262" t="str">
        <f ca="1">IFERROR(__xludf.DUMMYFUNCTION("GOOGLETRANSLATE(C2262,""es"",""en"")"),"#VALUE!")</f>
        <v>#VALUE!</v>
      </c>
    </row>
    <row r="2263" spans="1:5" ht="13.2" x14ac:dyDescent="0.25">
      <c r="A2263" t="s">
        <v>3663</v>
      </c>
      <c r="B2263" t="s">
        <v>2843</v>
      </c>
      <c r="D2263" t="s">
        <v>4424</v>
      </c>
      <c r="E2263" t="str">
        <f ca="1">IFERROR(__xludf.DUMMYFUNCTION("GOOGLETRANSLATE(C2263,""es"",""en"")"),"#VALUE!")</f>
        <v>#VALUE!</v>
      </c>
    </row>
    <row r="2264" spans="1:5" ht="13.2" x14ac:dyDescent="0.25">
      <c r="A2264" t="s">
        <v>2842</v>
      </c>
      <c r="B2264" t="s">
        <v>2843</v>
      </c>
      <c r="D2264" t="s">
        <v>4424</v>
      </c>
      <c r="E2264" t="str">
        <f ca="1">IFERROR(__xludf.DUMMYFUNCTION("GOOGLETRANSLATE(C2264,""es"",""en"")"),"#VALUE!")</f>
        <v>#VALUE!</v>
      </c>
    </row>
    <row r="2265" spans="1:5" ht="13.2" x14ac:dyDescent="0.25">
      <c r="A2265" t="s">
        <v>1645</v>
      </c>
      <c r="B2265" t="s">
        <v>1643</v>
      </c>
      <c r="C2265" t="s">
        <v>1644</v>
      </c>
      <c r="D2265" t="str">
        <f ca="1">IFERROR(__xludf.DUMMYFUNCTION("GOOGLETRANSLATE(B2265,""es"",""en"")"),"Rain")</f>
        <v>Rain</v>
      </c>
      <c r="E2265" t="str">
        <f ca="1">IFERROR(__xludf.DUMMYFUNCTION("GOOGLETRANSLATE(C2265,""es"",""en"")"),"Aguacero, Phaprón, Llover ,,,")</f>
        <v>Aguacero, Phaprón, Llover ,,,</v>
      </c>
    </row>
    <row r="2266" spans="1:5" ht="13.2" x14ac:dyDescent="0.25">
      <c r="A2266" t="s">
        <v>1642</v>
      </c>
      <c r="B2266" t="s">
        <v>4425</v>
      </c>
      <c r="C2266" t="s">
        <v>4426</v>
      </c>
      <c r="D2266" t="str">
        <f ca="1">IFERROR(__xludf.DUMMYFUNCTION("GOOGLETRANSLATE(B2266,""es"",""en"")"),"Luvia")</f>
        <v>Luvia</v>
      </c>
      <c r="E2266" t="str">
        <f ca="1">IFERROR(__xludf.DUMMYFUNCTION("GOOGLETRANSLATE(C2266,""es"",""en"")"),"Downpour, , , ,")</f>
        <v>Downpour, , , ,</v>
      </c>
    </row>
    <row r="2267" spans="1:5" ht="13.2" x14ac:dyDescent="0.25">
      <c r="A2267" t="s">
        <v>4427</v>
      </c>
      <c r="B2267" t="s">
        <v>4428</v>
      </c>
      <c r="C2267" t="s">
        <v>4429</v>
      </c>
      <c r="D2267" t="str">
        <f ca="1">IFERROR(__xludf.DUMMYFUNCTION("GOOGLETRANSLATE(B2267,""es"",""en"")"),"Palo Santo")</f>
        <v>Palo Santo</v>
      </c>
      <c r="E2267" t="str">
        <f ca="1">IFERROR(__xludf.DUMMYFUNCTION("GOOGLETRANSLATE(C2267,""es"",""en"")"),"Guayabo ,,,,")</f>
        <v>Guayabo ,,,,</v>
      </c>
    </row>
    <row r="2268" spans="1:5" ht="13.2" x14ac:dyDescent="0.25">
      <c r="A2268" t="s">
        <v>4430</v>
      </c>
      <c r="B2268" t="s">
        <v>4431</v>
      </c>
      <c r="D2268" t="str">
        <f ca="1">IFERROR(__xludf.DUMMYFUNCTION("GOOGLETRANSLATE(B2268,""es"",""en"")"),"March")</f>
        <v>March</v>
      </c>
      <c r="E2268" t="str">
        <f ca="1">IFERROR(__xludf.DUMMYFUNCTION("GOOGLETRANSLATE(C2268,""es"",""en"")"),"#VALUE!")</f>
        <v>#VALUE!</v>
      </c>
    </row>
    <row r="2269" spans="1:5" ht="13.2" x14ac:dyDescent="0.25">
      <c r="A2269" t="s">
        <v>4432</v>
      </c>
      <c r="B2269" t="s">
        <v>4433</v>
      </c>
      <c r="C2269" t="s">
        <v>4434</v>
      </c>
      <c r="D2269" t="str">
        <f ca="1">IFERROR(__xludf.DUMMYFUNCTION("GOOGLETRANSLATE(B2269,""es"",""en"")"),"Put together")</f>
        <v>Put together</v>
      </c>
      <c r="E2269" t="str">
        <f ca="1">IFERROR(__xludf.DUMMYFUNCTION("GOOGLETRANSLATE(C2269,""es"",""en"")"),"Bind, , , ,")</f>
        <v>Bind, , , ,</v>
      </c>
    </row>
    <row r="2270" spans="1:5" ht="13.2" x14ac:dyDescent="0.25">
      <c r="A2270" t="s">
        <v>1679</v>
      </c>
      <c r="B2270" t="s">
        <v>4435</v>
      </c>
      <c r="C2270" t="s">
        <v>4436</v>
      </c>
      <c r="D2270" t="str">
        <f ca="1">IFERROR(__xludf.DUMMYFUNCTION("GOOGLETRANSLATE(B2270,""es"",""en"")"),"Pond")</f>
        <v>Pond</v>
      </c>
      <c r="E2270" t="str">
        <f ca="1">IFERROR(__xludf.DUMMYFUNCTION("GOOGLETRANSLATE(C2270,""es"",""en"")"),"Mud, pond ,,,")</f>
        <v>Mud, pond ,,,</v>
      </c>
    </row>
    <row r="2271" spans="1:5" ht="13.2" x14ac:dyDescent="0.25">
      <c r="A2271" t="s">
        <v>1677</v>
      </c>
      <c r="B2271" t="s">
        <v>4435</v>
      </c>
      <c r="C2271" t="s">
        <v>4436</v>
      </c>
      <c r="D2271" t="str">
        <f ca="1">IFERROR(__xludf.DUMMYFUNCTION("GOOGLETRANSLATE(B2271,""es"",""en"")"),"Pond")</f>
        <v>Pond</v>
      </c>
      <c r="E2271" t="str">
        <f ca="1">IFERROR(__xludf.DUMMYFUNCTION("GOOGLETRANSLATE(C2271,""es"",""en"")"),"Mud, pond ,,,")</f>
        <v>Mud, pond ,,,</v>
      </c>
    </row>
    <row r="2272" spans="1:5" ht="13.2" x14ac:dyDescent="0.25">
      <c r="A2272" t="s">
        <v>4437</v>
      </c>
      <c r="B2272" t="s">
        <v>4438</v>
      </c>
      <c r="C2272" t="s">
        <v>4439</v>
      </c>
      <c r="D2272" t="str">
        <f ca="1">IFERROR(__xludf.DUMMYFUNCTION("GOOGLETRANSLATE(B2272,""es"",""en"")"),"Lake")</f>
        <v>Lake</v>
      </c>
      <c r="E2272" t="str">
        <f ca="1">IFERROR(__xludf.DUMMYFUNCTION("GOOGLETRANSLATE(C2272,""es"",""en"")"),"Pantano, mudagal ,,,,")</f>
        <v>Pantano, mudagal ,,,,</v>
      </c>
    </row>
    <row r="2273" spans="1:5" ht="13.2" x14ac:dyDescent="0.25">
      <c r="A2273" t="s">
        <v>4440</v>
      </c>
      <c r="B2273" t="s">
        <v>4441</v>
      </c>
      <c r="D2273" t="str">
        <f ca="1">IFERROR(__xludf.DUMMYFUNCTION("GOOGLETRANSLATE(B2273,""es"",""en"")"),"Oyster")</f>
        <v>Oyster</v>
      </c>
      <c r="E2273" t="str">
        <f ca="1">IFERROR(__xludf.DUMMYFUNCTION("GOOGLETRANSLATE(C2273,""es"",""en"")"),"#VALUE!")</f>
        <v>#VALUE!</v>
      </c>
    </row>
    <row r="2274" spans="1:5" ht="13.2" x14ac:dyDescent="0.25">
      <c r="A2274" t="s">
        <v>4442</v>
      </c>
      <c r="B2274" t="s">
        <v>4443</v>
      </c>
      <c r="C2274" t="s">
        <v>4444</v>
      </c>
      <c r="D2274" t="str">
        <f ca="1">IFERROR(__xludf.DUMMYFUNCTION("GOOGLETRANSLATE(B2274,""es"",""en"")"),"sea ​​cow")</f>
        <v>sea ​​cow</v>
      </c>
      <c r="E2274" t="str">
        <f ca="1">IFERROR(__xludf.DUMMYFUNCTION("GOOGLETRANSLATE(C2274,""es"",""en"")"),"Seal, , , ,")</f>
        <v>Seal, , , ,</v>
      </c>
    </row>
    <row r="2275" spans="1:5" ht="13.2" x14ac:dyDescent="0.25">
      <c r="A2275" t="s">
        <v>4445</v>
      </c>
      <c r="B2275" t="s">
        <v>4446</v>
      </c>
      <c r="D2275" t="str">
        <f ca="1">IFERROR(__xludf.DUMMYFUNCTION("GOOGLETRANSLATE(B2275,""es"",""en"")"),"Sea snake")</f>
        <v>Sea snake</v>
      </c>
      <c r="E2275" t="str">
        <f ca="1">IFERROR(__xludf.DUMMYFUNCTION("GOOGLETRANSLATE(C2275,""es"",""en"")"),"#VALUE!")</f>
        <v>#VALUE!</v>
      </c>
    </row>
    <row r="2276" spans="1:5" ht="13.2" x14ac:dyDescent="0.25">
      <c r="A2276" t="s">
        <v>4447</v>
      </c>
      <c r="B2276" t="s">
        <v>4448</v>
      </c>
      <c r="C2276" t="s">
        <v>4449</v>
      </c>
      <c r="D2276" t="str">
        <f ca="1">IFERROR(__xludf.DUMMYFUNCTION("GOOGLETRANSLATE(B2276,""es"",""en"")"),"Banana juice food")</f>
        <v>Banana juice food</v>
      </c>
      <c r="E2276" t="str">
        <f ca="1">IFERROR(__xludf.DUMMYFUNCTION("GOOGLETRANSLATE(C2276,""es"",""en"")"),"Cocoa, breakfast ,,,,")</f>
        <v>Cocoa, breakfast ,,,,</v>
      </c>
    </row>
    <row r="2277" spans="1:5" ht="13.2" x14ac:dyDescent="0.25">
      <c r="A2277" t="s">
        <v>4450</v>
      </c>
      <c r="B2277" t="s">
        <v>4451</v>
      </c>
      <c r="C2277" t="s">
        <v>4368</v>
      </c>
      <c r="D2277" t="str">
        <f ca="1">IFERROR(__xludf.DUMMYFUNCTION("GOOGLETRANSLATE(B2277,""es"",""en"")"),"Dry")</f>
        <v>Dry</v>
      </c>
      <c r="E2277" t="str">
        <f ca="1">IFERROR(__xludf.DUMMYFUNCTION("GOOGLETRANSLATE(C2277,""es"",""en"")"),"Vain ,,,,")</f>
        <v>Vain ,,,,</v>
      </c>
    </row>
    <row r="2278" spans="1:5" ht="13.2" x14ac:dyDescent="0.25">
      <c r="A2278" t="s">
        <v>4452</v>
      </c>
      <c r="B2278" t="s">
        <v>4451</v>
      </c>
      <c r="C2278" t="s">
        <v>4368</v>
      </c>
      <c r="D2278" t="str">
        <f ca="1">IFERROR(__xludf.DUMMYFUNCTION("GOOGLETRANSLATE(B2278,""es"",""en"")"),"Dry")</f>
        <v>Dry</v>
      </c>
      <c r="E2278" t="str">
        <f ca="1">IFERROR(__xludf.DUMMYFUNCTION("GOOGLETRANSLATE(C2278,""es"",""en"")"),"Vain ,,,,")</f>
        <v>Vain ,,,,</v>
      </c>
    </row>
    <row r="2279" spans="1:5" ht="13.2" x14ac:dyDescent="0.25">
      <c r="A2279" t="s">
        <v>4453</v>
      </c>
      <c r="B2279" t="s">
        <v>4454</v>
      </c>
      <c r="D2279" t="str">
        <f ca="1">IFERROR(__xludf.DUMMYFUNCTION("GOOGLETRANSLATE(B2279,""es"",""en"")"),"Link with art")</f>
        <v>Link with art</v>
      </c>
      <c r="E2279" t="str">
        <f ca="1">IFERROR(__xludf.DUMMYFUNCTION("GOOGLETRANSLATE(C2279,""es"",""en"")"),"#VALUE!")</f>
        <v>#VALUE!</v>
      </c>
    </row>
    <row r="2280" spans="1:5" ht="13.2" x14ac:dyDescent="0.25">
      <c r="A2280" t="s">
        <v>4455</v>
      </c>
      <c r="B2280" t="s">
        <v>4456</v>
      </c>
      <c r="C2280" t="s">
        <v>4457</v>
      </c>
      <c r="D2280" t="str">
        <f ca="1">IFERROR(__xludf.DUMMYFUNCTION("GOOGLETRANSLATE(B2280,""es"",""en"")"),"Take up")</f>
        <v>Take up</v>
      </c>
      <c r="E2280" t="str">
        <f ca="1">IFERROR(__xludf.DUMMYFUNCTION("GOOGLETRANSLATE(C2280,""es"",""en"")"),"Cover, sheet, blanket ,,")</f>
        <v>Cover, sheet, blanket ,,</v>
      </c>
    </row>
    <row r="2281" spans="1:5" ht="13.2" x14ac:dyDescent="0.25">
      <c r="A2281" t="s">
        <v>4458</v>
      </c>
      <c r="B2281" t="s">
        <v>4459</v>
      </c>
      <c r="C2281" t="s">
        <v>4460</v>
      </c>
      <c r="D2281" t="str">
        <f ca="1">IFERROR(__xludf.DUMMYFUNCTION("GOOGLETRANSLATE(B2281,""es"",""en"")"),"Cool")</f>
        <v>Cool</v>
      </c>
      <c r="E2281" t="str">
        <f ca="1">IFERROR(__xludf.DUMMYFUNCTION("GOOGLETRANSLATE(C2281,""es"",""en"")"),"Cold, , , ,")</f>
        <v>Cold, , , ,</v>
      </c>
    </row>
    <row r="2282" spans="1:5" ht="13.2" x14ac:dyDescent="0.25">
      <c r="A2282" t="s">
        <v>4461</v>
      </c>
      <c r="B2282" t="s">
        <v>4459</v>
      </c>
      <c r="C2282" t="s">
        <v>4460</v>
      </c>
      <c r="D2282" t="str">
        <f ca="1">IFERROR(__xludf.DUMMYFUNCTION("GOOGLETRANSLATE(B2282,""es"",""en"")"),"Cool")</f>
        <v>Cool</v>
      </c>
      <c r="E2282" t="str">
        <f ca="1">IFERROR(__xludf.DUMMYFUNCTION("GOOGLETRANSLATE(C2282,""es"",""en"")"),"Cold, , , ,")</f>
        <v>Cold, , , ,</v>
      </c>
    </row>
    <row r="2283" spans="1:5" ht="13.2" x14ac:dyDescent="0.25">
      <c r="A2283" t="s">
        <v>3016</v>
      </c>
      <c r="B2283" t="s">
        <v>4462</v>
      </c>
      <c r="D2283" t="str">
        <f ca="1">IFERROR(__xludf.DUMMYFUNCTION("GOOGLETRANSLATE(B2283,""es"",""en"")"),"Hot")</f>
        <v>Hot</v>
      </c>
      <c r="E2283" t="str">
        <f ca="1">IFERROR(__xludf.DUMMYFUNCTION("GOOGLETRANSLATE(C2283,""es"",""en"")"),"#VALUE!")</f>
        <v>#VALUE!</v>
      </c>
    </row>
    <row r="2284" spans="1:5" ht="13.2" x14ac:dyDescent="0.25">
      <c r="A2284" t="s">
        <v>3017</v>
      </c>
      <c r="B2284" t="s">
        <v>4462</v>
      </c>
      <c r="D2284" t="str">
        <f ca="1">IFERROR(__xludf.DUMMYFUNCTION("GOOGLETRANSLATE(B2284,""es"",""en"")"),"Hot")</f>
        <v>Hot</v>
      </c>
      <c r="E2284" t="str">
        <f ca="1">IFERROR(__xludf.DUMMYFUNCTION("GOOGLETRANSLATE(C2284,""es"",""en"")"),"#VALUE!")</f>
        <v>#VALUE!</v>
      </c>
    </row>
    <row r="2285" spans="1:5" ht="13.2" x14ac:dyDescent="0.25">
      <c r="A2285" t="s">
        <v>3013</v>
      </c>
      <c r="B2285" t="s">
        <v>4462</v>
      </c>
      <c r="D2285" t="str">
        <f ca="1">IFERROR(__xludf.DUMMYFUNCTION("GOOGLETRANSLATE(B2285,""es"",""en"")"),"Hot")</f>
        <v>Hot</v>
      </c>
      <c r="E2285" t="str">
        <f ca="1">IFERROR(__xludf.DUMMYFUNCTION("GOOGLETRANSLATE(C2285,""es"",""en"")"),"#VALUE!")</f>
        <v>#VALUE!</v>
      </c>
    </row>
    <row r="2286" spans="1:5" ht="13.2" x14ac:dyDescent="0.25">
      <c r="A2286" t="s">
        <v>4463</v>
      </c>
      <c r="B2286" t="s">
        <v>4464</v>
      </c>
      <c r="C2286" t="s">
        <v>4465</v>
      </c>
      <c r="D2286" t="str">
        <f ca="1">IFERROR(__xludf.DUMMYFUNCTION("GOOGLETRANSLATE(B2286,""es"",""en"")"),"Scorpion")</f>
        <v>Scorpion</v>
      </c>
      <c r="E2286" t="str">
        <f ca="1">IFERROR(__xludf.DUMMYFUNCTION("GOOGLETRANSLATE(C2286,""es"",""en"")"),"Scorpion ,,,,")</f>
        <v>Scorpion ,,,,</v>
      </c>
    </row>
    <row r="2287" spans="1:5" ht="13.2" x14ac:dyDescent="0.25">
      <c r="A2287" t="s">
        <v>2200</v>
      </c>
      <c r="B2287" t="s">
        <v>4466</v>
      </c>
      <c r="C2287" t="s">
        <v>2202</v>
      </c>
      <c r="D2287" t="str">
        <f ca="1">IFERROR(__xludf.DUMMYFUNCTION("GOOGLETRANSLATE(B2287,""es"",""en"")"),"Circle")</f>
        <v>Circle</v>
      </c>
      <c r="E2287" t="str">
        <f ca="1">IFERROR(__xludf.DUMMYFUNCTION("GOOGLETRANSLATE(C2287,""es"",""en"")"),"Round, circular ,,,,")</f>
        <v>Round, circular ,,,,</v>
      </c>
    </row>
    <row r="2288" spans="1:5" ht="13.2" x14ac:dyDescent="0.25">
      <c r="A2288" t="s">
        <v>2201</v>
      </c>
      <c r="B2288" t="s">
        <v>2196</v>
      </c>
      <c r="C2288" t="s">
        <v>2202</v>
      </c>
      <c r="D2288" t="str">
        <f ca="1">IFERROR(__xludf.DUMMYFUNCTION("GOOGLETRANSLATE(B2288,""es"",""en"")"),"Circle")</f>
        <v>Circle</v>
      </c>
      <c r="E2288" t="str">
        <f ca="1">IFERROR(__xludf.DUMMYFUNCTION("GOOGLETRANSLATE(C2288,""es"",""en"")"),"Round, circular ,,,,")</f>
        <v>Round, circular ,,,,</v>
      </c>
    </row>
    <row r="2289" spans="1:5" ht="13.2" x14ac:dyDescent="0.25">
      <c r="A2289" t="s">
        <v>4467</v>
      </c>
      <c r="B2289" t="s">
        <v>2284</v>
      </c>
      <c r="D2289" t="str">
        <f ca="1">IFERROR(__xludf.DUMMYFUNCTION("GOOGLETRANSLATE(B2289,""es"",""en"")"),"Circular")</f>
        <v>Circular</v>
      </c>
      <c r="E2289" t="str">
        <f ca="1">IFERROR(__xludf.DUMMYFUNCTION("GOOGLETRANSLATE(C2289,""es"",""en"")"),"#VALUE!")</f>
        <v>#VALUE!</v>
      </c>
    </row>
    <row r="2290" spans="1:5" ht="13.2" x14ac:dyDescent="0.25">
      <c r="A2290" t="s">
        <v>2198</v>
      </c>
      <c r="B2290" t="s">
        <v>2196</v>
      </c>
      <c r="C2290" t="s">
        <v>2202</v>
      </c>
      <c r="D2290" t="str">
        <f ca="1">IFERROR(__xludf.DUMMYFUNCTION("GOOGLETRANSLATE(B2290,""es"",""en"")"),"Circle")</f>
        <v>Circle</v>
      </c>
      <c r="E2290" t="str">
        <f ca="1">IFERROR(__xludf.DUMMYFUNCTION("GOOGLETRANSLATE(C2290,""es"",""en"")"),"Round, circular ,,,,")</f>
        <v>Round, circular ,,,,</v>
      </c>
    </row>
    <row r="2291" spans="1:5" ht="13.2" x14ac:dyDescent="0.25">
      <c r="A2291" t="s">
        <v>4468</v>
      </c>
      <c r="B2291" t="s">
        <v>4469</v>
      </c>
      <c r="C2291" t="s">
        <v>4470</v>
      </c>
      <c r="D2291" t="str">
        <f ca="1">IFERROR(__xludf.DUMMYFUNCTION("GOOGLETRANSLATE(B2291,""es"",""en"")"),"steal")</f>
        <v>steal</v>
      </c>
      <c r="E2291" t="str">
        <f ca="1">IFERROR(__xludf.DUMMYFUNCTION("GOOGLETRANSLATE(C2291,""es"",""en"")"),"Strip, assault, thief, bandit,")</f>
        <v>Strip, assault, thief, bandit,</v>
      </c>
    </row>
    <row r="2292" spans="1:5" ht="13.2" x14ac:dyDescent="0.25">
      <c r="A2292" t="s">
        <v>4471</v>
      </c>
      <c r="B2292" t="s">
        <v>4472</v>
      </c>
      <c r="C2292" t="s">
        <v>4473</v>
      </c>
      <c r="D2292" t="str">
        <f ca="1">IFERROR(__xludf.DUMMYFUNCTION("GOOGLETRANSLATE(B2292,""es"",""en"")"),"Liquid")</f>
        <v>Liquid</v>
      </c>
      <c r="E2292" t="str">
        <f ca="1">IFERROR(__xludf.DUMMYFUNCTION("GOOGLETRANSLATE(C2292,""es"",""en"")"),"Transparent, of course ,,,,")</f>
        <v>Transparent, of course ,,,,</v>
      </c>
    </row>
    <row r="2293" spans="1:5" ht="13.2" x14ac:dyDescent="0.25">
      <c r="A2293" t="s">
        <v>2368</v>
      </c>
      <c r="B2293" t="s">
        <v>2366</v>
      </c>
      <c r="D2293" t="str">
        <f ca="1">IFERROR(__xludf.DUMMYFUNCTION("GOOGLETRANSLATE(B2293,""es"",""en"")"),"Diarrhea")</f>
        <v>Diarrhea</v>
      </c>
      <c r="E2293" t="str">
        <f ca="1">IFERROR(__xludf.DUMMYFUNCTION("GOOGLETRANSLATE(C2293,""es"",""en"")"),"#VALUE!")</f>
        <v>#VALUE!</v>
      </c>
    </row>
    <row r="2294" spans="1:5" ht="13.2" x14ac:dyDescent="0.25">
      <c r="A2294" t="s">
        <v>2369</v>
      </c>
      <c r="B2294" t="s">
        <v>2366</v>
      </c>
      <c r="D2294" t="str">
        <f ca="1">IFERROR(__xludf.DUMMYFUNCTION("GOOGLETRANSLATE(B2294,""es"",""en"")"),"Diarrhea")</f>
        <v>Diarrhea</v>
      </c>
      <c r="E2294" t="str">
        <f ca="1">IFERROR(__xludf.DUMMYFUNCTION("GOOGLETRANSLATE(C2294,""es"",""en"")"),"#VALUE!")</f>
        <v>#VALUE!</v>
      </c>
    </row>
    <row r="2295" spans="1:5" ht="13.2" x14ac:dyDescent="0.25">
      <c r="A2295" t="s">
        <v>2365</v>
      </c>
      <c r="B2295" t="s">
        <v>4474</v>
      </c>
      <c r="D2295" t="str">
        <f ca="1">IFERROR(__xludf.DUMMYFUNCTION("GOOGLETRANSLATE(B2295,""es"",""en"")"),"diarrhea")</f>
        <v>diarrhea</v>
      </c>
      <c r="E2295" t="str">
        <f ca="1">IFERROR(__xludf.DUMMYFUNCTION("GOOGLETRANSLATE(C2295,""es"",""en"")"),"#VALUE!")</f>
        <v>#VALUE!</v>
      </c>
    </row>
    <row r="2296" spans="1:5" ht="13.2" x14ac:dyDescent="0.25">
      <c r="A2296" t="s">
        <v>4475</v>
      </c>
      <c r="B2296" t="s">
        <v>4476</v>
      </c>
      <c r="D2296" t="str">
        <f ca="1">IFERROR(__xludf.DUMMYFUNCTION("GOOGLETRANSLATE(B2296,""es"",""en"")"),"Scissors")</f>
        <v>Scissors</v>
      </c>
      <c r="E2296" t="str">
        <f ca="1">IFERROR(__xludf.DUMMYFUNCTION("GOOGLETRANSLATE(C2296,""es"",""en"")"),"#VALUE!")</f>
        <v>#VALUE!</v>
      </c>
    </row>
    <row r="2297" spans="1:5" ht="13.2" x14ac:dyDescent="0.25">
      <c r="A2297" t="s">
        <v>2455</v>
      </c>
      <c r="B2297" t="s">
        <v>2453</v>
      </c>
      <c r="C2297" t="s">
        <v>2454</v>
      </c>
      <c r="D2297" t="str">
        <f ca="1">IFERROR(__xludf.DUMMYFUNCTION("GOOGLETRANSLATE(B2297,""es"",""en"")"),"Defecate")</f>
        <v>Defecate</v>
      </c>
      <c r="E2297" t="str">
        <f ca="1">IFERROR(__xludf.DUMMYFUNCTION("GOOGLETRANSLATE(C2297,""es"",""en"")"),"Excrete, depose ,,,")</f>
        <v>Excrete, depose ,,,</v>
      </c>
    </row>
    <row r="2298" spans="1:5" ht="13.2" x14ac:dyDescent="0.25">
      <c r="A2298" t="s">
        <v>11</v>
      </c>
      <c r="B2298" t="s">
        <v>2453</v>
      </c>
      <c r="C2298" t="s">
        <v>4477</v>
      </c>
      <c r="D2298" t="str">
        <f ca="1">IFERROR(__xludf.DUMMYFUNCTION("GOOGLETRANSLATE(B2298,""es"",""en"")"),"Defecate")</f>
        <v>Defecate</v>
      </c>
      <c r="E2298" t="str">
        <f ca="1">IFERROR(__xludf.DUMMYFUNCTION("GOOGLETRANSLATE(C2298,""es"",""en"")"),"Excrete ,,,,")</f>
        <v>Excrete ,,,,</v>
      </c>
    </row>
    <row r="2299" spans="1:5" ht="13.2" x14ac:dyDescent="0.25">
      <c r="A2299" t="s">
        <v>2452</v>
      </c>
      <c r="B2299" t="s">
        <v>2453</v>
      </c>
      <c r="D2299" t="str">
        <f ca="1">IFERROR(__xludf.DUMMYFUNCTION("GOOGLETRANSLATE(B2299,""es"",""en"")"),"Defecate")</f>
        <v>Defecate</v>
      </c>
      <c r="E2299" t="str">
        <f ca="1">IFERROR(__xludf.DUMMYFUNCTION("GOOGLETRANSLATE(C2299,""es"",""en"")"),"#VALUE!")</f>
        <v>#VALUE!</v>
      </c>
    </row>
    <row r="2300" spans="1:5" ht="13.2" x14ac:dyDescent="0.25">
      <c r="A2300" t="s">
        <v>4478</v>
      </c>
      <c r="B2300" t="s">
        <v>4479</v>
      </c>
      <c r="D2300" t="str">
        <f ca="1">IFERROR(__xludf.DUMMYFUNCTION("GOOGLETRANSLATE(B2300,""es"",""en"")"),"River")</f>
        <v>River</v>
      </c>
      <c r="E2300" t="str">
        <f ca="1">IFERROR(__xludf.DUMMYFUNCTION("GOOGLETRANSLATE(C2300,""es"",""en"")"),"#VALUE!")</f>
        <v>#VALUE!</v>
      </c>
    </row>
    <row r="2301" spans="1:5" ht="13.2" x14ac:dyDescent="0.25">
      <c r="A2301" t="s">
        <v>4480</v>
      </c>
      <c r="B2301" t="s">
        <v>4481</v>
      </c>
      <c r="C2301" t="s">
        <v>4482</v>
      </c>
      <c r="D2301" t="str">
        <f ca="1">IFERROR(__xludf.DUMMYFUNCTION("GOOGLETRANSLATE(B2301,""es"",""en"")"),"River")</f>
        <v>River</v>
      </c>
      <c r="E2301" t="str">
        <f ca="1">IFERROR(__xludf.DUMMYFUNCTION("GOOGLETRANSLATE(C2301,""es"",""en"")"),"Current, , , ,")</f>
        <v>Current, , , ,</v>
      </c>
    </row>
    <row r="2302" spans="1:5" ht="13.2" x14ac:dyDescent="0.25">
      <c r="A2302" t="s">
        <v>3371</v>
      </c>
      <c r="B2302" t="s">
        <v>3345</v>
      </c>
      <c r="D2302" t="str">
        <f ca="1">IFERROR(__xludf.DUMMYFUNCTION("GOOGLETRANSLATE(B2302,""es"",""en"")"),"Variety of bees")</f>
        <v>Variety of bees</v>
      </c>
      <c r="E2302" t="str">
        <f ca="1">IFERROR(__xludf.DUMMYFUNCTION("GOOGLETRANSLATE(C2302,""es"",""en"")"),"#VALUE!")</f>
        <v>#VALUE!</v>
      </c>
    </row>
    <row r="2303" spans="1:5" ht="13.2" x14ac:dyDescent="0.25">
      <c r="A2303" t="s">
        <v>4483</v>
      </c>
      <c r="B2303" t="s">
        <v>4484</v>
      </c>
      <c r="D2303" t="str">
        <f ca="1">IFERROR(__xludf.DUMMYFUNCTION("GOOGLETRANSLATE(B2303,""es"",""en"")"),"Who")</f>
        <v>Who</v>
      </c>
      <c r="E2303" t="str">
        <f ca="1">IFERROR(__xludf.DUMMYFUNCTION("GOOGLETRANSLATE(C2303,""es"",""en"")"),"#VALUE!")</f>
        <v>#VALUE!</v>
      </c>
    </row>
    <row r="2304" spans="1:5" ht="13.2" x14ac:dyDescent="0.25">
      <c r="A2304" t="s">
        <v>4485</v>
      </c>
      <c r="B2304" t="s">
        <v>4486</v>
      </c>
      <c r="D2304" t="str">
        <f ca="1">IFERROR(__xludf.DUMMYFUNCTION("GOOGLETRANSLATE(B2304,""es"",""en"")"),"Fear")</f>
        <v>Fear</v>
      </c>
      <c r="E2304" t="str">
        <f ca="1">IFERROR(__xludf.DUMMYFUNCTION("GOOGLETRANSLATE(C2304,""es"",""en"")"),"#VALUE!")</f>
        <v>#VALUE!</v>
      </c>
    </row>
    <row r="2305" spans="1:5" ht="13.2" x14ac:dyDescent="0.25">
      <c r="A2305" t="s">
        <v>456</v>
      </c>
      <c r="B2305" t="s">
        <v>4487</v>
      </c>
      <c r="C2305" t="s">
        <v>4488</v>
      </c>
      <c r="D2305" t="str">
        <f ca="1">IFERROR(__xludf.DUMMYFUNCTION("GOOGLETRANSLATE(B2305,""es"",""en"")"),"Fear")</f>
        <v>Fear</v>
      </c>
      <c r="E2305" t="str">
        <f ca="1">IFERROR(__xludf.DUMMYFUNCTION("GOOGLETRANSLATE(C2305,""es"",""en"")"),"Scare, frightening ,,,,")</f>
        <v>Scare, frightening ,,,,</v>
      </c>
    </row>
    <row r="2306" spans="1:5" ht="13.2" x14ac:dyDescent="0.25">
      <c r="A2306" t="s">
        <v>453</v>
      </c>
      <c r="B2306" t="s">
        <v>4487</v>
      </c>
      <c r="C2306" t="s">
        <v>4489</v>
      </c>
      <c r="D2306" t="str">
        <f ca="1">IFERROR(__xludf.DUMMYFUNCTION("GOOGLETRANSLATE(B2306,""es"",""en"")"),"Fear")</f>
        <v>Fear</v>
      </c>
      <c r="E2306" t="str">
        <f ca="1">IFERROR(__xludf.DUMMYFUNCTION("GOOGLETRANSLATE(C2306,""es"",""en"")"),"Get scared, , , ,")</f>
        <v>Get scared, , , ,</v>
      </c>
    </row>
    <row r="2307" spans="1:5" ht="13.2" x14ac:dyDescent="0.25">
      <c r="A2307" t="s">
        <v>4490</v>
      </c>
      <c r="B2307" t="s">
        <v>581</v>
      </c>
      <c r="C2307" t="s">
        <v>4491</v>
      </c>
      <c r="D2307" t="str">
        <f ca="1">IFERROR(__xludf.DUMMYFUNCTION("GOOGLETRANSLATE(B2307,""es"",""en"")"),"Child")</f>
        <v>Child</v>
      </c>
      <c r="E2307" t="str">
        <f ca="1">IFERROR(__xludf.DUMMYFUNCTION("GOOGLETRANSLATE(C2307,""es"",""en"")"),"Infant, small ,,,,")</f>
        <v>Infant, small ,,,,</v>
      </c>
    </row>
    <row r="2308" spans="1:5" ht="13.2" x14ac:dyDescent="0.25">
      <c r="A2308" t="s">
        <v>4492</v>
      </c>
      <c r="B2308" t="s">
        <v>4493</v>
      </c>
      <c r="C2308" t="s">
        <v>4494</v>
      </c>
      <c r="D2308" t="str">
        <f ca="1">IFERROR(__xludf.DUMMYFUNCTION("GOOGLETRANSLATE(B2308,""es"",""en"")"),"Subble garden")</f>
        <v>Subble garden</v>
      </c>
      <c r="E2308" t="str">
        <f ca="1">IFERROR(__xludf.DUMMYFUNCTION("GOOGLETRANSLATE(C2308,""es"",""en"")"),"Children's Home, , , ,")</f>
        <v>Children's Home, , , ,</v>
      </c>
    </row>
    <row r="2309" spans="1:5" ht="13.2" x14ac:dyDescent="0.25">
      <c r="A2309" t="s">
        <v>4386</v>
      </c>
      <c r="B2309" t="s">
        <v>4495</v>
      </c>
      <c r="C2309" t="s">
        <v>4385</v>
      </c>
      <c r="D2309" t="str">
        <f ca="1">IFERROR(__xludf.DUMMYFUNCTION("GOOGLETRANSLATE(B2309,""es"",""en"")"),"Caromorón")</f>
        <v>Caromorón</v>
      </c>
      <c r="E2309" t="str">
        <f ca="1">IFERROR(__xludf.DUMMYFUNCTION("GOOGLETRANSLATE(C2309,""es"",""en"")"),"Marine crow ,,,,")</f>
        <v>Marine crow ,,,,</v>
      </c>
    </row>
    <row r="2310" spans="1:5" ht="13.2" x14ac:dyDescent="0.25">
      <c r="A2310" t="s">
        <v>4496</v>
      </c>
      <c r="B2310" t="s">
        <v>4497</v>
      </c>
      <c r="C2310" t="s">
        <v>4498</v>
      </c>
      <c r="D2310" t="str">
        <f ca="1">IFERROR(__xludf.DUMMYFUNCTION("GOOGLETRANSLATE(B2310,""es"",""en"")"),"Relaxed")</f>
        <v>Relaxed</v>
      </c>
      <c r="E2310" t="str">
        <f ca="1">IFERROR(__xludf.DUMMYFUNCTION("GOOGLETRANSLATE(C2310,""es"",""en"")"),"Of joke, not serious ,,,,")</f>
        <v>Of joke, not serious ,,,,</v>
      </c>
    </row>
    <row r="2311" spans="1:5" ht="13.2" x14ac:dyDescent="0.25">
      <c r="A2311" t="s">
        <v>4499</v>
      </c>
      <c r="B2311" t="s">
        <v>4497</v>
      </c>
      <c r="C2311" t="s">
        <v>4500</v>
      </c>
      <c r="D2311" t="str">
        <f ca="1">IFERROR(__xludf.DUMMYFUNCTION("GOOGLETRANSLATE(B2311,""es"",""en"")"),"Relaxed")</f>
        <v>Relaxed</v>
      </c>
      <c r="E2311" t="str">
        <f ca="1">IFERROR(__xludf.DUMMYFUNCTION("GOOGLETRANSLATE(C2311,""es"",""en"")"),"Jokingly, , , ,")</f>
        <v>Jokingly, , , ,</v>
      </c>
    </row>
    <row r="2312" spans="1:5" ht="13.2" x14ac:dyDescent="0.25">
      <c r="A2312" t="s">
        <v>4501</v>
      </c>
      <c r="B2312" t="s">
        <v>4502</v>
      </c>
      <c r="C2312" t="s">
        <v>4503</v>
      </c>
      <c r="D2312" t="str">
        <f ca="1">IFERROR(__xludf.DUMMYFUNCTION("GOOGLETRANSLATE(B2312,""es"",""en"")"),"Play")</f>
        <v>Play</v>
      </c>
      <c r="E2312" t="str">
        <f ca="1">IFERROR(__xludf.DUMMYFUNCTION("GOOGLETRANSLATE(C2312,""es"",""en"")"),"Kidding, , , ,")</f>
        <v>Kidding, , , ,</v>
      </c>
    </row>
    <row r="2313" spans="1:5" ht="13.2" x14ac:dyDescent="0.25">
      <c r="A2313" t="s">
        <v>1988</v>
      </c>
      <c r="B2313" t="s">
        <v>4504</v>
      </c>
      <c r="D2313" t="str">
        <f ca="1">IFERROR(__xludf.DUMMYFUNCTION("GOOGLETRANSLATE(B2313,""es"",""en"")"),"For someone")</f>
        <v>For someone</v>
      </c>
      <c r="E2313" t="str">
        <f ca="1">IFERROR(__xludf.DUMMYFUNCTION("GOOGLETRANSLATE(C2313,""es"",""en"")"),"#VALUE!")</f>
        <v>#VALUE!</v>
      </c>
    </row>
    <row r="2314" spans="1:5" ht="13.2" x14ac:dyDescent="0.25">
      <c r="A2314" t="s">
        <v>3337</v>
      </c>
      <c r="B2314" t="s">
        <v>3336</v>
      </c>
      <c r="C2314" t="s">
        <v>4505</v>
      </c>
      <c r="D2314" t="str">
        <f ca="1">IFERROR(__xludf.DUMMYFUNCTION("GOOGLETRANSLATE(B2314,""es"",""en"")"),"Get wet")</f>
        <v>Get wet</v>
      </c>
      <c r="E2314" t="str">
        <f ca="1">IFERROR(__xludf.DUMMYFUNCTION("GOOGLETRANSLATE(C2314,""es"",""en"")"),"Soak up ,,,,")</f>
        <v>Soak up ,,,,</v>
      </c>
    </row>
    <row r="2315" spans="1:5" ht="13.2" x14ac:dyDescent="0.25">
      <c r="A2315" t="s">
        <v>4506</v>
      </c>
      <c r="B2315" t="s">
        <v>4502</v>
      </c>
      <c r="C2315" t="s">
        <v>4503</v>
      </c>
      <c r="D2315" t="str">
        <f ca="1">IFERROR(__xludf.DUMMYFUNCTION("GOOGLETRANSLATE(B2315,""es"",""en"")"),"Play")</f>
        <v>Play</v>
      </c>
      <c r="E2315" t="str">
        <f ca="1">IFERROR(__xludf.DUMMYFUNCTION("GOOGLETRANSLATE(C2315,""es"",""en"")"),"Kidding, , , ,")</f>
        <v>Kidding, , , ,</v>
      </c>
    </row>
    <row r="2316" spans="1:5" ht="13.2" x14ac:dyDescent="0.25">
      <c r="A2316" t="s">
        <v>4507</v>
      </c>
      <c r="B2316" t="s">
        <v>4508</v>
      </c>
      <c r="D2316" t="str">
        <f ca="1">IFERROR(__xludf.DUMMYFUNCTION("GOOGLETRANSLATE(B2316,""es"",""en"")"),"CORVINA FISH")</f>
        <v>CORVINA FISH</v>
      </c>
      <c r="E2316" t="str">
        <f ca="1">IFERROR(__xludf.DUMMYFUNCTION("GOOGLETRANSLATE(C2316,""es"",""en"")"),"#VALUE!")</f>
        <v>#VALUE!</v>
      </c>
    </row>
    <row r="2317" spans="1:5" ht="13.2" x14ac:dyDescent="0.25">
      <c r="A2317" t="s">
        <v>4509</v>
      </c>
      <c r="B2317" t="s">
        <v>4510</v>
      </c>
      <c r="C2317" t="s">
        <v>4511</v>
      </c>
      <c r="D2317" t="str">
        <f ca="1">IFERROR(__xludf.DUMMYFUNCTION("GOOGLETRANSLATE(B2317,""es"",""en"")"),"Swallow")</f>
        <v>Swallow</v>
      </c>
      <c r="E2317" t="str">
        <f ca="1">IFERROR(__xludf.DUMMYFUNCTION("GOOGLETRANSLATE(C2317,""es"",""en"")"),"Devour, swallow ,,,,")</f>
        <v>Devour, swallow ,,,,</v>
      </c>
    </row>
    <row r="2318" spans="1:5" ht="13.2" x14ac:dyDescent="0.25">
      <c r="A2318" t="s">
        <v>1530</v>
      </c>
      <c r="B2318" t="s">
        <v>3540</v>
      </c>
      <c r="C2318" t="s">
        <v>4512</v>
      </c>
      <c r="D2318" t="str">
        <f ca="1">IFERROR(__xludf.DUMMYFUNCTION("GOOGLETRANSLATE(B2318,""es"",""en"")"),"Abundant")</f>
        <v>Abundant</v>
      </c>
      <c r="E2318" t="str">
        <f ca="1">IFERROR(__xludf.DUMMYFUNCTION("GOOGLETRANSLATE(C2318,""es"",""en"")"),"Enough, quite ,,,")</f>
        <v>Enough, quite ,,,</v>
      </c>
    </row>
    <row r="2319" spans="1:5" ht="13.2" x14ac:dyDescent="0.25">
      <c r="A2319" t="s">
        <v>4116</v>
      </c>
      <c r="B2319" t="s">
        <v>3540</v>
      </c>
      <c r="C2319" t="s">
        <v>4513</v>
      </c>
      <c r="D2319" t="str">
        <f ca="1">IFERROR(__xludf.DUMMYFUNCTION("GOOGLETRANSLATE(B2319,""es"",""en"")"),"Abundant")</f>
        <v>Abundant</v>
      </c>
      <c r="E2319" t="str">
        <f ca="1">IFERROR(__xludf.DUMMYFUNCTION("GOOGLETRANSLATE(C2319,""es"",""en"")"),"enough, quite ,,,,")</f>
        <v>enough, quite ,,,,</v>
      </c>
    </row>
    <row r="2320" spans="1:5" ht="13.2" x14ac:dyDescent="0.25">
      <c r="A2320" t="s">
        <v>1527</v>
      </c>
      <c r="B2320" t="s">
        <v>3540</v>
      </c>
      <c r="C2320" t="s">
        <v>3145</v>
      </c>
      <c r="D2320" t="str">
        <f ca="1">IFERROR(__xludf.DUMMYFUNCTION("GOOGLETRANSLATE(B2320,""es"",""en"")"),"Abundant")</f>
        <v>Abundant</v>
      </c>
      <c r="E2320" t="str">
        <f ca="1">IFERROR(__xludf.DUMMYFUNCTION("GOOGLETRANSLATE(C2320,""es"",""en"")"),"Enough, , , ,")</f>
        <v>Enough, , , ,</v>
      </c>
    </row>
    <row r="2321" spans="1:5" ht="13.2" x14ac:dyDescent="0.25">
      <c r="A2321" t="s">
        <v>4514</v>
      </c>
      <c r="B2321" t="s">
        <v>4515</v>
      </c>
      <c r="C2321" t="s">
        <v>4516</v>
      </c>
      <c r="D2321" t="str">
        <f ca="1">IFERROR(__xludf.DUMMYFUNCTION("GOOGLETRANSLATE(B2321,""es"",""en"")"),"Too much")</f>
        <v>Too much</v>
      </c>
      <c r="E2321" t="str">
        <f ca="1">IFERROR(__xludf.DUMMYFUNCTION("GOOGLETRANSLATE(C2321,""es"",""en"")"),"Extremely, excessive ,,,,")</f>
        <v>Extremely, excessive ,,,,</v>
      </c>
    </row>
    <row r="2322" spans="1:5" ht="13.2" x14ac:dyDescent="0.25">
      <c r="A2322" t="s">
        <v>4517</v>
      </c>
      <c r="B2322" t="s">
        <v>4515</v>
      </c>
      <c r="C2322" t="s">
        <v>4516</v>
      </c>
      <c r="D2322" t="str">
        <f ca="1">IFERROR(__xludf.DUMMYFUNCTION("GOOGLETRANSLATE(B2322,""es"",""en"")"),"Too much")</f>
        <v>Too much</v>
      </c>
      <c r="E2322" t="str">
        <f ca="1">IFERROR(__xludf.DUMMYFUNCTION("GOOGLETRANSLATE(C2322,""es"",""en"")"),"Extremely, excessive ,,,,")</f>
        <v>Extremely, excessive ,,,,</v>
      </c>
    </row>
    <row r="2323" spans="1:5" ht="13.2" x14ac:dyDescent="0.25">
      <c r="A2323" t="s">
        <v>952</v>
      </c>
      <c r="B2323" t="s">
        <v>1459</v>
      </c>
      <c r="C2323" t="s">
        <v>4518</v>
      </c>
      <c r="D2323" t="str">
        <f ca="1">IFERROR(__xludf.DUMMYFUNCTION("GOOGLETRANSLATE(B2323,""es"",""en"")"),"A lot")</f>
        <v>A lot</v>
      </c>
      <c r="E2323" t="str">
        <f ca="1">IFERROR(__xludf.DUMMYFUNCTION("GOOGLETRANSLATE(C2323,""es"",""en"")"),"Exceeds ,,,,")</f>
        <v>Exceeds ,,,,</v>
      </c>
    </row>
    <row r="2324" spans="1:5" ht="13.2" x14ac:dyDescent="0.25">
      <c r="A2324" t="s">
        <v>4519</v>
      </c>
      <c r="B2324" t="s">
        <v>4520</v>
      </c>
      <c r="C2324" t="s">
        <v>4521</v>
      </c>
      <c r="D2324" t="str">
        <f ca="1">IFERROR(__xludf.DUMMYFUNCTION("GOOGLETRANSLATE(B2324,""es"",""en"")"),"Penetrate")</f>
        <v>Penetrate</v>
      </c>
      <c r="E2324" t="str">
        <f ca="1">IFERROR(__xludf.DUMMYFUNCTION("GOOGLETRANSLATE(C2324,""es"",""en"")"),"Enter, sink ,,,")</f>
        <v>Enter, sink ,,,</v>
      </c>
    </row>
    <row r="2325" spans="1:5" ht="13.2" x14ac:dyDescent="0.25">
      <c r="A2325" t="s">
        <v>4522</v>
      </c>
      <c r="B2325" t="s">
        <v>4523</v>
      </c>
      <c r="D2325" t="str">
        <f ca="1">IFERROR(__xludf.DUMMYFUNCTION("GOOGLETRANSLATE(B2325,""es"",""en"")"),"day after tomorrow")</f>
        <v>day after tomorrow</v>
      </c>
      <c r="E2325" t="str">
        <f ca="1">IFERROR(__xludf.DUMMYFUNCTION("GOOGLETRANSLATE(C2325,""es"",""en"")"),"#VALUE!")</f>
        <v>#VALUE!</v>
      </c>
    </row>
    <row r="2326" spans="1:5" ht="13.2" x14ac:dyDescent="0.25">
      <c r="A2326" t="s">
        <v>4524</v>
      </c>
      <c r="B2326" t="s">
        <v>3124</v>
      </c>
      <c r="C2326" t="s">
        <v>3125</v>
      </c>
      <c r="D2326" t="str">
        <f ca="1">IFERROR(__xludf.DUMMYFUNCTION("GOOGLETRANSLATE(B2326,""es"",""en"")"),"Exaggerated")</f>
        <v>Exaggerated</v>
      </c>
      <c r="E2326" t="str">
        <f ca="1">IFERROR(__xludf.DUMMYFUNCTION("GOOGLETRANSLATE(C2326,""es"",""en"")"),"Excessive ,,,,")</f>
        <v>Excessive ,,,,</v>
      </c>
    </row>
    <row r="2327" spans="1:5" ht="13.2" x14ac:dyDescent="0.25">
      <c r="A2327" t="s">
        <v>4525</v>
      </c>
      <c r="B2327" t="s">
        <v>3124</v>
      </c>
      <c r="C2327" t="s">
        <v>3125</v>
      </c>
      <c r="D2327" t="str">
        <f ca="1">IFERROR(__xludf.DUMMYFUNCTION("GOOGLETRANSLATE(B2327,""es"",""en"")"),"Exaggerated")</f>
        <v>Exaggerated</v>
      </c>
      <c r="E2327" t="str">
        <f ca="1">IFERROR(__xludf.DUMMYFUNCTION("GOOGLETRANSLATE(C2327,""es"",""en"")"),"Excessive ,,,,")</f>
        <v>Excessive ,,,,</v>
      </c>
    </row>
    <row r="2328" spans="1:5" ht="13.2" x14ac:dyDescent="0.25">
      <c r="A2328" t="s">
        <v>4526</v>
      </c>
      <c r="B2328" t="s">
        <v>3124</v>
      </c>
      <c r="C2328" t="s">
        <v>3125</v>
      </c>
      <c r="D2328" t="str">
        <f ca="1">IFERROR(__xludf.DUMMYFUNCTION("GOOGLETRANSLATE(B2328,""es"",""en"")"),"Exaggerated")</f>
        <v>Exaggerated</v>
      </c>
      <c r="E2328" t="str">
        <f ca="1">IFERROR(__xludf.DUMMYFUNCTION("GOOGLETRANSLATE(C2328,""es"",""en"")"),"Excessive ,,,,")</f>
        <v>Excessive ,,,,</v>
      </c>
    </row>
    <row r="2329" spans="1:5" ht="13.2" x14ac:dyDescent="0.25">
      <c r="A2329" t="s">
        <v>4527</v>
      </c>
      <c r="B2329" t="s">
        <v>4528</v>
      </c>
      <c r="C2329" t="s">
        <v>4529</v>
      </c>
      <c r="D2329" t="str">
        <f ca="1">IFERROR(__xludf.DUMMYFUNCTION("GOOGLETRANSLATE(B2329,""es"",""en"")"),"Cough")</f>
        <v>Cough</v>
      </c>
      <c r="E2329" t="str">
        <f ca="1">IFERROR(__xludf.DUMMYFUNCTION("GOOGLETRANSLATE(C2329,""es"",""en"")"),"Cough, , , ,")</f>
        <v>Cough, , , ,</v>
      </c>
    </row>
    <row r="2330" spans="1:5" ht="13.2" x14ac:dyDescent="0.25">
      <c r="A2330" t="s">
        <v>4530</v>
      </c>
      <c r="B2330" t="s">
        <v>2821</v>
      </c>
      <c r="D2330" t="str">
        <f ca="1">IFERROR(__xludf.DUMMYFUNCTION("GOOGLETRANSLATE(B2330,""es"",""en"")"),"Bamboo musical instrument")</f>
        <v>Bamboo musical instrument</v>
      </c>
      <c r="E2330" t="str">
        <f ca="1">IFERROR(__xludf.DUMMYFUNCTION("GOOGLETRANSLATE(C2330,""es"",""en"")"),"#VALUE!")</f>
        <v>#VALUE!</v>
      </c>
    </row>
    <row r="2331" spans="1:5" ht="13.2" x14ac:dyDescent="0.25">
      <c r="A2331" t="s">
        <v>4527</v>
      </c>
      <c r="B2331" t="s">
        <v>4528</v>
      </c>
      <c r="C2331" t="s">
        <v>4529</v>
      </c>
      <c r="D2331" t="str">
        <f ca="1">IFERROR(__xludf.DUMMYFUNCTION("GOOGLETRANSLATE(B2331,""es"",""en"")"),"Cough")</f>
        <v>Cough</v>
      </c>
      <c r="E2331" t="str">
        <f ca="1">IFERROR(__xludf.DUMMYFUNCTION("GOOGLETRANSLATE(C2331,""es"",""en"")"),"Cough, , , ,")</f>
        <v>Cough, , , ,</v>
      </c>
    </row>
    <row r="2332" spans="1:5" ht="13.2" x14ac:dyDescent="0.25">
      <c r="A2332" t="s">
        <v>194</v>
      </c>
      <c r="B2332" t="s">
        <v>192</v>
      </c>
      <c r="C2332" t="s">
        <v>193</v>
      </c>
      <c r="D2332" t="str">
        <f ca="1">IFERROR(__xludf.DUMMYFUNCTION("GOOGLETRANSLATE(B2332,""es"",""en"")"),"Splash")</f>
        <v>Splash</v>
      </c>
      <c r="E2332" t="str">
        <f ca="1">IFERROR(__xludf.DUMMYFUNCTION("GOOGLETRANSLATE(C2332,""es"",""en"")"),"Swim, , , ,")</f>
        <v>Swim, , , ,</v>
      </c>
    </row>
    <row r="2333" spans="1:5" ht="13.2" x14ac:dyDescent="0.25">
      <c r="A2333" t="s">
        <v>191</v>
      </c>
      <c r="B2333" t="s">
        <v>192</v>
      </c>
      <c r="C2333" t="s">
        <v>193</v>
      </c>
      <c r="D2333" t="str">
        <f ca="1">IFERROR(__xludf.DUMMYFUNCTION("GOOGLETRANSLATE(B2333,""es"",""en"")"),"Splash")</f>
        <v>Splash</v>
      </c>
      <c r="E2333" t="str">
        <f ca="1">IFERROR(__xludf.DUMMYFUNCTION("GOOGLETRANSLATE(C2333,""es"",""en"")"),"Swim, , , ,")</f>
        <v>Swim, , , ,</v>
      </c>
    </row>
    <row r="2334" spans="1:5" ht="13.2" x14ac:dyDescent="0.25">
      <c r="A2334" t="s">
        <v>4531</v>
      </c>
      <c r="B2334" t="s">
        <v>4532</v>
      </c>
      <c r="D2334" t="str">
        <f ca="1">IFERROR(__xludf.DUMMYFUNCTION("GOOGLETRANSLATE(B2334,""es"",""en"")"),"Forty cents")</f>
        <v>Forty cents</v>
      </c>
      <c r="E2334" t="str">
        <f ca="1">IFERROR(__xludf.DUMMYFUNCTION("GOOGLETRANSLATE(C2334,""es"",""en"")"),"#VALUE!")</f>
        <v>#VALUE!</v>
      </c>
    </row>
    <row r="2335" spans="1:5" ht="13.2" x14ac:dyDescent="0.25">
      <c r="A2335" t="s">
        <v>4533</v>
      </c>
      <c r="B2335" t="s">
        <v>4534</v>
      </c>
      <c r="C2335" t="s">
        <v>4535</v>
      </c>
      <c r="D2335" t="str">
        <f ca="1">IFERROR(__xludf.DUMMYFUNCTION("GOOGLETRANSLATE(B2335,""es"",""en"")"),"Tiny")</f>
        <v>Tiny</v>
      </c>
      <c r="E2335" t="str">
        <f ca="1">IFERROR(__xludf.DUMMYFUNCTION("GOOGLETRANSLATE(C2335,""es"",""en"")"),"Cortito, tiny ,,,,")</f>
        <v>Cortito, tiny ,,,,</v>
      </c>
    </row>
    <row r="2336" spans="1:5" ht="13.2" x14ac:dyDescent="0.25">
      <c r="A2336" t="s">
        <v>4536</v>
      </c>
      <c r="B2336" t="s">
        <v>4537</v>
      </c>
      <c r="D2336" t="str">
        <f ca="1">IFERROR(__xludf.DUMMYFUNCTION("GOOGLETRANSLATE(B2336,""es"",""en"")"),"Fish hook")</f>
        <v>Fish hook</v>
      </c>
      <c r="E2336" t="str">
        <f ca="1">IFERROR(__xludf.DUMMYFUNCTION("GOOGLETRANSLATE(C2336,""es"",""en"")"),"#VALUE!")</f>
        <v>#VALUE!</v>
      </c>
    </row>
    <row r="2337" spans="1:5" ht="13.2" x14ac:dyDescent="0.25">
      <c r="A2337" t="s">
        <v>4538</v>
      </c>
      <c r="B2337" t="s">
        <v>4534</v>
      </c>
      <c r="C2337" t="s">
        <v>4535</v>
      </c>
      <c r="D2337" t="str">
        <f ca="1">IFERROR(__xludf.DUMMYFUNCTION("GOOGLETRANSLATE(B2337,""es"",""en"")"),"Tiny")</f>
        <v>Tiny</v>
      </c>
      <c r="E2337" t="str">
        <f ca="1">IFERROR(__xludf.DUMMYFUNCTION("GOOGLETRANSLATE(C2337,""es"",""en"")"),"Cortito, tiny ,,,,")</f>
        <v>Cortito, tiny ,,,,</v>
      </c>
    </row>
    <row r="2338" spans="1:5" ht="13.2" x14ac:dyDescent="0.25">
      <c r="A2338" t="s">
        <v>4539</v>
      </c>
      <c r="B2338" t="s">
        <v>4540</v>
      </c>
      <c r="D2338" t="str">
        <f ca="1">IFERROR(__xludf.DUMMYFUNCTION("GOOGLETRANSLATE(B2338,""es"",""en"")"),"Dozen")</f>
        <v>Dozen</v>
      </c>
      <c r="E2338" t="str">
        <f ca="1">IFERROR(__xludf.DUMMYFUNCTION("GOOGLETRANSLATE(C2338,""es"",""en"")"),"#VALUE!")</f>
        <v>#VALUE!</v>
      </c>
    </row>
    <row r="2339" spans="1:5" ht="13.2" x14ac:dyDescent="0.25">
      <c r="A2339" t="s">
        <v>4541</v>
      </c>
      <c r="B2339" t="s">
        <v>4542</v>
      </c>
      <c r="C2339" t="s">
        <v>4543</v>
      </c>
      <c r="D2339" t="str">
        <f ca="1">IFERROR(__xludf.DUMMYFUNCTION("GOOGLETRANSLATE(B2339,""es"",""en"")"),"Thigh")</f>
        <v>Thigh</v>
      </c>
      <c r="E2339" t="str">
        <f ca="1">IFERROR(__xludf.DUMMYFUNCTION("GOOGLETRANSLATE(C2339,""es"",""en"")"),"Leg, , , ,")</f>
        <v>Leg, , , ,</v>
      </c>
    </row>
    <row r="2340" spans="1:5" ht="13.2" x14ac:dyDescent="0.25">
      <c r="A2340" t="s">
        <v>4544</v>
      </c>
      <c r="B2340" t="s">
        <v>4545</v>
      </c>
      <c r="D2340" t="str">
        <f ca="1">IFERROR(__xludf.DUMMYFUNCTION("GOOGLETRANSLATE(B2340,""es"",""en"")"),"Femur")</f>
        <v>Femur</v>
      </c>
      <c r="E2340" t="str">
        <f ca="1">IFERROR(__xludf.DUMMYFUNCTION("GOOGLETRANSLATE(C2340,""es"",""en"")"),"#VALUE!")</f>
        <v>#VALUE!</v>
      </c>
    </row>
    <row r="2341" spans="1:5" ht="13.2" x14ac:dyDescent="0.25">
      <c r="A2341" t="s">
        <v>4546</v>
      </c>
      <c r="B2341" t="s">
        <v>4545</v>
      </c>
      <c r="D2341" t="str">
        <f ca="1">IFERROR(__xludf.DUMMYFUNCTION("GOOGLETRANSLATE(B2341,""es"",""en"")"),"Femur")</f>
        <v>Femur</v>
      </c>
      <c r="E2341" t="str">
        <f ca="1">IFERROR(__xludf.DUMMYFUNCTION("GOOGLETRANSLATE(C2341,""es"",""en"")"),"#VALUE!")</f>
        <v>#VALUE!</v>
      </c>
    </row>
    <row r="2342" spans="1:5" ht="13.2" x14ac:dyDescent="0.25">
      <c r="A2342" t="s">
        <v>4547</v>
      </c>
      <c r="B2342" t="s">
        <v>4548</v>
      </c>
      <c r="C2342" t="s">
        <v>4549</v>
      </c>
      <c r="D2342" t="s">
        <v>4550</v>
      </c>
      <c r="E2342" t="str">
        <f ca="1">IFERROR(__xludf.DUMMYFUNCTION("GOOGLETRANSLATE(C2342,""es"",""en"")"),"Revolize ,,,,")</f>
        <v>Revolize ,,,,</v>
      </c>
    </row>
    <row r="2343" spans="1:5" ht="13.2" x14ac:dyDescent="0.25">
      <c r="A2343" t="s">
        <v>3922</v>
      </c>
      <c r="B2343" t="s">
        <v>4548</v>
      </c>
      <c r="C2343" t="s">
        <v>4549</v>
      </c>
      <c r="D2343" t="s">
        <v>4550</v>
      </c>
      <c r="E2343" t="str">
        <f ca="1">IFERROR(__xludf.DUMMYFUNCTION("GOOGLETRANSLATE(C2343,""es"",""en"")"),"Revolize ,,,,")</f>
        <v>Revolize ,,,,</v>
      </c>
    </row>
    <row r="2344" spans="1:5" ht="13.2" x14ac:dyDescent="0.25">
      <c r="A2344" t="s">
        <v>4551</v>
      </c>
      <c r="B2344" t="s">
        <v>4552</v>
      </c>
      <c r="C2344" t="s">
        <v>4553</v>
      </c>
      <c r="D2344" t="str">
        <f ca="1">IFERROR(__xludf.DUMMYFUNCTION("GOOGLETRANSLATE(B2344,""es"",""en"")"),"Thread")</f>
        <v>Thread</v>
      </c>
      <c r="E2344" t="str">
        <f ca="1">IFERROR(__xludf.DUMMYFUNCTION("GOOGLETRANSLATE(C2344,""es"",""en"")"),"String rope, , ,")</f>
        <v>String rope, , ,</v>
      </c>
    </row>
    <row r="2345" spans="1:5" ht="13.2" x14ac:dyDescent="0.25">
      <c r="A2345" t="s">
        <v>4554</v>
      </c>
      <c r="B2345" t="s">
        <v>4552</v>
      </c>
      <c r="C2345" t="s">
        <v>4555</v>
      </c>
      <c r="D2345" t="str">
        <f ca="1">IFERROR(__xludf.DUMMYFUNCTION("GOOGLETRANSLATE(B2345,""es"",""en"")"),"Thread")</f>
        <v>Thread</v>
      </c>
      <c r="E2345" t="str">
        <f ca="1">IFERROR(__xludf.DUMMYFUNCTION("GOOGLETRANSLATE(C2345,""es"",""en"")"),"Rope rope, , ,")</f>
        <v>Rope rope, , ,</v>
      </c>
    </row>
    <row r="2346" spans="1:5" ht="13.2" x14ac:dyDescent="0.25">
      <c r="A2346" t="s">
        <v>4551</v>
      </c>
      <c r="B2346" t="s">
        <v>4556</v>
      </c>
      <c r="C2346" t="s">
        <v>4557</v>
      </c>
      <c r="D2346" t="str">
        <f ca="1">IFERROR(__xludf.DUMMYFUNCTION("GOOGLETRANSLATE(B2346,""es"",""en"")"),"Island")</f>
        <v>Island</v>
      </c>
      <c r="E2346" t="str">
        <f ca="1">IFERROR(__xludf.DUMMYFUNCTION("GOOGLETRANSLATE(C2346,""es"",""en"")"),"ISLOTE ,,,,")</f>
        <v>ISLOTE ,,,,</v>
      </c>
    </row>
    <row r="2347" spans="1:5" ht="13.2" x14ac:dyDescent="0.25">
      <c r="A2347" t="s">
        <v>4558</v>
      </c>
      <c r="B2347" t="s">
        <v>4559</v>
      </c>
      <c r="D2347" t="str">
        <f ca="1">IFERROR(__xludf.DUMMYFUNCTION("GOOGLETRANSLATE(B2347,""es"",""en"")"),"Fishing line")</f>
        <v>Fishing line</v>
      </c>
      <c r="E2347" t="str">
        <f ca="1">IFERROR(__xludf.DUMMYFUNCTION("GOOGLETRANSLATE(C2347,""es"",""en"")"),"#VALUE!")</f>
        <v>#VALUE!</v>
      </c>
    </row>
    <row r="2348" spans="1:5" ht="13.2" x14ac:dyDescent="0.25">
      <c r="A2348" t="s">
        <v>4560</v>
      </c>
      <c r="B2348" t="s">
        <v>4556</v>
      </c>
      <c r="C2348" t="s">
        <v>4557</v>
      </c>
      <c r="D2348" t="str">
        <f ca="1">IFERROR(__xludf.DUMMYFUNCTION("GOOGLETRANSLATE(B2348,""es"",""en"")"),"Island")</f>
        <v>Island</v>
      </c>
      <c r="E2348" t="str">
        <f ca="1">IFERROR(__xludf.DUMMYFUNCTION("GOOGLETRANSLATE(C2348,""es"",""en"")"),"ISLOTE ,,,,")</f>
        <v>ISLOTE ,,,,</v>
      </c>
    </row>
    <row r="2349" spans="1:5" ht="13.2" x14ac:dyDescent="0.25">
      <c r="A2349" t="s">
        <v>4561</v>
      </c>
      <c r="B2349" t="s">
        <v>4562</v>
      </c>
      <c r="D2349" t="str">
        <f ca="1">IFERROR(__xludf.DUMMYFUNCTION("GOOGLETRANSLATE(B2349,""es"",""en"")"),"Flower")</f>
        <v>Flower</v>
      </c>
      <c r="E2349" t="str">
        <f ca="1">IFERROR(__xludf.DUMMYFUNCTION("GOOGLETRANSLATE(C2349,""es"",""en"")"),"#VALUE!")</f>
        <v>#VALUE!</v>
      </c>
    </row>
    <row r="2350" spans="1:5" ht="13.2" x14ac:dyDescent="0.25">
      <c r="A2350" t="s">
        <v>4563</v>
      </c>
      <c r="B2350" t="s">
        <v>4564</v>
      </c>
      <c r="D2350" t="str">
        <f ca="1">IFERROR(__xludf.DUMMYFUNCTION("GOOGLETRANSLATE(B2350,""es"",""en"")"),"Garden")</f>
        <v>Garden</v>
      </c>
      <c r="E2350" t="str">
        <f ca="1">IFERROR(__xludf.DUMMYFUNCTION("GOOGLETRANSLATE(C2350,""es"",""en"")"),"#VALUE!")</f>
        <v>#VALUE!</v>
      </c>
    </row>
    <row r="2351" spans="1:5" ht="13.2" x14ac:dyDescent="0.25">
      <c r="A2351" t="s">
        <v>4565</v>
      </c>
      <c r="B2351" t="s">
        <v>4566</v>
      </c>
      <c r="C2351" t="s">
        <v>4567</v>
      </c>
      <c r="D2351" t="str">
        <f ca="1">IFERROR(__xludf.DUMMYFUNCTION("GOOGLETRANSLATE(B2351,""es"",""en"")"),"Soft")</f>
        <v>Soft</v>
      </c>
      <c r="E2351" t="str">
        <f ca="1">IFERROR(__xludf.DUMMYFUNCTION("GOOGLETRANSLATE(C2351,""es"",""en"")"),"Gentle, , , ,")</f>
        <v>Gentle, , , ,</v>
      </c>
    </row>
    <row r="2352" spans="1:5" ht="13.2" x14ac:dyDescent="0.25">
      <c r="A2352" t="s">
        <v>4568</v>
      </c>
      <c r="B2352" t="s">
        <v>218</v>
      </c>
      <c r="D2352" t="str">
        <f ca="1">IFERROR(__xludf.DUMMYFUNCTION("GOOGLETRANSLATE(B2352,""es"",""en"")"),"Yellow")</f>
        <v>Yellow</v>
      </c>
      <c r="E2352" t="str">
        <f ca="1">IFERROR(__xludf.DUMMYFUNCTION("GOOGLETRANSLATE(C2352,""es"",""en"")"),"#VALUE!")</f>
        <v>#VALUE!</v>
      </c>
    </row>
    <row r="2353" spans="1:5" ht="13.2" x14ac:dyDescent="0.25">
      <c r="A2353" t="s">
        <v>4569</v>
      </c>
      <c r="B2353" t="s">
        <v>218</v>
      </c>
      <c r="D2353" t="str">
        <f ca="1">IFERROR(__xludf.DUMMYFUNCTION("GOOGLETRANSLATE(B2353,""es"",""en"")"),"Yellow")</f>
        <v>Yellow</v>
      </c>
      <c r="E2353" t="str">
        <f ca="1">IFERROR(__xludf.DUMMYFUNCTION("GOOGLETRANSLATE(C2353,""es"",""en"")"),"#VALUE!")</f>
        <v>#VALUE!</v>
      </c>
    </row>
    <row r="2354" spans="1:5" ht="13.2" x14ac:dyDescent="0.25">
      <c r="A2354" t="s">
        <v>2591</v>
      </c>
      <c r="B2354" t="s">
        <v>2589</v>
      </c>
      <c r="C2354" t="s">
        <v>4570</v>
      </c>
      <c r="D2354" t="str">
        <f ca="1">IFERROR(__xludf.DUMMYFUNCTION("GOOGLETRANSLATE(B2354,""es"",""en"")"),"Strong")</f>
        <v>Strong</v>
      </c>
      <c r="E2354" t="str">
        <f ca="1">IFERROR(__xludf.DUMMYFUNCTION("GOOGLETRANSLATE(C2354,""es"",""en"")"),"Hard, strong, solid,")</f>
        <v>Hard, strong, solid,</v>
      </c>
    </row>
    <row r="2355" spans="1:5" ht="13.2" x14ac:dyDescent="0.25">
      <c r="A2355" t="s">
        <v>2588</v>
      </c>
      <c r="B2355" t="s">
        <v>2589</v>
      </c>
      <c r="C2355" t="s">
        <v>4570</v>
      </c>
      <c r="D2355" t="str">
        <f ca="1">IFERROR(__xludf.DUMMYFUNCTION("GOOGLETRANSLATE(B2355,""es"",""en"")"),"Strong")</f>
        <v>Strong</v>
      </c>
      <c r="E2355" t="str">
        <f ca="1">IFERROR(__xludf.DUMMYFUNCTION("GOOGLETRANSLATE(C2355,""es"",""en"")"),"Hard, strong, solid,")</f>
        <v>Hard, strong, solid,</v>
      </c>
    </row>
    <row r="2356" spans="1:5" ht="13.2" x14ac:dyDescent="0.25">
      <c r="A2356" t="s">
        <v>4571</v>
      </c>
      <c r="B2356" t="s">
        <v>4572</v>
      </c>
      <c r="C2356" t="s">
        <v>4573</v>
      </c>
      <c r="D2356" t="str">
        <f ca="1">IFERROR(__xludf.DUMMYFUNCTION("GOOGLETRANSLATE(B2356,""es"",""en"")"),"Immerse")</f>
        <v>Immerse</v>
      </c>
      <c r="E2356" t="str">
        <f ca="1">IFERROR(__xludf.DUMMYFUNCTION("GOOGLETRANSLATE(C2356,""es"",""en"")"),"Soak, , , ,")</f>
        <v>Soak, , , ,</v>
      </c>
    </row>
    <row r="2357" spans="1:5" ht="13.2" x14ac:dyDescent="0.25">
      <c r="A2357" t="s">
        <v>4574</v>
      </c>
      <c r="B2357" t="s">
        <v>4575</v>
      </c>
      <c r="C2357" t="s">
        <v>4576</v>
      </c>
      <c r="D2357" t="str">
        <f ca="1">IFERROR(__xludf.DUMMYFUNCTION("GOOGLETRANSLATE(B2357,""es"",""en"")"),"Coloradilla")</f>
        <v>Coloradilla</v>
      </c>
      <c r="E2357" t="str">
        <f ca="1">IFERROR(__xludf.DUMMYFUNCTION("GOOGLETRANSLATE(C2357,""es"",""en"")"),"Chicken crest ,,,,,")</f>
        <v>Chicken crest ,,,,,</v>
      </c>
    </row>
    <row r="2358" spans="1:5" ht="13.2" x14ac:dyDescent="0.25">
      <c r="A2358" t="s">
        <v>4577</v>
      </c>
      <c r="B2358" t="s">
        <v>4578</v>
      </c>
      <c r="D2358" t="str">
        <f ca="1">IFERROR(__xludf.DUMMYFUNCTION("GOOGLETRANSLATE(B2358,""es"",""en"")"),"Basil")</f>
        <v>Basil</v>
      </c>
      <c r="E2358" t="str">
        <f ca="1">IFERROR(__xludf.DUMMYFUNCTION("GOOGLETRANSLATE(C2358,""es"",""en"")"),"#VALUE!")</f>
        <v>#VALUE!</v>
      </c>
    </row>
    <row r="2359" spans="1:5" ht="13.2" x14ac:dyDescent="0.25">
      <c r="A2359" t="s">
        <v>4579</v>
      </c>
      <c r="B2359" t="s">
        <v>4580</v>
      </c>
      <c r="C2359" t="s">
        <v>4581</v>
      </c>
      <c r="D2359" t="str">
        <f ca="1">IFERROR(__xludf.DUMMYFUNCTION("GOOGLETRANSLATE(B2359,""es"",""en"")"),"Neck")</f>
        <v>Neck</v>
      </c>
      <c r="E2359" t="str">
        <f ca="1">IFERROR(__xludf.DUMMYFUNCTION("GOOGLETRANSLATE(C2359,""es"",""en"")"),"Pescuezo ,,,,")</f>
        <v>Pescuezo ,,,,</v>
      </c>
    </row>
    <row r="2360" spans="1:5" ht="13.2" x14ac:dyDescent="0.25">
      <c r="A2360" t="s">
        <v>4582</v>
      </c>
      <c r="B2360" t="s">
        <v>4583</v>
      </c>
      <c r="C2360" t="s">
        <v>4584</v>
      </c>
      <c r="D2360" t="str">
        <f ca="1">IFERROR(__xludf.DUMMYFUNCTION("GOOGLETRANSLATE(B2360,""es"",""en"")"),"Inclined")</f>
        <v>Inclined</v>
      </c>
      <c r="E2360" t="str">
        <f ca="1">IFERROR(__xludf.DUMMYFUNCTION("GOOGLETRANSLATE(C2360,""es"",""en"")"),"Itself, , , ,")</f>
        <v>Itself, , , ,</v>
      </c>
    </row>
    <row r="2361" spans="1:5" ht="13.2" x14ac:dyDescent="0.25">
      <c r="A2361" t="s">
        <v>4585</v>
      </c>
      <c r="B2361" t="s">
        <v>4586</v>
      </c>
      <c r="C2361" t="s">
        <v>4587</v>
      </c>
      <c r="D2361" t="str">
        <f ca="1">IFERROR(__xludf.DUMMYFUNCTION("GOOGLETRANSLATE(B2361,""es"",""en"")"),"Tip")</f>
        <v>Tip</v>
      </c>
      <c r="E2361" t="str">
        <f ca="1">IFERROR(__xludf.DUMMYFUNCTION("GOOGLETRANSLATE(C2361,""es"",""en"")"),"Extreme, summit, end,,")</f>
        <v>Extreme, summit, end,,</v>
      </c>
    </row>
    <row r="2362" spans="1:5" ht="13.2" x14ac:dyDescent="0.25">
      <c r="A2362" t="s">
        <v>4588</v>
      </c>
      <c r="B2362" t="s">
        <v>4589</v>
      </c>
      <c r="C2362" t="s">
        <v>4590</v>
      </c>
      <c r="D2362" t="str">
        <f ca="1">IFERROR(__xludf.DUMMYFUNCTION("GOOGLETRANSLATE(B2362,""es"",""en"")"),"Hide")</f>
        <v>Hide</v>
      </c>
      <c r="E2362" t="str">
        <f ca="1">IFERROR(__xludf.DUMMYFUNCTION("GOOGLETRANSLATE(C2362,""es"",""en"")"),"Take refuge, hide ,,,,")</f>
        <v>Take refuge, hide ,,,,</v>
      </c>
    </row>
    <row r="2363" spans="1:5" ht="13.2" x14ac:dyDescent="0.25">
      <c r="A2363" t="s">
        <v>4591</v>
      </c>
      <c r="B2363" t="s">
        <v>4592</v>
      </c>
      <c r="D2363" t="str">
        <f ca="1">IFERROR(__xludf.DUMMYFUNCTION("GOOGLETRANSLATE(B2363,""es"",""en"")"),"Small sea shells")</f>
        <v>Small sea shells</v>
      </c>
      <c r="E2363" t="str">
        <f ca="1">IFERROR(__xludf.DUMMYFUNCTION("GOOGLETRANSLATE(C2363,""es"",""en"")"),"#VALUE!")</f>
        <v>#VALUE!</v>
      </c>
    </row>
    <row r="2364" spans="1:5" ht="13.2" x14ac:dyDescent="0.25">
      <c r="A2364" t="s">
        <v>4593</v>
      </c>
      <c r="B2364" t="s">
        <v>4594</v>
      </c>
      <c r="D2364" t="str">
        <f ca="1">IFERROR(__xludf.DUMMYFUNCTION("GOOGLETRANSLATE(B2364,""es"",""en"")"),"Mere")</f>
        <v>Mere</v>
      </c>
      <c r="E2364" t="str">
        <f ca="1">IFERROR(__xludf.DUMMYFUNCTION("GOOGLETRANSLATE(C2364,""es"",""en"")"),"#VALUE!")</f>
        <v>#VALUE!</v>
      </c>
    </row>
    <row r="2365" spans="1:5" ht="13.2" x14ac:dyDescent="0.25">
      <c r="A2365" t="s">
        <v>4595</v>
      </c>
      <c r="B2365" t="s">
        <v>4596</v>
      </c>
      <c r="C2365" t="s">
        <v>4597</v>
      </c>
      <c r="D2365" t="str">
        <f ca="1">IFERROR(__xludf.DUMMYFUNCTION("GOOGLETRANSLATE(B2365,""es"",""en"")"),"Alive")</f>
        <v>Alive</v>
      </c>
      <c r="E2365" t="str">
        <f ca="1">IFERROR(__xludf.DUMMYFUNCTION("GOOGLETRANSLATE(C2365,""es"",""en"")"),"Community, people ,,,")</f>
        <v>Community, people ,,,</v>
      </c>
    </row>
    <row r="2366" spans="1:5" ht="13.2" x14ac:dyDescent="0.25">
      <c r="A2366" t="s">
        <v>696</v>
      </c>
      <c r="B2366" t="s">
        <v>4598</v>
      </c>
      <c r="C2366" t="s">
        <v>693</v>
      </c>
      <c r="D2366" t="str">
        <f ca="1">IFERROR(__xludf.DUMMYFUNCTION("GOOGLETRANSLATE(B2366,""es"",""en"")"),"Guide")</f>
        <v>Guide</v>
      </c>
      <c r="E2366" t="str">
        <f ca="1">IFERROR(__xludf.DUMMYFUNCTION("GOOGLETRANSLATE(C2366,""es"",""en"")"),"Leader ,,,,")</f>
        <v>Leader ,,,,</v>
      </c>
    </row>
    <row r="2367" spans="1:5" ht="13.2" x14ac:dyDescent="0.25">
      <c r="A2367" t="s">
        <v>691</v>
      </c>
      <c r="B2367" t="s">
        <v>4598</v>
      </c>
      <c r="C2367" t="s">
        <v>693</v>
      </c>
      <c r="D2367" t="str">
        <f ca="1">IFERROR(__xludf.DUMMYFUNCTION("GOOGLETRANSLATE(B2367,""es"",""en"")"),"Guide")</f>
        <v>Guide</v>
      </c>
      <c r="E2367" t="str">
        <f ca="1">IFERROR(__xludf.DUMMYFUNCTION("GOOGLETRANSLATE(C2367,""es"",""en"")"),"Leader ,,,,")</f>
        <v>Leader ,,,,</v>
      </c>
    </row>
    <row r="2368" spans="1:5" ht="13.2" x14ac:dyDescent="0.25">
      <c r="A2368" t="s">
        <v>694</v>
      </c>
      <c r="B2368" t="s">
        <v>4598</v>
      </c>
      <c r="C2368" t="s">
        <v>693</v>
      </c>
      <c r="D2368" t="str">
        <f ca="1">IFERROR(__xludf.DUMMYFUNCTION("GOOGLETRANSLATE(B2368,""es"",""en"")"),"Guide")</f>
        <v>Guide</v>
      </c>
      <c r="E2368" t="str">
        <f ca="1">IFERROR(__xludf.DUMMYFUNCTION("GOOGLETRANSLATE(C2368,""es"",""en"")"),"Leader ,,,,")</f>
        <v>Leader ,,,,</v>
      </c>
    </row>
    <row r="2369" spans="1:5" ht="13.2" x14ac:dyDescent="0.25">
      <c r="A2369" t="s">
        <v>4599</v>
      </c>
      <c r="B2369" t="s">
        <v>4600</v>
      </c>
      <c r="C2369" t="s">
        <v>4601</v>
      </c>
      <c r="D2369" t="str">
        <f ca="1">IFERROR(__xludf.DUMMYFUNCTION("GOOGLETRANSLATE(B2369,""es"",""en"")"),"Turn around")</f>
        <v>Turn around</v>
      </c>
      <c r="E2369" t="str">
        <f ca="1">IFERROR(__xludf.DUMMYFUNCTION("GOOGLETRANSLATE(C2369,""es"",""en"")"),"Turn, roll, turn ,,")</f>
        <v>Turn, roll, turn ,,</v>
      </c>
    </row>
    <row r="2370" spans="1:5" ht="13.2" x14ac:dyDescent="0.25">
      <c r="A2370" t="s">
        <v>4602</v>
      </c>
      <c r="B2370" t="s">
        <v>4603</v>
      </c>
      <c r="D2370" t="str">
        <f ca="1">IFERROR(__xludf.DUMMYFUNCTION("GOOGLETRANSLATE(B2370,""es"",""en"")"),"It is well alive")</f>
        <v>It is well alive</v>
      </c>
      <c r="E2370" t="str">
        <f ca="1">IFERROR(__xludf.DUMMYFUNCTION("GOOGLETRANSLATE(C2370,""es"",""en"")"),"#VALUE!")</f>
        <v>#VALUE!</v>
      </c>
    </row>
    <row r="2371" spans="1:5" ht="13.2" x14ac:dyDescent="0.25">
      <c r="A2371" t="s">
        <v>4604</v>
      </c>
      <c r="B2371" t="s">
        <v>4605</v>
      </c>
      <c r="C2371" t="s">
        <v>4606</v>
      </c>
      <c r="D2371" t="str">
        <f ca="1">IFERROR(__xludf.DUMMYFUNCTION("GOOGLETRANSLATE(B2371,""es"",""en"")"),"Person")</f>
        <v>Person</v>
      </c>
      <c r="E2371" t="str">
        <f ca="1">IFERROR(__xludf.DUMMYFUNCTION("GOOGLETRANSLATE(C2371,""es"",""en"")"),"Individual ,,,,")</f>
        <v>Individual ,,,,</v>
      </c>
    </row>
    <row r="2372" spans="1:5" ht="13.2" x14ac:dyDescent="0.25">
      <c r="A2372" t="s">
        <v>4607</v>
      </c>
      <c r="B2372" t="s">
        <v>4608</v>
      </c>
      <c r="C2372" t="s">
        <v>4609</v>
      </c>
      <c r="D2372" t="str">
        <f ca="1">IFERROR(__xludf.DUMMYFUNCTION("GOOGLETRANSLATE(B2372,""es"",""en"")"),"Pus")</f>
        <v>Pus</v>
      </c>
      <c r="E2372" t="str">
        <f ca="1">IFERROR(__xludf.DUMMYFUNCTION("GOOGLETRANSLATE(C2372,""es"",""en"")"),"Suppuration ,,,,")</f>
        <v>Suppuration ,,,,</v>
      </c>
    </row>
    <row r="2373" spans="1:5" ht="13.2" x14ac:dyDescent="0.25">
      <c r="A2373" t="s">
        <v>4610</v>
      </c>
      <c r="B2373" t="s">
        <v>4611</v>
      </c>
      <c r="D2373" t="s">
        <v>4612</v>
      </c>
      <c r="E2373" t="str">
        <f ca="1">IFERROR(__xludf.DUMMYFUNCTION("GOOGLETRANSLATE(C2373,""es"",""en"")"),"#VALUE!")</f>
        <v>#VALUE!</v>
      </c>
    </row>
    <row r="2374" spans="1:5" ht="13.2" x14ac:dyDescent="0.25">
      <c r="A2374" t="s">
        <v>4613</v>
      </c>
      <c r="B2374" t="s">
        <v>4611</v>
      </c>
      <c r="D2374" t="s">
        <v>4612</v>
      </c>
      <c r="E2374" t="str">
        <f ca="1">IFERROR(__xludf.DUMMYFUNCTION("GOOGLETRANSLATE(C2374,""es"",""en"")"),"#VALUE!")</f>
        <v>#VALUE!</v>
      </c>
    </row>
    <row r="2375" spans="1:5" ht="13.2" x14ac:dyDescent="0.25">
      <c r="A2375" t="s">
        <v>4614</v>
      </c>
      <c r="B2375" t="s">
        <v>4615</v>
      </c>
      <c r="C2375" t="s">
        <v>4616</v>
      </c>
      <c r="D2375" t="str">
        <f ca="1">IFERROR(__xludf.DUMMYFUNCTION("GOOGLETRANSLATE(B2375,""es"",""en"")"),"Bend")</f>
        <v>Bend</v>
      </c>
      <c r="E2375" t="str">
        <f ca="1">IFERROR(__xludf.DUMMYFUNCTION("GOOGLETRANSLATE(C2375,""es"",""en"")"),"Lean, ski ,,,,")</f>
        <v>Lean, ski ,,,,</v>
      </c>
    </row>
    <row r="2376" spans="1:5" ht="13.2" x14ac:dyDescent="0.25">
      <c r="A2376" t="s">
        <v>4617</v>
      </c>
      <c r="B2376" t="s">
        <v>4618</v>
      </c>
      <c r="D2376" t="str">
        <f ca="1">IFERROR(__xludf.DUMMYFUNCTION("GOOGLETRANSLATE(B2376,""es"",""en"")"),"Lobster")</f>
        <v>Lobster</v>
      </c>
      <c r="E2376" t="str">
        <f ca="1">IFERROR(__xludf.DUMMYFUNCTION("GOOGLETRANSLATE(C2376,""es"",""en"")"),"#VALUE!")</f>
        <v>#VALUE!</v>
      </c>
    </row>
    <row r="2377" spans="1:5" ht="13.2" x14ac:dyDescent="0.25">
      <c r="A2377" t="s">
        <v>4619</v>
      </c>
      <c r="B2377" t="s">
        <v>4620</v>
      </c>
      <c r="C2377" t="s">
        <v>4621</v>
      </c>
      <c r="D2377" t="str">
        <f ca="1">IFERROR(__xludf.DUMMYFUNCTION("GOOGLETRANSLATE(B2377,""es"",""en"")"),"Size")</f>
        <v>Size</v>
      </c>
      <c r="E2377" t="str">
        <f ca="1">IFERROR(__xludf.DUMMYFUNCTION("GOOGLETRANSLATE(C2377,""es"",""en"")"),"Grow, enlarge ,,,,")</f>
        <v>Grow, enlarge ,,,,</v>
      </c>
    </row>
    <row r="2378" spans="1:5" ht="13.2" x14ac:dyDescent="0.25">
      <c r="A2378" t="s">
        <v>694</v>
      </c>
      <c r="B2378" t="s">
        <v>4622</v>
      </c>
      <c r="C2378" t="s">
        <v>4623</v>
      </c>
      <c r="D2378" t="str">
        <f ca="1">IFERROR(__xludf.DUMMYFUNCTION("GOOGLETRANSLATE(B2378,""es"",""en"")"),"Big")</f>
        <v>Big</v>
      </c>
      <c r="E2378" t="str">
        <f ca="1">IFERROR(__xludf.DUMMYFUNCTION("GOOGLETRANSLATE(C2378,""es"",""en"")"),"Chief, Guide ,,,")</f>
        <v>Chief, Guide ,,,</v>
      </c>
    </row>
    <row r="2379" spans="1:5" ht="13.2" x14ac:dyDescent="0.25">
      <c r="A2379" t="s">
        <v>2732</v>
      </c>
      <c r="B2379" t="s">
        <v>2729</v>
      </c>
      <c r="C2379" t="s">
        <v>4624</v>
      </c>
      <c r="D2379" t="str">
        <f ca="1">IFERROR(__xludf.DUMMYFUNCTION("GOOGLETRANSLATE(B2379,""es"",""en"")"),"Wrinkled")</f>
        <v>Wrinkled</v>
      </c>
      <c r="E2379" t="str">
        <f ca="1">IFERROR(__xludf.DUMMYFUNCTION("GOOGLETRANSLATE(C2379,""es"",""en"")"),"Ajado ,,,,")</f>
        <v>Ajado ,,,,</v>
      </c>
    </row>
    <row r="2380" spans="1:5" ht="13.2" x14ac:dyDescent="0.25">
      <c r="A2380" t="s">
        <v>4625</v>
      </c>
      <c r="B2380" t="s">
        <v>4626</v>
      </c>
      <c r="C2380" t="s">
        <v>4627</v>
      </c>
      <c r="D2380" t="str">
        <f ca="1">IFERROR(__xludf.DUMMYFUNCTION("GOOGLETRANSLATE(B2380,""es"",""en"")"),"return")</f>
        <v>return</v>
      </c>
      <c r="E2380" t="str">
        <f ca="1">IFERROR(__xludf.DUMMYFUNCTION("GOOGLETRANSLATE(C2380,""es"",""en"")"),"Return, return, turn ,,")</f>
        <v>Return, return, turn ,,</v>
      </c>
    </row>
    <row r="2381" spans="1:5" ht="13.2" x14ac:dyDescent="0.25">
      <c r="A2381" t="s">
        <v>2728</v>
      </c>
      <c r="B2381" t="s">
        <v>2729</v>
      </c>
      <c r="C2381" t="s">
        <v>4624</v>
      </c>
      <c r="D2381" t="str">
        <f ca="1">IFERROR(__xludf.DUMMYFUNCTION("GOOGLETRANSLATE(B2381,""es"",""en"")"),"Wrinkled")</f>
        <v>Wrinkled</v>
      </c>
      <c r="E2381" t="str">
        <f ca="1">IFERROR(__xludf.DUMMYFUNCTION("GOOGLETRANSLATE(C2381,""es"",""en"")"),"Ajado ,,,,")</f>
        <v>Ajado ,,,,</v>
      </c>
    </row>
    <row r="2382" spans="1:5" ht="13.2" x14ac:dyDescent="0.25">
      <c r="A2382" t="s">
        <v>2731</v>
      </c>
      <c r="B2382" t="s">
        <v>2729</v>
      </c>
      <c r="C2382" t="s">
        <v>4624</v>
      </c>
      <c r="D2382" t="str">
        <f ca="1">IFERROR(__xludf.DUMMYFUNCTION("GOOGLETRANSLATE(B2382,""es"",""en"")"),"Wrinkled")</f>
        <v>Wrinkled</v>
      </c>
      <c r="E2382" t="str">
        <f ca="1">IFERROR(__xludf.DUMMYFUNCTION("GOOGLETRANSLATE(C2382,""es"",""en"")"),"Ajado ,,,,")</f>
        <v>Ajado ,,,,</v>
      </c>
    </row>
    <row r="2383" spans="1:5" ht="13.2" x14ac:dyDescent="0.25">
      <c r="A2383" t="s">
        <v>4628</v>
      </c>
      <c r="B2383" t="s">
        <v>4629</v>
      </c>
      <c r="D2383" t="str">
        <f ca="1">IFERROR(__xludf.DUMMYFUNCTION("GOOGLETRANSLATE(B2383,""es"",""en"")"),"Cocuyo")</f>
        <v>Cocuyo</v>
      </c>
      <c r="E2383" t="str">
        <f ca="1">IFERROR(__xludf.DUMMYFUNCTION("GOOGLETRANSLATE(C2383,""es"",""en"")"),"#VALUE!")</f>
        <v>#VALUE!</v>
      </c>
    </row>
    <row r="2384" spans="1:5" ht="13.2" x14ac:dyDescent="0.25">
      <c r="A2384" t="s">
        <v>1398</v>
      </c>
      <c r="B2384" t="s">
        <v>1397</v>
      </c>
      <c r="D2384" t="s">
        <v>4630</v>
      </c>
      <c r="E2384" t="str">
        <f ca="1">IFERROR(__xludf.DUMMYFUNCTION("GOOGLETRANSLATE(C2384,""es"",""en"")"),"#VALUE!")</f>
        <v>#VALUE!</v>
      </c>
    </row>
    <row r="2385" spans="1:5" ht="13.2" x14ac:dyDescent="0.25">
      <c r="A2385" t="s">
        <v>1396</v>
      </c>
      <c r="B2385" t="s">
        <v>4631</v>
      </c>
      <c r="D2385" t="str">
        <f ca="1">IFERROR(__xludf.DUMMYFUNCTION("GOOGLETRANSLATE(B2385,""es"",""en"")"),"Handkerchief")</f>
        <v>Handkerchief</v>
      </c>
      <c r="E2385" t="str">
        <f ca="1">IFERROR(__xludf.DUMMYFUNCTION("GOOGLETRANSLATE(C2385,""es"",""en"")"),"#VALUE!")</f>
        <v>#VALUE!</v>
      </c>
    </row>
    <row r="2386" spans="1:5" ht="13.2" x14ac:dyDescent="0.25">
      <c r="A2386" t="s">
        <v>4632</v>
      </c>
      <c r="B2386" t="s">
        <v>4633</v>
      </c>
      <c r="D2386" t="str">
        <f ca="1">IFERROR(__xludf.DUMMYFUNCTION("GOOGLETRANSLATE(B2386,""es"",""en"")"),"To flourish")</f>
        <v>To flourish</v>
      </c>
      <c r="E2386" t="str">
        <f ca="1">IFERROR(__xludf.DUMMYFUNCTION("GOOGLETRANSLATE(C2386,""es"",""en"")"),"#VALUE!")</f>
        <v>#VALUE!</v>
      </c>
    </row>
    <row r="2387" spans="1:5" ht="13.2" x14ac:dyDescent="0.25">
      <c r="A2387" t="s">
        <v>4634</v>
      </c>
      <c r="B2387" t="s">
        <v>4635</v>
      </c>
      <c r="C2387" t="s">
        <v>4636</v>
      </c>
      <c r="D2387" t="str">
        <f ca="1">IFERROR(__xludf.DUMMYFUNCTION("GOOGLETRANSLATE(B2387,""es"",""en"")"),"Learn")</f>
        <v>Learn</v>
      </c>
      <c r="E2387" t="str">
        <f ca="1">IFERROR(__xludf.DUMMYFUNCTION("GOOGLETRANSLATE(C2387,""es"",""en"")"),"instruct, educate ,,,,")</f>
        <v>instruct, educate ,,,,</v>
      </c>
    </row>
    <row r="2388" spans="1:5" ht="13.2" x14ac:dyDescent="0.25">
      <c r="A2388" t="s">
        <v>1546</v>
      </c>
      <c r="B2388" t="s">
        <v>4637</v>
      </c>
      <c r="D2388" t="s">
        <v>4638</v>
      </c>
      <c r="E2388" t="str">
        <f ca="1">IFERROR(__xludf.DUMMYFUNCTION("GOOGLETRANSLATE(C2388,""es"",""en"")"),"#VALUE!")</f>
        <v>#VALUE!</v>
      </c>
    </row>
    <row r="2389" spans="1:5" ht="13.2" x14ac:dyDescent="0.25">
      <c r="A2389" t="s">
        <v>1520</v>
      </c>
      <c r="B2389" t="s">
        <v>4637</v>
      </c>
      <c r="D2389" t="s">
        <v>4638</v>
      </c>
      <c r="E2389" t="str">
        <f ca="1">IFERROR(__xludf.DUMMYFUNCTION("GOOGLETRANSLATE(C2389,""es"",""en"")"),"#VALUE!")</f>
        <v>#VALUE!</v>
      </c>
    </row>
    <row r="2390" spans="1:5" ht="13.2" x14ac:dyDescent="0.25">
      <c r="A2390" t="s">
        <v>4639</v>
      </c>
      <c r="B2390" t="s">
        <v>4640</v>
      </c>
      <c r="D2390" t="str">
        <f ca="1">IFERROR(__xludf.DUMMYFUNCTION("GOOGLETRANSLATE(B2390,""es"",""en"")"),"Twenty")</f>
        <v>Twenty</v>
      </c>
      <c r="E2390" t="str">
        <f ca="1">IFERROR(__xludf.DUMMYFUNCTION("GOOGLETRANSLATE(C2390,""es"",""en"")"),"#VALUE!")</f>
        <v>#VALUE!</v>
      </c>
    </row>
    <row r="2391" spans="1:5" ht="13.2" x14ac:dyDescent="0.25">
      <c r="A2391" t="s">
        <v>4641</v>
      </c>
      <c r="B2391" t="s">
        <v>4642</v>
      </c>
      <c r="C2391" t="s">
        <v>4643</v>
      </c>
      <c r="D2391" t="str">
        <f ca="1">IFERROR(__xludf.DUMMYFUNCTION("GOOGLETRANSLATE(B2391,""es"",""en"")"),"Get down")</f>
        <v>Get down</v>
      </c>
      <c r="E2391" t="str">
        <f ca="1">IFERROR(__xludf.DUMMYFUNCTION("GOOGLETRANSLATE(C2391,""es"",""en"")"),"descend ,,,,")</f>
        <v>descend ,,,,</v>
      </c>
    </row>
    <row r="2392" spans="1:5" ht="13.2" x14ac:dyDescent="0.25">
      <c r="A2392" t="s">
        <v>4644</v>
      </c>
      <c r="B2392" t="s">
        <v>4640</v>
      </c>
      <c r="D2392" t="str">
        <f ca="1">IFERROR(__xludf.DUMMYFUNCTION("GOOGLETRANSLATE(B2392,""es"",""en"")"),"Twenty")</f>
        <v>Twenty</v>
      </c>
      <c r="E2392" t="str">
        <f ca="1">IFERROR(__xludf.DUMMYFUNCTION("GOOGLETRANSLATE(C2392,""es"",""en"")"),"#VALUE!")</f>
        <v>#VALUE!</v>
      </c>
    </row>
    <row r="2393" spans="1:5" ht="13.2" x14ac:dyDescent="0.25">
      <c r="A2393" t="s">
        <v>1667</v>
      </c>
      <c r="B2393" t="s">
        <v>1665</v>
      </c>
      <c r="D2393" t="str">
        <f ca="1">IFERROR(__xludf.DUMMYFUNCTION("GOOGLETRANSLATE(B2393,""es"",""en"")"),"Sweep")</f>
        <v>Sweep</v>
      </c>
      <c r="E2393" t="str">
        <f ca="1">IFERROR(__xludf.DUMMYFUNCTION("GOOGLETRANSLATE(C2393,""es"",""en"")"),"#VALUE!")</f>
        <v>#VALUE!</v>
      </c>
    </row>
    <row r="2394" spans="1:5" ht="13.2" x14ac:dyDescent="0.25">
      <c r="A2394" t="s">
        <v>1668</v>
      </c>
      <c r="B2394" t="s">
        <v>1665</v>
      </c>
      <c r="D2394" t="str">
        <f ca="1">IFERROR(__xludf.DUMMYFUNCTION("GOOGLETRANSLATE(B2394,""es"",""en"")"),"Sweep")</f>
        <v>Sweep</v>
      </c>
      <c r="E2394" t="str">
        <f ca="1">IFERROR(__xludf.DUMMYFUNCTION("GOOGLETRANSLATE(C2394,""es"",""en"")"),"#VALUE!")</f>
        <v>#VALUE!</v>
      </c>
    </row>
    <row r="2395" spans="1:5" ht="13.2" x14ac:dyDescent="0.25">
      <c r="A2395" t="s">
        <v>1664</v>
      </c>
      <c r="B2395" t="s">
        <v>1665</v>
      </c>
      <c r="D2395" t="str">
        <f ca="1">IFERROR(__xludf.DUMMYFUNCTION("GOOGLETRANSLATE(B2395,""es"",""en"")"),"Sweep")</f>
        <v>Sweep</v>
      </c>
      <c r="E2395" t="str">
        <f ca="1">IFERROR(__xludf.DUMMYFUNCTION("GOOGLETRANSLATE(C2395,""es"",""en"")"),"#VALUE!")</f>
        <v>#VALUE!</v>
      </c>
    </row>
    <row r="2396" spans="1:5" ht="13.2" x14ac:dyDescent="0.25">
      <c r="A2396" t="s">
        <v>577</v>
      </c>
      <c r="B2396" t="s">
        <v>575</v>
      </c>
      <c r="C2396" t="s">
        <v>4645</v>
      </c>
      <c r="D2396" t="str">
        <f ca="1">IFERROR(__xludf.DUMMYFUNCTION("GOOGLETRANSLATE(B2396,""es"",""en"")"),"Trash")</f>
        <v>Trash</v>
      </c>
      <c r="E2396" t="str">
        <f ca="1">IFERROR(__xludf.DUMMYFUNCTION("GOOGLETRANSLATE(C2396,""es"",""en"")"),"Waste, leftover ,,,")</f>
        <v>Waste, leftover ,,,</v>
      </c>
    </row>
    <row r="2397" spans="1:5" ht="13.2" x14ac:dyDescent="0.25">
      <c r="A2397" t="s">
        <v>574</v>
      </c>
      <c r="B2397" t="s">
        <v>575</v>
      </c>
      <c r="C2397" t="s">
        <v>4646</v>
      </c>
      <c r="D2397" t="str">
        <f ca="1">IFERROR(__xludf.DUMMYFUNCTION("GOOGLETRANSLATE(B2397,""es"",""en"")"),"Trash")</f>
        <v>Trash</v>
      </c>
      <c r="E2397" t="str">
        <f ca="1">IFERROR(__xludf.DUMMYFUNCTION("GOOGLETRANSLATE(C2397,""es"",""en"")"),"Waste ,,,,")</f>
        <v>Waste ,,,,</v>
      </c>
    </row>
    <row r="2398" spans="1:5" ht="13.2" x14ac:dyDescent="0.25">
      <c r="A2398" t="s">
        <v>1668</v>
      </c>
      <c r="B2398" t="s">
        <v>1665</v>
      </c>
      <c r="D2398" t="str">
        <f ca="1">IFERROR(__xludf.DUMMYFUNCTION("GOOGLETRANSLATE(B2398,""es"",""en"")"),"Sweep")</f>
        <v>Sweep</v>
      </c>
      <c r="E2398" t="str">
        <f ca="1">IFERROR(__xludf.DUMMYFUNCTION("GOOGLETRANSLATE(C2398,""es"",""en"")"),"#VALUE!")</f>
        <v>#VALUE!</v>
      </c>
    </row>
    <row r="2399" spans="1:5" ht="13.2" x14ac:dyDescent="0.25">
      <c r="A2399" t="s">
        <v>1667</v>
      </c>
      <c r="B2399" t="s">
        <v>1665</v>
      </c>
      <c r="D2399" t="str">
        <f ca="1">IFERROR(__xludf.DUMMYFUNCTION("GOOGLETRANSLATE(B2399,""es"",""en"")"),"Sweep")</f>
        <v>Sweep</v>
      </c>
      <c r="E2399" t="str">
        <f ca="1">IFERROR(__xludf.DUMMYFUNCTION("GOOGLETRANSLATE(C2399,""es"",""en"")"),"#VALUE!")</f>
        <v>#VALUE!</v>
      </c>
    </row>
    <row r="2400" spans="1:5" ht="13.2" x14ac:dyDescent="0.25">
      <c r="A2400" t="s">
        <v>4647</v>
      </c>
      <c r="B2400" t="s">
        <v>4648</v>
      </c>
      <c r="C2400" t="s">
        <v>4649</v>
      </c>
      <c r="D2400" t="str">
        <f ca="1">IFERROR(__xludf.DUMMYFUNCTION("GOOGLETRANSLATE(B2400,""es"",""en"")"),"PAPERA")</f>
        <v>PAPERA</v>
      </c>
      <c r="E2400" t="str">
        <f ca="1">IFERROR(__xludf.DUMMYFUNCTION("GOOGLETRANSLATE(C2400,""es"",""en"")"),"Papo ,,,,")</f>
        <v>Papo ,,,,</v>
      </c>
    </row>
    <row r="2401" spans="1:5" ht="13.2" x14ac:dyDescent="0.25">
      <c r="A2401" t="s">
        <v>4650</v>
      </c>
      <c r="B2401" t="s">
        <v>4651</v>
      </c>
      <c r="D2401" t="str">
        <f ca="1">IFERROR(__xludf.DUMMYFUNCTION("GOOGLETRANSLATE(B2401,""es"",""en"")"),"ABSSE")</f>
        <v>ABSSE</v>
      </c>
      <c r="E2401" t="str">
        <f ca="1">IFERROR(__xludf.DUMMYFUNCTION("GOOGLETRANSLATE(C2401,""es"",""en"")"),"#VALUE!")</f>
        <v>#VALUE!</v>
      </c>
    </row>
    <row r="2402" spans="1:5" ht="13.2" x14ac:dyDescent="0.25">
      <c r="A2402" t="s">
        <v>4652</v>
      </c>
      <c r="B2402" t="s">
        <v>4653</v>
      </c>
      <c r="C2402" t="s">
        <v>4654</v>
      </c>
      <c r="D2402" t="str">
        <f ca="1">IFERROR(__xludf.DUMMYFUNCTION("GOOGLETRANSLATE(B2402,""es"",""en"")"),"Abambado")</f>
        <v>Abambado</v>
      </c>
      <c r="E2402" t="str">
        <f ca="1">IFERROR(__xludf.DUMMYFUNCTION("GOOGLETRANSLATE(C2402,""es"",""en"")"),"arched ,,,,")</f>
        <v>arched ,,,,</v>
      </c>
    </row>
    <row r="2403" spans="1:5" ht="13.2" x14ac:dyDescent="0.25">
      <c r="A2403" t="s">
        <v>4655</v>
      </c>
      <c r="B2403" t="s">
        <v>4656</v>
      </c>
      <c r="C2403" t="s">
        <v>4657</v>
      </c>
      <c r="D2403" t="str">
        <f ca="1">IFERROR(__xludf.DUMMYFUNCTION("GOOGLETRANSLATE(B2403,""es"",""en"")"),"Pole")</f>
        <v>Pole</v>
      </c>
      <c r="E2403" t="str">
        <f ca="1">IFERROR(__xludf.DUMMYFUNCTION("GOOGLETRANSLATE(C2403,""es"",""en"")"),"lever, stick to move Cayuco ,,,")</f>
        <v>lever, stick to move Cayuco ,,,</v>
      </c>
    </row>
    <row r="2404" spans="1:5" ht="13.2" x14ac:dyDescent="0.25">
      <c r="A2404" t="s">
        <v>4658</v>
      </c>
      <c r="B2404" t="s">
        <v>4659</v>
      </c>
      <c r="D2404" t="str">
        <f ca="1">IFERROR(__xludf.DUMMYFUNCTION("GOOGLETRANSLATE(B2404,""es"",""en"")"),"Green fruit")</f>
        <v>Green fruit</v>
      </c>
      <c r="E2404" t="str">
        <f ca="1">IFERROR(__xludf.DUMMYFUNCTION("GOOGLETRANSLATE(C2404,""es"",""en"")"),"#VALUE!")</f>
        <v>#VALUE!</v>
      </c>
    </row>
    <row r="2405" spans="1:5" ht="13.2" x14ac:dyDescent="0.25">
      <c r="A2405" t="s">
        <v>4660</v>
      </c>
      <c r="B2405" t="s">
        <v>4661</v>
      </c>
      <c r="D2405" t="str">
        <f ca="1">IFERROR(__xludf.DUMMYFUNCTION("GOOGLETRANSLATE(B2405,""es"",""en"")"),"His")</f>
        <v>His</v>
      </c>
      <c r="E2405" t="str">
        <f ca="1">IFERROR(__xludf.DUMMYFUNCTION("GOOGLETRANSLATE(C2405,""es"",""en"")"),"#VALUE!")</f>
        <v>#VALUE!</v>
      </c>
    </row>
    <row r="2406" spans="1:5" ht="13.2" x14ac:dyDescent="0.25">
      <c r="A2406" t="s">
        <v>4662</v>
      </c>
      <c r="B2406" t="s">
        <v>4663</v>
      </c>
      <c r="C2406" t="s">
        <v>4664</v>
      </c>
      <c r="D2406" t="str">
        <f ca="1">IFERROR(__xludf.DUMMYFUNCTION("GOOGLETRANSLATE(B2406,""es"",""en"")"),"Dismantle")</f>
        <v>Dismantle</v>
      </c>
      <c r="E2406" t="str">
        <f ca="1">IFERROR(__xludf.DUMMYFUNCTION("GOOGLETRANSLATE(C2406,""es"",""en"")"),"undo, demolish ,,,,")</f>
        <v>undo, demolish ,,,,</v>
      </c>
    </row>
    <row r="2407" spans="1:5" ht="13.2" x14ac:dyDescent="0.25">
      <c r="A2407" t="s">
        <v>4665</v>
      </c>
      <c r="B2407" t="s">
        <v>4666</v>
      </c>
      <c r="D2407" t="str">
        <f ca="1">IFERROR(__xludf.DUMMYFUNCTION("GOOGLETRANSLATE(B2407,""es"",""en"")"),"Unroll")</f>
        <v>Unroll</v>
      </c>
      <c r="E2407" t="str">
        <f ca="1">IFERROR(__xludf.DUMMYFUNCTION("GOOGLETRANSLATE(C2407,""es"",""en"")"),"#VALUE!")</f>
        <v>#VALUE!</v>
      </c>
    </row>
    <row r="2408" spans="1:5" ht="13.2" x14ac:dyDescent="0.25">
      <c r="A2408" t="s">
        <v>4667</v>
      </c>
      <c r="B2408" t="s">
        <v>4668</v>
      </c>
      <c r="C2408" t="s">
        <v>4669</v>
      </c>
      <c r="D2408" t="str">
        <f ca="1">IFERROR(__xludf.DUMMYFUNCTION("GOOGLETRANSLATE(B2408,""es"",""en"")"),"Roll up")</f>
        <v>Roll up</v>
      </c>
      <c r="E2408" t="str">
        <f ca="1">IFERROR(__xludf.DUMMYFUNCTION("GOOGLETRANSLATE(C2408,""es"",""en"")"),"Watch ,,,,")</f>
        <v>Watch ,,,,</v>
      </c>
    </row>
    <row r="2409" spans="1:5" ht="13.2" x14ac:dyDescent="0.25">
      <c r="A2409" t="s">
        <v>4670</v>
      </c>
      <c r="B2409" t="s">
        <v>4671</v>
      </c>
      <c r="D2409" t="str">
        <f ca="1">IFERROR(__xludf.DUMMYFUNCTION("GOOGLETRANSLATE(B2409,""es"",""en"")"),"Long time")</f>
        <v>Long time</v>
      </c>
      <c r="E2409" t="str">
        <f ca="1">IFERROR(__xludf.DUMMYFUNCTION("GOOGLETRANSLATE(C2409,""es"",""en"")"),"#VALUE!")</f>
        <v>#VALUE!</v>
      </c>
    </row>
    <row r="2410" spans="1:5" ht="13.2" x14ac:dyDescent="0.25">
      <c r="A2410" t="s">
        <v>4672</v>
      </c>
      <c r="B2410" t="s">
        <v>4671</v>
      </c>
      <c r="D2410" t="str">
        <f ca="1">IFERROR(__xludf.DUMMYFUNCTION("GOOGLETRANSLATE(B2410,""es"",""en"")"),"Long time")</f>
        <v>Long time</v>
      </c>
      <c r="E2410" t="str">
        <f ca="1">IFERROR(__xludf.DUMMYFUNCTION("GOOGLETRANSLATE(C2410,""es"",""en"")"),"#VALUE!")</f>
        <v>#VALUE!</v>
      </c>
    </row>
    <row r="2411" spans="1:5" ht="13.2" x14ac:dyDescent="0.25">
      <c r="A2411" t="s">
        <v>4673</v>
      </c>
      <c r="B2411" t="s">
        <v>4674</v>
      </c>
      <c r="C2411" t="s">
        <v>4675</v>
      </c>
      <c r="D2411" t="str">
        <f ca="1">IFERROR(__xludf.DUMMYFUNCTION("GOOGLETRANSLATE(B2411,""es"",""en"")"),"Drag")</f>
        <v>Drag</v>
      </c>
      <c r="E2411" t="str">
        <f ca="1">IFERROR(__xludf.DUMMYFUNCTION("GOOGLETRANSLATE(C2411,""es"",""en"")"),"Throw away,")</f>
        <v>Throw away,</v>
      </c>
    </row>
    <row r="2412" spans="1:5" ht="13.2" x14ac:dyDescent="0.25">
      <c r="A2412" t="s">
        <v>4676</v>
      </c>
      <c r="B2412" t="s">
        <v>4677</v>
      </c>
      <c r="C2412" t="s">
        <v>4678</v>
      </c>
      <c r="D2412" t="str">
        <f ca="1">IFERROR(__xludf.DUMMYFUNCTION("GOOGLETRANSLATE(B2412,""es"",""en"")"),"Pull")</f>
        <v>Pull</v>
      </c>
      <c r="E2412" t="str">
        <f ca="1">IFERROR(__xludf.DUMMYFUNCTION("GOOGLETRANSLATE(C2412,""es"",""en"")"),"throw away ,,,,,")</f>
        <v>throw away ,,,,,</v>
      </c>
    </row>
    <row r="2413" spans="1:5" ht="13.2" x14ac:dyDescent="0.25">
      <c r="A2413" t="s">
        <v>4679</v>
      </c>
      <c r="B2413" t="s">
        <v>4680</v>
      </c>
      <c r="C2413" t="s">
        <v>4681</v>
      </c>
      <c r="D2413" t="str">
        <f ca="1">IFERROR(__xludf.DUMMYFUNCTION("GOOGLETRANSLATE(B2413,""es"",""en"")"),"Scratch")</f>
        <v>Scratch</v>
      </c>
      <c r="E2413" t="str">
        <f ca="1">IFERROR(__xludf.DUMMYFUNCTION("GOOGLETRANSLATE(C2413,""es"",""en"")"),"Sharpen, , , ,")</f>
        <v>Sharpen, , , ,</v>
      </c>
    </row>
    <row r="2414" spans="1:5" ht="13.2" x14ac:dyDescent="0.25">
      <c r="A2414" t="s">
        <v>3084</v>
      </c>
      <c r="B2414" t="s">
        <v>4682</v>
      </c>
      <c r="C2414" t="s">
        <v>4683</v>
      </c>
      <c r="D2414" t="str">
        <f ca="1">IFERROR(__xludf.DUMMYFUNCTION("GOOGLETRANSLATE(B2414,""es"",""en"")"),"heavy")</f>
        <v>heavy</v>
      </c>
      <c r="E2414" t="str">
        <f ca="1">IFERROR(__xludf.DUMMYFUNCTION("GOOGLETRANSLATE(C2414,""es"",""en"")"),"solid, , , ,")</f>
        <v>solid, , , ,</v>
      </c>
    </row>
    <row r="2415" spans="1:5" ht="13.2" x14ac:dyDescent="0.25">
      <c r="A2415" t="s">
        <v>877</v>
      </c>
      <c r="B2415" t="s">
        <v>875</v>
      </c>
      <c r="C2415" t="s">
        <v>4684</v>
      </c>
      <c r="D2415" t="str">
        <f ca="1">IFERROR(__xludf.DUMMYFUNCTION("GOOGLETRANSLATE(B2415,""es"",""en"")"),"Remember")</f>
        <v>Remember</v>
      </c>
      <c r="E2415" t="str">
        <f ca="1">IFERROR(__xludf.DUMMYFUNCTION("GOOGLETRANSLATE(C2415,""es"",""en"")"),"remember, commemorate ,,,,")</f>
        <v>remember, commemorate ,,,,</v>
      </c>
    </row>
    <row r="2416" spans="1:5" ht="13.2" x14ac:dyDescent="0.25">
      <c r="A2416" t="s">
        <v>874</v>
      </c>
      <c r="B2416" t="s">
        <v>875</v>
      </c>
      <c r="C2416" t="s">
        <v>4685</v>
      </c>
      <c r="D2416" t="str">
        <f ca="1">IFERROR(__xludf.DUMMYFUNCTION("GOOGLETRANSLATE(B2416,""es"",""en"")"),"Remember")</f>
        <v>Remember</v>
      </c>
      <c r="E2416" t="str">
        <f ca="1">IFERROR(__xludf.DUMMYFUNCTION("GOOGLETRANSLATE(C2416,""es"",""en"")"),"remember, commemorate ,,,,")</f>
        <v>remember, commemorate ,,,,</v>
      </c>
    </row>
    <row r="2417" spans="1:5" ht="13.2" x14ac:dyDescent="0.25">
      <c r="A2417" t="s">
        <v>4686</v>
      </c>
      <c r="B2417" t="s">
        <v>4687</v>
      </c>
      <c r="C2417" t="s">
        <v>4688</v>
      </c>
      <c r="D2417" t="str">
        <f ca="1">IFERROR(__xludf.DUMMYFUNCTION("GOOGLETRANSLATE(B2417,""es"",""en"")"),"surround")</f>
        <v>surround</v>
      </c>
      <c r="E2417" t="str">
        <f ca="1">IFERROR(__xludf.DUMMYFUNCTION("GOOGLETRANSLATE(C2417,""es"",""en"")"),"Ring, fence, besiege ,,,")</f>
        <v>Ring, fence, besiege ,,,</v>
      </c>
    </row>
    <row r="2418" spans="1:5" ht="13.2" x14ac:dyDescent="0.25">
      <c r="A2418" t="s">
        <v>4689</v>
      </c>
      <c r="B2418" t="s">
        <v>4690</v>
      </c>
      <c r="C2418" t="s">
        <v>4691</v>
      </c>
      <c r="D2418" t="str">
        <f ca="1">IFERROR(__xludf.DUMMYFUNCTION("GOOGLETRANSLATE(B2418,""es"",""en"")"),"Count")</f>
        <v>Count</v>
      </c>
      <c r="E2418" t="str">
        <f ca="1">IFERROR(__xludf.DUMMYFUNCTION("GOOGLETRANSLATE(C2418,""es"",""en"")"),"List ,,,,")</f>
        <v>List ,,,,</v>
      </c>
    </row>
    <row r="2419" spans="1:5" ht="13.2" x14ac:dyDescent="0.25">
      <c r="A2419" t="s">
        <v>4692</v>
      </c>
      <c r="B2419" t="s">
        <v>4693</v>
      </c>
      <c r="C2419" t="s">
        <v>4694</v>
      </c>
      <c r="D2419" t="str">
        <f ca="1">IFERROR(__xludf.DUMMYFUNCTION("GOOGLETRANSLATE(B2419,""es"",""en"")"),"Together both")</f>
        <v>Together both</v>
      </c>
      <c r="E2419" t="str">
        <f ca="1">IFERROR(__xludf.DUMMYFUNCTION("GOOGLETRANSLATE(C2419,""es"",""en"")"),"in pair, rigged ,,,,")</f>
        <v>in pair, rigged ,,,,</v>
      </c>
    </row>
    <row r="2420" spans="1:5" ht="13.2" x14ac:dyDescent="0.25">
      <c r="A2420" t="s">
        <v>4695</v>
      </c>
      <c r="B2420" t="s">
        <v>4693</v>
      </c>
      <c r="C2420" t="s">
        <v>4696</v>
      </c>
      <c r="D2420" t="str">
        <f ca="1">IFERROR(__xludf.DUMMYFUNCTION("GOOGLETRANSLATE(B2420,""es"",""en"")"),"Together both")</f>
        <v>Together both</v>
      </c>
      <c r="E2420" t="str">
        <f ca="1">IFERROR(__xludf.DUMMYFUNCTION("GOOGLETRANSLATE(C2420,""es"",""en"")"),"in pair, place ,,,,")</f>
        <v>in pair, place ,,,,</v>
      </c>
    </row>
    <row r="2421" spans="1:5" ht="13.2" x14ac:dyDescent="0.25">
      <c r="A2421" t="s">
        <v>4697</v>
      </c>
      <c r="B2421" t="s">
        <v>4698</v>
      </c>
      <c r="C2421" t="s">
        <v>4699</v>
      </c>
      <c r="D2421" t="str">
        <f ca="1">IFERROR(__xludf.DUMMYFUNCTION("GOOGLETRANSLATE(B2421,""es"",""en"")"),"Tap")</f>
        <v>Tap</v>
      </c>
      <c r="E2421" t="str">
        <f ca="1">IFERROR(__xludf.DUMMYFUNCTION("GOOGLETRANSLATE(C2421,""es"",""en"")"),"manipulate, handle, use ,,,")</f>
        <v>manipulate, handle, use ,,,</v>
      </c>
    </row>
    <row r="2422" spans="1:5" ht="13.2" x14ac:dyDescent="0.25">
      <c r="A2422" t="s">
        <v>3747</v>
      </c>
      <c r="B2422" t="s">
        <v>3695</v>
      </c>
      <c r="C2422" t="s">
        <v>4700</v>
      </c>
      <c r="D2422" t="str">
        <f ca="1">IFERROR(__xludf.DUMMYFUNCTION("GOOGLETRANSLATE(B2422,""es"",""en"")"),"Wait")</f>
        <v>Wait</v>
      </c>
      <c r="E2422" t="str">
        <f ca="1">IFERROR(__xludf.DUMMYFUNCTION("GOOGLETRANSLATE(C2422,""es"",""en"")"),"APARARDAR ,,,,")</f>
        <v>APARARDAR ,,,,</v>
      </c>
    </row>
    <row r="2423" spans="1:5" ht="13.2" x14ac:dyDescent="0.25">
      <c r="A2423" t="s">
        <v>3694</v>
      </c>
      <c r="B2423" t="s">
        <v>3695</v>
      </c>
      <c r="C2423" t="s">
        <v>4700</v>
      </c>
      <c r="D2423" t="str">
        <f ca="1">IFERROR(__xludf.DUMMYFUNCTION("GOOGLETRANSLATE(B2423,""es"",""en"")"),"Wait")</f>
        <v>Wait</v>
      </c>
      <c r="E2423" t="str">
        <f ca="1">IFERROR(__xludf.DUMMYFUNCTION("GOOGLETRANSLATE(C2423,""es"",""en"")"),"APARARDAR ,,,,")</f>
        <v>APARARDAR ,,,,</v>
      </c>
    </row>
    <row r="2424" spans="1:5" ht="13.2" x14ac:dyDescent="0.25">
      <c r="A2424" t="s">
        <v>3715</v>
      </c>
      <c r="B2424" t="s">
        <v>3695</v>
      </c>
      <c r="C2424" t="s">
        <v>4700</v>
      </c>
      <c r="D2424" t="str">
        <f ca="1">IFERROR(__xludf.DUMMYFUNCTION("GOOGLETRANSLATE(B2424,""es"",""en"")"),"Wait")</f>
        <v>Wait</v>
      </c>
      <c r="E2424" t="str">
        <f ca="1">IFERROR(__xludf.DUMMYFUNCTION("GOOGLETRANSLATE(C2424,""es"",""en"")"),"APARARDAR ,,,,")</f>
        <v>APARARDAR ,,,,</v>
      </c>
    </row>
    <row r="2425" spans="1:5" ht="13.2" x14ac:dyDescent="0.25">
      <c r="A2425" t="s">
        <v>2018</v>
      </c>
      <c r="B2425" t="s">
        <v>4134</v>
      </c>
      <c r="D2425" t="str">
        <f ca="1">IFERROR(__xludf.DUMMYFUNCTION("GOOGLETRANSLATE(B2425,""es"",""en"")"),"For something")</f>
        <v>For something</v>
      </c>
      <c r="E2425" t="str">
        <f ca="1">IFERROR(__xludf.DUMMYFUNCTION("GOOGLETRANSLATE(C2425,""es"",""en"")"),"#VALUE!")</f>
        <v>#VALUE!</v>
      </c>
    </row>
    <row r="2426" spans="1:5" ht="13.2" x14ac:dyDescent="0.25">
      <c r="A2426" t="s">
        <v>2018</v>
      </c>
      <c r="B2426" t="s">
        <v>4504</v>
      </c>
      <c r="D2426" t="str">
        <f ca="1">IFERROR(__xludf.DUMMYFUNCTION("GOOGLETRANSLATE(B2426,""es"",""en"")"),"For someone")</f>
        <v>For someone</v>
      </c>
      <c r="E2426" t="str">
        <f ca="1">IFERROR(__xludf.DUMMYFUNCTION("GOOGLETRANSLATE(C2426,""es"",""en"")"),"#VALUE!")</f>
        <v>#VALUE!</v>
      </c>
    </row>
    <row r="2427" spans="1:5" ht="13.2" x14ac:dyDescent="0.25">
      <c r="A2427" t="s">
        <v>3085</v>
      </c>
      <c r="B2427" t="s">
        <v>3082</v>
      </c>
      <c r="D2427" t="str">
        <f ca="1">IFERROR(__xludf.DUMMYFUNCTION("GOOGLETRANSLATE(B2427,""es"",""en"")"),"Heavy")</f>
        <v>Heavy</v>
      </c>
      <c r="E2427" t="str">
        <f ca="1">IFERROR(__xludf.DUMMYFUNCTION("GOOGLETRANSLATE(C2427,""es"",""en"")"),"#VALUE!")</f>
        <v>#VALUE!</v>
      </c>
    </row>
    <row r="2428" spans="1:5" ht="13.2" x14ac:dyDescent="0.25">
      <c r="A2428" t="s">
        <v>2050</v>
      </c>
      <c r="B2428" t="s">
        <v>2048</v>
      </c>
      <c r="C2428" t="s">
        <v>4701</v>
      </c>
      <c r="D2428" t="str">
        <f ca="1">IFERROR(__xludf.DUMMYFUNCTION("GOOGLETRANSLATE(B2428,""es"",""en"")"),"Peel")</f>
        <v>Peel</v>
      </c>
      <c r="E2428" t="str">
        <f ca="1">IFERROR(__xludf.DUMMYFUNCTION("GOOGLETRANSLATE(C2428,""es"",""en"")"),"Remove peel ,,,,,")</f>
        <v>Remove peel ,,,,,</v>
      </c>
    </row>
    <row r="2429" spans="1:5" ht="13.2" x14ac:dyDescent="0.25">
      <c r="A2429" t="s">
        <v>2052</v>
      </c>
      <c r="B2429" t="s">
        <v>2048</v>
      </c>
      <c r="C2429" t="s">
        <v>4702</v>
      </c>
      <c r="D2429" t="str">
        <f ca="1">IFERROR(__xludf.DUMMYFUNCTION("GOOGLETRANSLATE(B2429,""es"",""en"")"),"Peel")</f>
        <v>Peel</v>
      </c>
      <c r="E2429" t="str">
        <f ca="1">IFERROR(__xludf.DUMMYFUNCTION("GOOGLETRANSLATE(C2429,""es"",""en"")"),"Quitr Cáscara ,,,,")</f>
        <v>Quitr Cáscara ,,,,</v>
      </c>
    </row>
    <row r="2430" spans="1:5" ht="13.2" x14ac:dyDescent="0.25">
      <c r="A2430" t="s">
        <v>2047</v>
      </c>
      <c r="B2430" t="s">
        <v>2048</v>
      </c>
      <c r="C2430" t="s">
        <v>4703</v>
      </c>
      <c r="D2430" t="str">
        <f ca="1">IFERROR(__xludf.DUMMYFUNCTION("GOOGLETRANSLATE(B2430,""es"",""en"")"),"Peel")</f>
        <v>Peel</v>
      </c>
      <c r="E2430" t="str">
        <f ca="1">IFERROR(__xludf.DUMMYFUNCTION("GOOGLETRANSLATE(C2430,""es"",""en"")"),"Remove the peel, , , ,")</f>
        <v>Remove the peel, , , ,</v>
      </c>
    </row>
    <row r="2431" spans="1:5" ht="13.2" x14ac:dyDescent="0.25">
      <c r="A2431" t="s">
        <v>4704</v>
      </c>
      <c r="B2431" t="s">
        <v>4705</v>
      </c>
      <c r="C2431" t="s">
        <v>4706</v>
      </c>
      <c r="D2431" t="str">
        <f ca="1">IFERROR(__xludf.DUMMYFUNCTION("GOOGLETRANSLATE(B2431,""es"",""en"")"),"Close")</f>
        <v>Close</v>
      </c>
      <c r="E2431" t="str">
        <f ca="1">IFERROR(__xludf.DUMMYFUNCTION("GOOGLETRANSLATE(C2431,""es"",""en"")"),"Trancar, obstruct ,,,,")</f>
        <v>Trancar, obstruct ,,,,</v>
      </c>
    </row>
    <row r="2432" spans="1:5" ht="13.2" x14ac:dyDescent="0.25">
      <c r="A2432" t="s">
        <v>4707</v>
      </c>
      <c r="B2432" t="s">
        <v>4708</v>
      </c>
      <c r="C2432" t="s">
        <v>4709</v>
      </c>
      <c r="D2432" t="str">
        <f ca="1">IFERROR(__xludf.DUMMYFUNCTION("GOOGLETRANSLATE(B2432,""es"",""en"")"),"Tie up")</f>
        <v>Tie up</v>
      </c>
      <c r="E2432" t="str">
        <f ca="1">IFERROR(__xludf.DUMMYFUNCTION("GOOGLETRANSLATE(C2432,""es"",""en"")"),"Tie, flirt ,,,,")</f>
        <v>Tie, flirt ,,,,</v>
      </c>
    </row>
    <row r="2433" spans="1:5" ht="13.2" x14ac:dyDescent="0.25">
      <c r="A2433" t="s">
        <v>4412</v>
      </c>
      <c r="B2433" t="s">
        <v>3791</v>
      </c>
      <c r="C2433" t="s">
        <v>4710</v>
      </c>
      <c r="D2433" t="str">
        <f ca="1">IFERROR(__xludf.DUMMYFUNCTION("GOOGLETRANSLATE(B2433,""es"",""en"")"),"Far")</f>
        <v>Far</v>
      </c>
      <c r="E2433" t="str">
        <f ca="1">IFERROR(__xludf.DUMMYFUNCTION("GOOGLETRANSLATE(C2433,""es"",""en"")"),"Far, there ,,,,")</f>
        <v>Far, there ,,,,</v>
      </c>
    </row>
    <row r="2434" spans="1:5" ht="13.2" x14ac:dyDescent="0.25">
      <c r="A2434" t="s">
        <v>4407</v>
      </c>
      <c r="B2434" t="s">
        <v>3791</v>
      </c>
      <c r="C2434" t="s">
        <v>4711</v>
      </c>
      <c r="D2434" t="str">
        <f ca="1">IFERROR(__xludf.DUMMYFUNCTION("GOOGLETRANSLATE(B2434,""es"",""en"")"),"Far")</f>
        <v>Far</v>
      </c>
      <c r="E2434" t="str">
        <f ca="1">IFERROR(__xludf.DUMMYFUNCTION("GOOGLETRANSLATE(C2434,""es"",""en"")"),"far, , , ,")</f>
        <v>far, , , ,</v>
      </c>
    </row>
    <row r="2435" spans="1:5" ht="13.2" x14ac:dyDescent="0.25">
      <c r="A2435" t="s">
        <v>4409</v>
      </c>
      <c r="B2435" t="s">
        <v>3791</v>
      </c>
      <c r="C2435" t="s">
        <v>4711</v>
      </c>
      <c r="D2435" t="str">
        <f ca="1">IFERROR(__xludf.DUMMYFUNCTION("GOOGLETRANSLATE(B2435,""es"",""en"")"),"Far")</f>
        <v>Far</v>
      </c>
      <c r="E2435" t="str">
        <f ca="1">IFERROR(__xludf.DUMMYFUNCTION("GOOGLETRANSLATE(C2435,""es"",""en"")"),"far, , , ,")</f>
        <v>far, , , ,</v>
      </c>
    </row>
    <row r="2436" spans="1:5" ht="13.2" x14ac:dyDescent="0.25">
      <c r="A2436" t="s">
        <v>4712</v>
      </c>
      <c r="B2436" t="s">
        <v>4713</v>
      </c>
      <c r="C2436" t="s">
        <v>4714</v>
      </c>
      <c r="D2436" t="str">
        <f ca="1">IFERROR(__xludf.DUMMYFUNCTION("GOOGLETRANSLATE(B2436,""es"",""en"")"),"Cover")</f>
        <v>Cover</v>
      </c>
      <c r="E2436" t="str">
        <f ca="1">IFERROR(__xludf.DUMMYFUNCTION("GOOGLETRANSLATE(C2436,""es"",""en"")"),"Cub, shelter, close ,,")</f>
        <v>Cub, shelter, close ,,</v>
      </c>
    </row>
    <row r="2437" spans="1:5" ht="13.2" x14ac:dyDescent="0.25">
      <c r="A2437" t="s">
        <v>2783</v>
      </c>
      <c r="B2437" t="s">
        <v>2759</v>
      </c>
      <c r="D2437" t="str">
        <f ca="1">IFERROR(__xludf.DUMMYFUNCTION("GOOGLETRANSLATE(B2437,""es"",""en"")"),"Open")</f>
        <v>Open</v>
      </c>
      <c r="E2437" t="str">
        <f ca="1">IFERROR(__xludf.DUMMYFUNCTION("GOOGLETRANSLATE(C2437,""es"",""en"")"),"#VALUE!")</f>
        <v>#VALUE!</v>
      </c>
    </row>
    <row r="2438" spans="1:5" ht="13.2" x14ac:dyDescent="0.25">
      <c r="A2438" t="s">
        <v>3081</v>
      </c>
      <c r="B2438" t="s">
        <v>4682</v>
      </c>
      <c r="C2438" t="s">
        <v>4683</v>
      </c>
      <c r="D2438" t="str">
        <f ca="1">IFERROR(__xludf.DUMMYFUNCTION("GOOGLETRANSLATE(B2438,""es"",""en"")"),"heavy")</f>
        <v>heavy</v>
      </c>
      <c r="E2438" t="str">
        <f ca="1">IFERROR(__xludf.DUMMYFUNCTION("GOOGLETRANSLATE(C2438,""es"",""en"")"),"solid, , , ,")</f>
        <v>solid, , , ,</v>
      </c>
    </row>
    <row r="2439" spans="1:5" ht="13.2" x14ac:dyDescent="0.25">
      <c r="A2439" t="s">
        <v>2805</v>
      </c>
      <c r="B2439" t="s">
        <v>2759</v>
      </c>
      <c r="D2439" t="str">
        <f ca="1">IFERROR(__xludf.DUMMYFUNCTION("GOOGLETRANSLATE(B2439,""es"",""en"")"),"Open")</f>
        <v>Open</v>
      </c>
      <c r="E2439" t="str">
        <f ca="1">IFERROR(__xludf.DUMMYFUNCTION("GOOGLETRANSLATE(C2439,""es"",""en"")"),"#VALUE!")</f>
        <v>#VALUE!</v>
      </c>
    </row>
    <row r="2440" spans="1:5" ht="13.2" x14ac:dyDescent="0.25">
      <c r="A2440" t="s">
        <v>4715</v>
      </c>
      <c r="B2440" t="s">
        <v>2759</v>
      </c>
      <c r="D2440" t="str">
        <f ca="1">IFERROR(__xludf.DUMMYFUNCTION("GOOGLETRANSLATE(B2440,""es"",""en"")"),"Open")</f>
        <v>Open</v>
      </c>
      <c r="E2440" t="str">
        <f ca="1">IFERROR(__xludf.DUMMYFUNCTION("GOOGLETRANSLATE(C2440,""es"",""en"")"),"#VALUE!")</f>
        <v>#VALUE!</v>
      </c>
    </row>
    <row r="2441" spans="1:5" ht="13.2" x14ac:dyDescent="0.25">
      <c r="A2441" t="s">
        <v>4716</v>
      </c>
      <c r="B2441" t="s">
        <v>4717</v>
      </c>
      <c r="C2441" t="s">
        <v>4718</v>
      </c>
      <c r="D2441" t="str">
        <f ca="1">IFERROR(__xludf.DUMMYFUNCTION("GOOGLETRANSLATE(B2441,""es"",""en"")"),"Open")</f>
        <v>Open</v>
      </c>
      <c r="E2441" t="str">
        <f ca="1">IFERROR(__xludf.DUMMYFUNCTION("GOOGLETRANSLATE(C2441,""es"",""en"")"),"leave ,,,,")</f>
        <v>leave ,,,,</v>
      </c>
    </row>
    <row r="2442" spans="1:5" ht="13.2" x14ac:dyDescent="0.25">
      <c r="A2442" t="s">
        <v>668</v>
      </c>
      <c r="B2442" t="s">
        <v>3365</v>
      </c>
      <c r="C2442" t="s">
        <v>666</v>
      </c>
      <c r="D2442" t="str">
        <f ca="1">IFERROR(__xludf.DUMMYFUNCTION("GOOGLETRANSLATE(B2442,""es"",""en"")"),"There")</f>
        <v>There</v>
      </c>
      <c r="E2442" t="str">
        <f ca="1">IFERROR(__xludf.DUMMYFUNCTION("GOOGLETRANSLATE(C2442,""es"",""en"")"),"Over there, , , ,")</f>
        <v>Over there, , , ,</v>
      </c>
    </row>
    <row r="2443" spans="1:5" ht="13.2" x14ac:dyDescent="0.25">
      <c r="A2443" t="s">
        <v>667</v>
      </c>
      <c r="B2443" t="s">
        <v>3365</v>
      </c>
      <c r="C2443" t="s">
        <v>666</v>
      </c>
      <c r="D2443" t="str">
        <f ca="1">IFERROR(__xludf.DUMMYFUNCTION("GOOGLETRANSLATE(B2443,""es"",""en"")"),"There")</f>
        <v>There</v>
      </c>
      <c r="E2443" t="str">
        <f ca="1">IFERROR(__xludf.DUMMYFUNCTION("GOOGLETRANSLATE(C2443,""es"",""en"")"),"Over there, , , ,")</f>
        <v>Over there, , , ,</v>
      </c>
    </row>
    <row r="2444" spans="1:5" ht="13.2" x14ac:dyDescent="0.25">
      <c r="A2444" t="s">
        <v>3364</v>
      </c>
      <c r="B2444" t="s">
        <v>3365</v>
      </c>
      <c r="D2444" t="str">
        <f ca="1">IFERROR(__xludf.DUMMYFUNCTION("GOOGLETRANSLATE(B2444,""es"",""en"")"),"There")</f>
        <v>There</v>
      </c>
      <c r="E2444" t="str">
        <f ca="1">IFERROR(__xludf.DUMMYFUNCTION("GOOGLETRANSLATE(C2444,""es"",""en"")"),"#VALUE!")</f>
        <v>#VALUE!</v>
      </c>
    </row>
    <row r="2445" spans="1:5" ht="13.2" x14ac:dyDescent="0.25">
      <c r="A2445" t="s">
        <v>4719</v>
      </c>
      <c r="B2445" t="s">
        <v>4720</v>
      </c>
      <c r="C2445" t="s">
        <v>4721</v>
      </c>
      <c r="D2445" t="str">
        <f ca="1">IFERROR(__xludf.DUMMYFUNCTION("GOOGLETRANSLATE(B2445,""es"",""en"")"),"Ask")</f>
        <v>Ask</v>
      </c>
      <c r="E2445" t="str">
        <f ca="1">IFERROR(__xludf.DUMMYFUNCTION("GOOGLETRANSLATE(C2445,""es"",""en"")"),"Inquire, demand ,,,,")</f>
        <v>Inquire, demand ,,,,</v>
      </c>
    </row>
    <row r="2446" spans="1:5" ht="13.2" x14ac:dyDescent="0.25">
      <c r="A2446" t="s">
        <v>4722</v>
      </c>
      <c r="B2446" t="s">
        <v>4723</v>
      </c>
      <c r="C2446" t="s">
        <v>4724</v>
      </c>
      <c r="D2446" t="str">
        <f ca="1">IFERROR(__xludf.DUMMYFUNCTION("GOOGLETRANSLATE(B2446,""es"",""en"")"),"Drain")</f>
        <v>Drain</v>
      </c>
      <c r="E2446" t="str">
        <f ca="1">IFERROR(__xludf.DUMMYFUNCTION("GOOGLETRANSLATE(C2446,""es"",""en"")"),"Dry off, , , ,")</f>
        <v>Dry off, , , ,</v>
      </c>
    </row>
    <row r="2447" spans="1:5" ht="13.2" x14ac:dyDescent="0.25">
      <c r="A2447" t="s">
        <v>4725</v>
      </c>
      <c r="B2447" t="s">
        <v>4723</v>
      </c>
      <c r="C2447" t="s">
        <v>4726</v>
      </c>
      <c r="D2447" t="str">
        <f ca="1">IFERROR(__xludf.DUMMYFUNCTION("GOOGLETRANSLATE(B2447,""es"",""en"")"),"Drain")</f>
        <v>Drain</v>
      </c>
      <c r="E2447" t="str">
        <f ca="1">IFERROR(__xludf.DUMMYFUNCTION("GOOGLETRANSLATE(C2447,""es"",""en"")"),"dry, grind ,,,")</f>
        <v>dry, grind ,,,</v>
      </c>
    </row>
    <row r="2448" spans="1:5" ht="13.2" x14ac:dyDescent="0.25">
      <c r="A2448" t="s">
        <v>4727</v>
      </c>
      <c r="B2448" t="s">
        <v>4728</v>
      </c>
      <c r="C2448" t="s">
        <v>4729</v>
      </c>
      <c r="D2448" t="str">
        <f ca="1">IFERROR(__xludf.DUMMYFUNCTION("GOOGLETRANSLATE(B2448,""es"",""en"")"),"Select")</f>
        <v>Select</v>
      </c>
      <c r="E2448" t="str">
        <f ca="1">IFERROR(__xludf.DUMMYFUNCTION("GOOGLETRANSLATE(C2448,""es"",""en"")"),"choose, , , ,")</f>
        <v>choose, , , ,</v>
      </c>
    </row>
    <row r="2449" spans="1:5" ht="13.2" x14ac:dyDescent="0.25">
      <c r="A2449" t="s">
        <v>4730</v>
      </c>
      <c r="B2449" t="s">
        <v>4731</v>
      </c>
      <c r="D2449" t="str">
        <f ca="1">IFERROR(__xludf.DUMMYFUNCTION("GOOGLETRANSLATE(B2449,""es"",""en"")"),"Weight")</f>
        <v>Weight</v>
      </c>
      <c r="E2449" t="str">
        <f ca="1">IFERROR(__xludf.DUMMYFUNCTION("GOOGLETRANSLATE(C2449,""es"",""en"")"),"#VALUE!")</f>
        <v>#VALUE!</v>
      </c>
    </row>
    <row r="2450" spans="1:5" ht="13.2" x14ac:dyDescent="0.25">
      <c r="A2450" t="s">
        <v>4732</v>
      </c>
      <c r="B2450" t="s">
        <v>4733</v>
      </c>
      <c r="C2450" t="s">
        <v>4734</v>
      </c>
      <c r="D2450" t="str">
        <f ca="1">IFERROR(__xludf.DUMMYFUNCTION("GOOGLETRANSLATE(B2450,""es"",""en"")"),"Delete")</f>
        <v>Delete</v>
      </c>
      <c r="E2450" t="str">
        <f ca="1">IFERROR(__xludf.DUMMYFUNCTION("GOOGLETRANSLATE(C2450,""es"",""en"")"),"Curo, Eliiminar ,,,,")</f>
        <v>Curo, Eliiminar ,,,,</v>
      </c>
    </row>
    <row r="2451" spans="1:5" ht="13.2" x14ac:dyDescent="0.25">
      <c r="A2451" t="s">
        <v>4735</v>
      </c>
      <c r="B2451" t="s">
        <v>4736</v>
      </c>
      <c r="C2451" t="s">
        <v>4737</v>
      </c>
      <c r="D2451" t="str">
        <f ca="1">IFERROR(__xludf.DUMMYFUNCTION("GOOGLETRANSLATE(B2451,""es"",""en"")"),"Lick")</f>
        <v>Lick</v>
      </c>
      <c r="E2451" t="str">
        <f ca="1">IFERROR(__xludf.DUMMYFUNCTION("GOOGLETRANSLATE(C2451,""es"",""en"")"),"Relamer ,,,,")</f>
        <v>Relamer ,,,,</v>
      </c>
    </row>
    <row r="2452" spans="1:5" ht="13.2" x14ac:dyDescent="0.25">
      <c r="A2452" t="s">
        <v>1428</v>
      </c>
      <c r="B2452" t="s">
        <v>1425</v>
      </c>
      <c r="C2452" t="s">
        <v>4738</v>
      </c>
      <c r="D2452" t="str">
        <f ca="1">IFERROR(__xludf.DUMMYFUNCTION("GOOGLETRANSLATE(B2452,""es"",""en"")"),"Equal")</f>
        <v>Equal</v>
      </c>
      <c r="E2452" t="str">
        <f ca="1">IFERROR(__xludf.DUMMYFUNCTION("GOOGLETRANSLATE(C2452,""es"",""en"")")," as, , , ,")</f>
        <v xml:space="preserve"> as, , , ,</v>
      </c>
    </row>
    <row r="2453" spans="1:5" ht="13.2" x14ac:dyDescent="0.25">
      <c r="A2453" t="s">
        <v>3603</v>
      </c>
      <c r="B2453" t="s">
        <v>1425</v>
      </c>
      <c r="C2453" t="s">
        <v>4739</v>
      </c>
      <c r="D2453" t="str">
        <f ca="1">IFERROR(__xludf.DUMMYFUNCTION("GOOGLETRANSLATE(B2453,""es"",""en"")"),"Equal")</f>
        <v>Equal</v>
      </c>
      <c r="E2453" t="str">
        <f ca="1">IFERROR(__xludf.DUMMYFUNCTION("GOOGLETRANSLATE(C2453,""es"",""en"")"),"as, , , ,")</f>
        <v>as, , , ,</v>
      </c>
    </row>
    <row r="2454" spans="1:5" ht="13.2" x14ac:dyDescent="0.25">
      <c r="A2454" t="s">
        <v>1427</v>
      </c>
      <c r="B2454" t="s">
        <v>1425</v>
      </c>
      <c r="D2454" t="str">
        <f ca="1">IFERROR(__xludf.DUMMYFUNCTION("GOOGLETRANSLATE(B2454,""es"",""en"")"),"Equal")</f>
        <v>Equal</v>
      </c>
      <c r="E2454" t="str">
        <f ca="1">IFERROR(__xludf.DUMMYFUNCTION("GOOGLETRANSLATE(C2454,""es"",""en"")"),"#VALUE!")</f>
        <v>#VALUE!</v>
      </c>
    </row>
    <row r="2455" spans="1:5" ht="13.2" x14ac:dyDescent="0.25">
      <c r="A2455" t="s">
        <v>3765</v>
      </c>
      <c r="B2455" t="s">
        <v>1425</v>
      </c>
      <c r="C2455" t="s">
        <v>4740</v>
      </c>
      <c r="D2455" t="str">
        <f ca="1">IFERROR(__xludf.DUMMYFUNCTION("GOOGLETRANSLATE(B2455,""es"",""en"")"),"Equal")</f>
        <v>Equal</v>
      </c>
      <c r="E2455" t="str">
        <f ca="1">IFERROR(__xludf.DUMMYFUNCTION("GOOGLETRANSLATE(C2455,""es"",""en"")"),"The same, uniform ,,,")</f>
        <v>The same, uniform ,,,</v>
      </c>
    </row>
    <row r="2456" spans="1:5" ht="13.2" x14ac:dyDescent="0.25">
      <c r="A2456" t="s">
        <v>3649</v>
      </c>
      <c r="B2456" t="s">
        <v>1425</v>
      </c>
      <c r="C2456" t="s">
        <v>1464</v>
      </c>
      <c r="D2456" t="str">
        <f ca="1">IFERROR(__xludf.DUMMYFUNCTION("GOOGLETRANSLATE(B2456,""es"",""en"")"),"Equal")</f>
        <v>Equal</v>
      </c>
      <c r="E2456" t="str">
        <f ca="1">IFERROR(__xludf.DUMMYFUNCTION("GOOGLETRANSLATE(C2456,""es"",""en"")"),"The same, , , ,")</f>
        <v>The same, , , ,</v>
      </c>
    </row>
    <row r="2457" spans="1:5" ht="13.2" x14ac:dyDescent="0.25">
      <c r="A2457" t="s">
        <v>4741</v>
      </c>
      <c r="B2457" t="s">
        <v>4742</v>
      </c>
      <c r="C2457" t="s">
        <v>4743</v>
      </c>
      <c r="D2457" t="str">
        <f ca="1">IFERROR(__xludf.DUMMYFUNCTION("GOOGLETRANSLATE(B2457,""es"",""en"")"),"Today")</f>
        <v>Today</v>
      </c>
      <c r="E2457" t="str">
        <f ca="1">IFERROR(__xludf.DUMMYFUNCTION("GOOGLETRANSLATE(C2457,""es"",""en"")"),"At the moment, , , ,")</f>
        <v>At the moment, , , ,</v>
      </c>
    </row>
    <row r="2458" spans="1:5" ht="13.2" x14ac:dyDescent="0.25">
      <c r="A2458" t="s">
        <v>4744</v>
      </c>
      <c r="B2458" t="s">
        <v>4745</v>
      </c>
      <c r="C2458" t="s">
        <v>4746</v>
      </c>
      <c r="D2458" t="str">
        <f ca="1">IFERROR(__xludf.DUMMYFUNCTION("GOOGLETRANSLATE(B2458,""es"",""en"")"),"Socolar")</f>
        <v>Socolar</v>
      </c>
      <c r="E2458" t="str">
        <f ca="1">IFERROR(__xludf.DUMMYFUNCTION("GOOGLETRANSLATE(C2458,""es"",""en"")"),"disassemble ,,,,")</f>
        <v>disassemble ,,,,</v>
      </c>
    </row>
    <row r="2459" spans="1:5" ht="13.2" x14ac:dyDescent="0.25">
      <c r="A2459" t="s">
        <v>4747</v>
      </c>
      <c r="B2459" t="s">
        <v>4748</v>
      </c>
      <c r="C2459" t="s">
        <v>4749</v>
      </c>
      <c r="D2459" t="str">
        <f ca="1">IFERROR(__xludf.DUMMYFUNCTION("GOOGLETRANSLATE(B2459,""es"",""en"")"),"Already")</f>
        <v>Already</v>
      </c>
      <c r="E2459" t="str">
        <f ca="1">IFERROR(__xludf.DUMMYFUNCTION("GOOGLETRANSLATE(C2459,""es"",""en"")"),"Right now, , ,")</f>
        <v>Right now, , ,</v>
      </c>
    </row>
    <row r="2460" spans="1:5" ht="13.2" x14ac:dyDescent="0.25">
      <c r="A2460" t="s">
        <v>4750</v>
      </c>
      <c r="B2460" t="s">
        <v>4751</v>
      </c>
      <c r="D2460" t="str">
        <f ca="1">IFERROR(__xludf.DUMMYFUNCTION("GOOGLETRANSLATE(B2460,""es"",""en"")"),"Sanding stone")</f>
        <v>Sanding stone</v>
      </c>
      <c r="E2460" t="str">
        <f ca="1">IFERROR(__xludf.DUMMYFUNCTION("GOOGLETRANSLATE(C2460,""es"",""en"")"),"#VALUE!")</f>
        <v>#VALUE!</v>
      </c>
    </row>
    <row r="2461" spans="1:5" ht="13.2" x14ac:dyDescent="0.25">
      <c r="A2461" t="s">
        <v>4752</v>
      </c>
      <c r="B2461" t="s">
        <v>4748</v>
      </c>
      <c r="C2461" t="s">
        <v>4753</v>
      </c>
      <c r="D2461" t="str">
        <f ca="1">IFERROR(__xludf.DUMMYFUNCTION("GOOGLETRANSLATE(B2461,""es"",""en"")"),"Already")</f>
        <v>Already</v>
      </c>
      <c r="E2461" t="str">
        <f ca="1">IFERROR(__xludf.DUMMYFUNCTION("GOOGLETRANSLATE(C2461,""es"",""en"")"),"Now, in this Moemnto ,,,,")</f>
        <v>Now, in this Moemnto ,,,,</v>
      </c>
    </row>
    <row r="2462" spans="1:5" ht="13.2" x14ac:dyDescent="0.25">
      <c r="A2462" t="s">
        <v>4754</v>
      </c>
      <c r="B2462" t="s">
        <v>4755</v>
      </c>
      <c r="C2462" t="s">
        <v>4756</v>
      </c>
      <c r="D2462" t="str">
        <f ca="1">IFERROR(__xludf.DUMMYFUNCTION("GOOGLETRANSLATE(B2462,""es"",""en"")"),"Now")</f>
        <v>Now</v>
      </c>
      <c r="E2462" t="str">
        <f ca="1">IFERROR(__xludf.DUMMYFUNCTION("GOOGLETRANSLATE(C2462,""es"",""en"")"),"recently, , , ,")</f>
        <v>recently, , , ,</v>
      </c>
    </row>
    <row r="2463" spans="1:5" ht="13.2" x14ac:dyDescent="0.25">
      <c r="A2463" t="s">
        <v>4757</v>
      </c>
      <c r="B2463" t="s">
        <v>4755</v>
      </c>
      <c r="C2463" t="s">
        <v>4756</v>
      </c>
      <c r="D2463" t="str">
        <f ca="1">IFERROR(__xludf.DUMMYFUNCTION("GOOGLETRANSLATE(B2463,""es"",""en"")"),"Now")</f>
        <v>Now</v>
      </c>
      <c r="E2463" t="str">
        <f ca="1">IFERROR(__xludf.DUMMYFUNCTION("GOOGLETRANSLATE(C2463,""es"",""en"")"),"recently, , , ,")</f>
        <v>recently, , , ,</v>
      </c>
    </row>
    <row r="2464" spans="1:5" ht="13.2" x14ac:dyDescent="0.25">
      <c r="A2464" t="s">
        <v>4758</v>
      </c>
      <c r="B2464" t="s">
        <v>4759</v>
      </c>
      <c r="C2464" t="s">
        <v>4760</v>
      </c>
      <c r="D2464" t="str">
        <f ca="1">IFERROR(__xludf.DUMMYFUNCTION("GOOGLETRANSLATE(B2464,""es"",""en"")"),"Right now")</f>
        <v>Right now</v>
      </c>
      <c r="E2464" t="str">
        <f ca="1">IFERROR(__xludf.DUMMYFUNCTION("GOOGLETRANSLATE(C2464,""es"",""en"")"),"In act, instantly ,,,,")</f>
        <v>In act, instantly ,,,,</v>
      </c>
    </row>
    <row r="2465" spans="1:5" ht="13.2" x14ac:dyDescent="0.25">
      <c r="A2465" t="s">
        <v>4761</v>
      </c>
      <c r="B2465" t="s">
        <v>4759</v>
      </c>
      <c r="D2465" t="str">
        <f ca="1">IFERROR(__xludf.DUMMYFUNCTION("GOOGLETRANSLATE(B2465,""es"",""en"")"),"Right now")</f>
        <v>Right now</v>
      </c>
      <c r="E2465" t="str">
        <f ca="1">IFERROR(__xludf.DUMMYFUNCTION("GOOGLETRANSLATE(C2465,""es"",""en"")"),"#VALUE!")</f>
        <v>#VALUE!</v>
      </c>
    </row>
    <row r="2466" spans="1:5" ht="13.2" x14ac:dyDescent="0.25">
      <c r="A2466" t="s">
        <v>4762</v>
      </c>
      <c r="B2466" t="s">
        <v>4763</v>
      </c>
      <c r="D2466" t="str">
        <f ca="1">IFERROR(__xludf.DUMMYFUNCTION("GOOGLETRANSLATE(B2466,""es"",""en"")"),"Kick")</f>
        <v>Kick</v>
      </c>
      <c r="E2466" t="str">
        <f ca="1">IFERROR(__xludf.DUMMYFUNCTION("GOOGLETRANSLATE(C2466,""es"",""en"")"),"#VALUE!")</f>
        <v>#VALUE!</v>
      </c>
    </row>
    <row r="2467" spans="1:5" ht="13.2" x14ac:dyDescent="0.25">
      <c r="A2467" t="s">
        <v>1356</v>
      </c>
      <c r="B2467" t="s">
        <v>1354</v>
      </c>
      <c r="C2467" t="s">
        <v>4764</v>
      </c>
      <c r="D2467" t="str">
        <f ca="1">IFERROR(__xludf.DUMMYFUNCTION("GOOGLETRANSLATE(B2467,""es"",""en"")"),"Swell")</f>
        <v>Swell</v>
      </c>
      <c r="E2467" t="str">
        <f ca="1">IFERROR(__xludf.DUMMYFUNCTION("GOOGLETRANSLATE(C2467,""es"",""en"")"),"inflate, bulge ,,,,")</f>
        <v>inflate, bulge ,,,,</v>
      </c>
    </row>
    <row r="2468" spans="1:5" ht="13.2" x14ac:dyDescent="0.25">
      <c r="A2468" t="s">
        <v>1353</v>
      </c>
      <c r="B2468" t="s">
        <v>1354</v>
      </c>
      <c r="C2468" t="s">
        <v>4765</v>
      </c>
      <c r="D2468" t="str">
        <f ca="1">IFERROR(__xludf.DUMMYFUNCTION("GOOGLETRANSLATE(B2468,""es"",""en"")"),"Swell")</f>
        <v>Swell</v>
      </c>
      <c r="E2468" t="str">
        <f ca="1">IFERROR(__xludf.DUMMYFUNCTION("GOOGLETRANSLATE(C2468,""es"",""en"")"),"Incade ,,,,")</f>
        <v>Incade ,,,,</v>
      </c>
    </row>
    <row r="2469" spans="1:5" ht="13.2" x14ac:dyDescent="0.25">
      <c r="A2469" t="s">
        <v>4766</v>
      </c>
      <c r="B2469" t="s">
        <v>4767</v>
      </c>
      <c r="D2469" t="str">
        <f ca="1">IFERROR(__xludf.DUMMYFUNCTION("GOOGLETRANSLATE(B2469,""es"",""en"")"),"Pluck")</f>
        <v>Pluck</v>
      </c>
      <c r="E2469" t="str">
        <f ca="1">IFERROR(__xludf.DUMMYFUNCTION("GOOGLETRANSLATE(C2469,""es"",""en"")"),"#VALUE!")</f>
        <v>#VALUE!</v>
      </c>
    </row>
    <row r="2470" spans="1:5" ht="13.2" x14ac:dyDescent="0.25">
      <c r="A2470" t="s">
        <v>4768</v>
      </c>
      <c r="B2470" t="s">
        <v>2549</v>
      </c>
      <c r="C2470" t="s">
        <v>4769</v>
      </c>
      <c r="D2470" t="str">
        <f ca="1">IFERROR(__xludf.DUMMYFUNCTION("GOOGLETRANSLATE(B2470,""es"",""en"")"),"Paste")</f>
        <v>Paste</v>
      </c>
      <c r="E2470" t="str">
        <f ca="1">IFERROR(__xludf.DUMMYFUNCTION("GOOGLETRANSLATE(C2470,""es"",""en"")"),"gum, weld ,,,,")</f>
        <v>gum, weld ,,,,</v>
      </c>
    </row>
    <row r="2471" spans="1:5" ht="13.2" x14ac:dyDescent="0.25">
      <c r="A2471" t="s">
        <v>4770</v>
      </c>
      <c r="B2471" t="s">
        <v>4771</v>
      </c>
      <c r="C2471" t="s">
        <v>4772</v>
      </c>
      <c r="D2471" t="str">
        <f ca="1">IFERROR(__xludf.DUMMYFUNCTION("GOOGLETRANSLATE(B2471,""es"",""en"")"),"Get up")</f>
        <v>Get up</v>
      </c>
      <c r="E2471" t="str">
        <f ca="1">IFERROR(__xludf.DUMMYFUNCTION("GOOGLETRANSLATE(C2471,""es"",""en"")"),"Alzat ,,,,")</f>
        <v>Alzat ,,,,</v>
      </c>
    </row>
    <row r="2472" spans="1:5" ht="13.2" x14ac:dyDescent="0.25">
      <c r="A2472" t="s">
        <v>4773</v>
      </c>
      <c r="B2472" t="s">
        <v>4774</v>
      </c>
      <c r="C2472" t="s">
        <v>4775</v>
      </c>
      <c r="D2472" t="str">
        <f ca="1">IFERROR(__xludf.DUMMYFUNCTION("GOOGLETRANSLATE(B2472,""es"",""en"")"),"Fill")</f>
        <v>Fill</v>
      </c>
      <c r="E2472" t="str">
        <f ca="1">IFERROR(__xludf.DUMMYFUNCTION("GOOGLETRANSLATE(C2472,""es"",""en"")"),"Fill, Colmar ,,,,")</f>
        <v>Fill, Colmar ,,,,</v>
      </c>
    </row>
    <row r="2473" spans="1:5" ht="13.2" x14ac:dyDescent="0.25">
      <c r="A2473" t="s">
        <v>4776</v>
      </c>
      <c r="B2473" t="s">
        <v>4774</v>
      </c>
      <c r="C2473" t="s">
        <v>4777</v>
      </c>
      <c r="D2473" t="str">
        <f ca="1">IFERROR(__xludf.DUMMYFUNCTION("GOOGLETRANSLATE(B2473,""es"",""en"")"),"Fill")</f>
        <v>Fill</v>
      </c>
      <c r="E2473" t="str">
        <f ca="1">IFERROR(__xludf.DUMMYFUNCTION("GOOGLETRANSLATE(C2473,""es"",""en"")"),"fill out, , , ,")</f>
        <v>fill out, , , ,</v>
      </c>
    </row>
    <row r="2474" spans="1:5" ht="13.2" x14ac:dyDescent="0.25">
      <c r="A2474" t="s">
        <v>2052</v>
      </c>
      <c r="B2474" t="s">
        <v>2048</v>
      </c>
      <c r="C2474" t="s">
        <v>4703</v>
      </c>
      <c r="D2474" t="str">
        <f ca="1">IFERROR(__xludf.DUMMYFUNCTION("GOOGLETRANSLATE(B2474,""es"",""en"")"),"Peel")</f>
        <v>Peel</v>
      </c>
      <c r="E2474" t="str">
        <f ca="1">IFERROR(__xludf.DUMMYFUNCTION("GOOGLETRANSLATE(C2474,""es"",""en"")"),"Remove the peel, , , ,")</f>
        <v>Remove the peel, , , ,</v>
      </c>
    </row>
    <row r="2475" spans="1:5" ht="13.2" x14ac:dyDescent="0.25">
      <c r="A2475" t="s">
        <v>2047</v>
      </c>
      <c r="B2475" t="s">
        <v>2048</v>
      </c>
      <c r="C2475" t="s">
        <v>4778</v>
      </c>
      <c r="D2475" t="str">
        <f ca="1">IFERROR(__xludf.DUMMYFUNCTION("GOOGLETRANSLATE(B2475,""es"",""en"")"),"Peel")</f>
        <v>Peel</v>
      </c>
      <c r="E2475" t="str">
        <f ca="1">IFERROR(__xludf.DUMMYFUNCTION("GOOGLETRANSLATE(C2475,""es"",""en"")"),"Remove the peel, , , ,")</f>
        <v>Remove the peel, , , ,</v>
      </c>
    </row>
    <row r="2476" spans="1:5" ht="13.2" x14ac:dyDescent="0.25">
      <c r="A2476" t="s">
        <v>2050</v>
      </c>
      <c r="B2476" t="s">
        <v>2048</v>
      </c>
      <c r="D2476" t="str">
        <f ca="1">IFERROR(__xludf.DUMMYFUNCTION("GOOGLETRANSLATE(B2476,""es"",""en"")"),"Peel")</f>
        <v>Peel</v>
      </c>
      <c r="E2476" t="str">
        <f ca="1">IFERROR(__xludf.DUMMYFUNCTION("GOOGLETRANSLATE(C2476,""es"",""en"")"),"#VALUE!")</f>
        <v>#VALUE!</v>
      </c>
    </row>
    <row r="2477" spans="1:5" ht="13.2" x14ac:dyDescent="0.25">
      <c r="A2477" t="s">
        <v>4779</v>
      </c>
      <c r="B2477" t="s">
        <v>4780</v>
      </c>
      <c r="C2477" t="s">
        <v>4781</v>
      </c>
      <c r="D2477" t="str">
        <f ca="1">IFERROR(__xludf.DUMMYFUNCTION("GOOGLETRANSLATE(B2477,""es"",""en"")"),"Wash")</f>
        <v>Wash</v>
      </c>
      <c r="E2477" t="str">
        <f ca="1">IFERROR(__xludf.DUMMYFUNCTION("GOOGLETRANSLATE(C2477,""es"",""en"")"),"scrub, rinse ,,,,")</f>
        <v>scrub, rinse ,,,,</v>
      </c>
    </row>
    <row r="2478" spans="1:5" ht="13.2" x14ac:dyDescent="0.25">
      <c r="A2478" t="s">
        <v>4782</v>
      </c>
      <c r="B2478" t="s">
        <v>4780</v>
      </c>
      <c r="D2478" t="str">
        <f ca="1">IFERROR(__xludf.DUMMYFUNCTION("GOOGLETRANSLATE(B2478,""es"",""en"")"),"Wash")</f>
        <v>Wash</v>
      </c>
      <c r="E2478" t="str">
        <f ca="1">IFERROR(__xludf.DUMMYFUNCTION("GOOGLETRANSLATE(C2478,""es"",""en"")"),"#VALUE!")</f>
        <v>#VALUE!</v>
      </c>
    </row>
    <row r="2479" spans="1:5" ht="13.2" x14ac:dyDescent="0.25">
      <c r="A2479" t="s">
        <v>4783</v>
      </c>
      <c r="B2479" t="s">
        <v>4784</v>
      </c>
      <c r="C2479" t="s">
        <v>4785</v>
      </c>
      <c r="D2479" t="str">
        <f ca="1">IFERROR(__xludf.DUMMYFUNCTION("GOOGLETRANSLATE(B2479,""es"",""en"")"),"To spill")</f>
        <v>To spill</v>
      </c>
      <c r="E2479" t="str">
        <f ca="1">IFERROR(__xludf.DUMMYFUNCTION("GOOGLETRANSLATE(C2479,""es"",""en"")"),"pour, , , ,")</f>
        <v>pour, , , ,</v>
      </c>
    </row>
    <row r="2480" spans="1:5" ht="13.2" x14ac:dyDescent="0.25">
      <c r="A2480" t="s">
        <v>4786</v>
      </c>
      <c r="B2480" t="s">
        <v>4787</v>
      </c>
      <c r="C2480" t="s">
        <v>4785</v>
      </c>
      <c r="D2480" t="str">
        <f ca="1">IFERROR(__xludf.DUMMYFUNCTION("GOOGLETRANSLATE(B2480,""es"",""en"")"),"to spill")</f>
        <v>to spill</v>
      </c>
      <c r="E2480" t="str">
        <f ca="1">IFERROR(__xludf.DUMMYFUNCTION("GOOGLETRANSLATE(C2480,""es"",""en"")"),"pour, , , ,")</f>
        <v>pour, , , ,</v>
      </c>
    </row>
    <row r="2481" spans="1:5" ht="13.2" x14ac:dyDescent="0.25">
      <c r="A2481" t="s">
        <v>4788</v>
      </c>
      <c r="B2481" t="s">
        <v>4789</v>
      </c>
      <c r="D2481" t="str">
        <f ca="1">IFERROR(__xludf.DUMMYFUNCTION("GOOGLETRANSLATE(B2481,""es"",""en"")"),"Machete")</f>
        <v>Machete</v>
      </c>
      <c r="E2481" t="str">
        <f ca="1">IFERROR(__xludf.DUMMYFUNCTION("GOOGLETRANSLATE(C2481,""es"",""en"")"),"#VALUE!")</f>
        <v>#VALUE!</v>
      </c>
    </row>
    <row r="2482" spans="1:5" ht="13.2" x14ac:dyDescent="0.25">
      <c r="A2482" t="s">
        <v>4790</v>
      </c>
      <c r="B2482" t="s">
        <v>4791</v>
      </c>
      <c r="D2482" t="str">
        <f ca="1">IFERROR(__xludf.DUMMYFUNCTION("GOOGLETRANSLATE(B2482,""es"",""en"")"),"Vomit")</f>
        <v>Vomit</v>
      </c>
      <c r="E2482" t="str">
        <f ca="1">IFERROR(__xludf.DUMMYFUNCTION("GOOGLETRANSLATE(C2482,""es"",""en"")"),"#VALUE!")</f>
        <v>#VALUE!</v>
      </c>
    </row>
    <row r="2483" spans="1:5" ht="13.2" x14ac:dyDescent="0.25">
      <c r="A2483" t="s">
        <v>4792</v>
      </c>
      <c r="B2483" t="s">
        <v>4793</v>
      </c>
      <c r="D2483" t="str">
        <f ca="1">IFERROR(__xludf.DUMMYFUNCTION("GOOGLETRANSLATE(B2483,""es"",""en"")"),"Small knife")</f>
        <v>Small knife</v>
      </c>
      <c r="E2483" t="str">
        <f ca="1">IFERROR(__xludf.DUMMYFUNCTION("GOOGLETRANSLATE(C2483,""es"",""en"")"),"#VALUE!")</f>
        <v>#VALUE!</v>
      </c>
    </row>
    <row r="2484" spans="1:5" ht="13.2" x14ac:dyDescent="0.25">
      <c r="A2484" t="s">
        <v>4794</v>
      </c>
      <c r="B2484" t="s">
        <v>4795</v>
      </c>
      <c r="C2484" t="s">
        <v>4796</v>
      </c>
      <c r="D2484" t="str">
        <f ca="1">IFERROR(__xludf.DUMMYFUNCTION("GOOGLETRANSLATE(B2484,""es"",""en"")"),"Knife")</f>
        <v>Knife</v>
      </c>
      <c r="E2484" t="str">
        <f ca="1">IFERROR(__xludf.DUMMYFUNCTION("GOOGLETRANSLATE(C2484,""es"",""en"")"),"razor ,,,,")</f>
        <v>razor ,,,,</v>
      </c>
    </row>
    <row r="2485" spans="1:5" ht="13.2" x14ac:dyDescent="0.25">
      <c r="A2485" t="s">
        <v>4797</v>
      </c>
      <c r="B2485" t="s">
        <v>4798</v>
      </c>
      <c r="C2485" t="s">
        <v>4799</v>
      </c>
      <c r="D2485" t="str">
        <f ca="1">IFERROR(__xludf.DUMMYFUNCTION("GOOGLETRANSLATE(B2485,""es"",""en"")"),"Nail")</f>
        <v>Nail</v>
      </c>
      <c r="E2485" t="str">
        <f ca="1">IFERROR(__xludf.DUMMYFUNCTION("GOOGLETRANSLATE(C2485,""es"",""en"")"),"iron, tachuela ,,,,")</f>
        <v>iron, tachuela ,,,,</v>
      </c>
    </row>
    <row r="2486" spans="1:5" ht="13.2" x14ac:dyDescent="0.25">
      <c r="A2486" t="s">
        <v>4800</v>
      </c>
      <c r="B2486" t="s">
        <v>4801</v>
      </c>
      <c r="D2486" t="str">
        <f ca="1">IFERROR(__xludf.DUMMYFUNCTION("GOOGLETRANSLATE(B2486,""es"",""en"")"),"Chain")</f>
        <v>Chain</v>
      </c>
      <c r="E2486" t="str">
        <f ca="1">IFERROR(__xludf.DUMMYFUNCTION("GOOGLETRANSLATE(C2486,""es"",""en"")"),"#VALUE!")</f>
        <v>#VALUE!</v>
      </c>
    </row>
    <row r="2487" spans="1:5" ht="13.2" x14ac:dyDescent="0.25">
      <c r="A2487" t="s">
        <v>4802</v>
      </c>
      <c r="B2487" t="s">
        <v>4801</v>
      </c>
      <c r="D2487" t="str">
        <f ca="1">IFERROR(__xludf.DUMMYFUNCTION("GOOGLETRANSLATE(B2487,""es"",""en"")"),"Chain")</f>
        <v>Chain</v>
      </c>
      <c r="E2487" t="str">
        <f ca="1">IFERROR(__xludf.DUMMYFUNCTION("GOOGLETRANSLATE(C2487,""es"",""en"")"),"#VALUE!")</f>
        <v>#VALUE!</v>
      </c>
    </row>
    <row r="2488" spans="1:5" ht="13.2" x14ac:dyDescent="0.25">
      <c r="A2488" t="s">
        <v>4803</v>
      </c>
      <c r="B2488" t="s">
        <v>4804</v>
      </c>
      <c r="C2488" t="s">
        <v>4805</v>
      </c>
      <c r="D2488" t="str">
        <f ca="1">IFERROR(__xludf.DUMMYFUNCTION("GOOGLETRANSLATE(B2488,""es"",""en"")"),"To scrape")</f>
        <v>To scrape</v>
      </c>
      <c r="E2488" t="str">
        <f ca="1">IFERROR(__xludf.DUMMYFUNCTION("GOOGLETRANSLATE(C2488,""es"",""en"")"),"brush, , , ,")</f>
        <v>brush, , , ,</v>
      </c>
    </row>
    <row r="2489" spans="1:5" ht="13.2" x14ac:dyDescent="0.25">
      <c r="A2489" t="s">
        <v>4806</v>
      </c>
      <c r="B2489" t="s">
        <v>4807</v>
      </c>
      <c r="C2489" t="s">
        <v>4808</v>
      </c>
      <c r="D2489" t="str">
        <f ca="1">IFERROR(__xludf.DUMMYFUNCTION("GOOGLETRANSLATE(B2489,""es"",""en"")"),"Tie off")</f>
        <v>Tie off</v>
      </c>
      <c r="E2489" t="str">
        <f ca="1">IFERROR(__xludf.DUMMYFUNCTION("GOOGLETRANSLATE(C2489,""es"",""en"")"),"break up, release ,,,,")</f>
        <v>break up, release ,,,,</v>
      </c>
    </row>
    <row r="2490" spans="1:5" ht="13.2" x14ac:dyDescent="0.25">
      <c r="A2490" t="s">
        <v>4809</v>
      </c>
      <c r="B2490" t="s">
        <v>4810</v>
      </c>
      <c r="C2490" t="s">
        <v>4811</v>
      </c>
      <c r="D2490" t="str">
        <f ca="1">IFERROR(__xludf.DUMMYFUNCTION("GOOGLETRANSLATE(B2490,""es"",""en"")"),"Tear")</f>
        <v>Tear</v>
      </c>
      <c r="E2490" t="str">
        <f ca="1">IFERROR(__xludf.DUMMYFUNCTION("GOOGLETRANSLATE(C2490,""es"",""en"")"),"break, , , ,")</f>
        <v>break, , , ,</v>
      </c>
    </row>
    <row r="2491" spans="1:5" ht="13.2" x14ac:dyDescent="0.25">
      <c r="A2491" t="s">
        <v>4812</v>
      </c>
      <c r="B2491" t="s">
        <v>4813</v>
      </c>
      <c r="D2491" t="str">
        <f ca="1">IFERROR(__xludf.DUMMYFUNCTION("GOOGLETRANSLATE(B2491,""es"",""en"")"),"Caimito")</f>
        <v>Caimito</v>
      </c>
      <c r="E2491" t="str">
        <f ca="1">IFERROR(__xludf.DUMMYFUNCTION("GOOGLETRANSLATE(C2491,""es"",""en"")"),"#VALUE!")</f>
        <v>#VALUE!</v>
      </c>
    </row>
    <row r="2492" spans="1:5" ht="13.2" x14ac:dyDescent="0.25">
      <c r="A2492" t="s">
        <v>4814</v>
      </c>
      <c r="B2492" t="s">
        <v>4815</v>
      </c>
      <c r="D2492" t="str">
        <f ca="1">IFERROR(__xludf.DUMMYFUNCTION("GOOGLETRANSLATE(B2492,""es"",""en"")"),"Paila")</f>
        <v>Paila</v>
      </c>
      <c r="E2492" t="str">
        <f ca="1">IFERROR(__xludf.DUMMYFUNCTION("GOOGLETRANSLATE(C2492,""es"",""en"")"),"#VALUE!")</f>
        <v>#VALUE!</v>
      </c>
    </row>
    <row r="2493" spans="1:5" ht="13.2" x14ac:dyDescent="0.25">
      <c r="A2493" t="s">
        <v>4816</v>
      </c>
      <c r="B2493" t="s">
        <v>4817</v>
      </c>
      <c r="C2493" t="s">
        <v>4818</v>
      </c>
      <c r="D2493" t="str">
        <f ca="1">IFERROR(__xludf.DUMMYFUNCTION("GOOGLETRANSLATE(B2493,""es"",""en"")"),"Clumsiness")</f>
        <v>Clumsiness</v>
      </c>
      <c r="E2493" t="str">
        <f ca="1">IFERROR(__xludf.DUMMYFUNCTION("GOOGLETRANSLATE(C2493,""es"",""en"")")," to stores ,,,,")</f>
        <v xml:space="preserve"> to stores ,,,,</v>
      </c>
    </row>
    <row r="2494" spans="1:5" ht="13.2" x14ac:dyDescent="0.25">
      <c r="A2494" t="s">
        <v>4819</v>
      </c>
      <c r="B2494" t="s">
        <v>4820</v>
      </c>
      <c r="D2494" t="str">
        <f ca="1">IFERROR(__xludf.DUMMYFUNCTION("GOOGLETRANSLATE(B2494,""es"",""en"")"),"Saw")</f>
        <v>Saw</v>
      </c>
      <c r="E2494" t="str">
        <f ca="1">IFERROR(__xludf.DUMMYFUNCTION("GOOGLETRANSLATE(C2494,""es"",""en"")"),"#VALUE!")</f>
        <v>#VALUE!</v>
      </c>
    </row>
    <row r="2495" spans="1:5" ht="13.2" x14ac:dyDescent="0.25">
      <c r="A2495" t="s">
        <v>4821</v>
      </c>
      <c r="B2495" t="s">
        <v>4822</v>
      </c>
      <c r="D2495" t="str">
        <f ca="1">IFERROR(__xludf.DUMMYFUNCTION("GOOGLETRANSLATE(B2495,""es"",""en"")"),"Anchor")</f>
        <v>Anchor</v>
      </c>
      <c r="E2495" t="str">
        <f ca="1">IFERROR(__xludf.DUMMYFUNCTION("GOOGLETRANSLATE(C2495,""es"",""en"")"),"#VALUE!")</f>
        <v>#VALUE!</v>
      </c>
    </row>
    <row r="2496" spans="1:5" ht="13.2" x14ac:dyDescent="0.25">
      <c r="A2496" t="s">
        <v>4823</v>
      </c>
      <c r="B2496" t="s">
        <v>4824</v>
      </c>
      <c r="D2496" t="str">
        <f ca="1">IFERROR(__xludf.DUMMYFUNCTION("GOOGLETRANSLATE(B2496,""es"",""en"")"),"Anchor chain")</f>
        <v>Anchor chain</v>
      </c>
      <c r="E2496" t="str">
        <f ca="1">IFERROR(__xludf.DUMMYFUNCTION("GOOGLETRANSLATE(C2496,""es"",""en"")"),"#VALUE!")</f>
        <v>#VALUE!</v>
      </c>
    </row>
    <row r="2497" spans="1:5" ht="13.2" x14ac:dyDescent="0.25">
      <c r="A2497" t="s">
        <v>4825</v>
      </c>
      <c r="B2497" t="s">
        <v>4826</v>
      </c>
      <c r="D2497" t="str">
        <f ca="1">IFERROR(__xludf.DUMMYFUNCTION("GOOGLETRANSLATE(B2497,""es"",""en"")"),"Filo del machete")</f>
        <v>Filo del machete</v>
      </c>
      <c r="E2497" t="str">
        <f ca="1">IFERROR(__xludf.DUMMYFUNCTION("GOOGLETRANSLATE(C2497,""es"",""en"")"),"#VALUE!")</f>
        <v>#VALUE!</v>
      </c>
    </row>
    <row r="2498" spans="1:5" ht="13.2" x14ac:dyDescent="0.25">
      <c r="A2498" t="s">
        <v>4827</v>
      </c>
      <c r="B2498" t="s">
        <v>4826</v>
      </c>
      <c r="D2498" t="str">
        <f ca="1">IFERROR(__xludf.DUMMYFUNCTION("GOOGLETRANSLATE(B2498,""es"",""en"")"),"Filo del machete")</f>
        <v>Filo del machete</v>
      </c>
      <c r="E2498" t="str">
        <f ca="1">IFERROR(__xludf.DUMMYFUNCTION("GOOGLETRANSLATE(C2498,""es"",""en"")"),"#VALUE!")</f>
        <v>#VALUE!</v>
      </c>
    </row>
    <row r="2499" spans="1:5" ht="13.2" x14ac:dyDescent="0.25">
      <c r="A2499" t="s">
        <v>4828</v>
      </c>
      <c r="B2499" t="s">
        <v>4829</v>
      </c>
      <c r="C2499" t="s">
        <v>4830</v>
      </c>
      <c r="D2499" t="str">
        <f ca="1">IFERROR(__xludf.DUMMYFUNCTION("GOOGLETRANSLATE(B2499,""es"",""en"")"),"Copper")</f>
        <v>Copper</v>
      </c>
      <c r="E2499" t="str">
        <f ca="1">IFERROR(__xludf.DUMMYFUNCTION("GOOGLETRANSLATE(C2499,""es"",""en"")"),"brass ,,,,")</f>
        <v>brass ,,,,</v>
      </c>
    </row>
    <row r="2500" spans="1:5" ht="13.2" x14ac:dyDescent="0.25">
      <c r="A2500" t="s">
        <v>4831</v>
      </c>
      <c r="B2500" t="s">
        <v>4832</v>
      </c>
      <c r="C2500" t="s">
        <v>4833</v>
      </c>
      <c r="D2500" t="str">
        <f ca="1">IFERROR(__xludf.DUMMYFUNCTION("GOOGLETRANSLATE(B2500,""es"",""en"")"),"Wire")</f>
        <v>Wire</v>
      </c>
      <c r="E2500" t="str">
        <f ca="1">IFERROR(__xludf.DUMMYFUNCTION("GOOGLETRANSLATE(C2500,""es"",""en"")"),"copper chain ,,,,")</f>
        <v>copper chain ,,,,</v>
      </c>
    </row>
    <row r="2501" spans="1:5" ht="13.2" x14ac:dyDescent="0.25">
      <c r="A2501" t="s">
        <v>4834</v>
      </c>
      <c r="B2501" t="s">
        <v>4832</v>
      </c>
      <c r="C2501" t="s">
        <v>4835</v>
      </c>
      <c r="D2501" t="str">
        <f ca="1">IFERROR(__xludf.DUMMYFUNCTION("GOOGLETRANSLATE(B2501,""es"",""en"")"),"Wire")</f>
        <v>Wire</v>
      </c>
      <c r="E2501" t="str">
        <f ca="1">IFERROR(__xludf.DUMMYFUNCTION("GOOGLETRANSLATE(C2501,""es"",""en"")"),"Copper chain ,,,,")</f>
        <v>Copper chain ,,,,</v>
      </c>
    </row>
    <row r="2502" spans="1:5" ht="13.2" x14ac:dyDescent="0.25">
      <c r="A2502" t="s">
        <v>3664</v>
      </c>
      <c r="B2502" t="s">
        <v>3665</v>
      </c>
      <c r="D2502" t="str">
        <f ca="1">IFERROR(__xludf.DUMMYFUNCTION("GOOGLETRANSLATE(B2502,""es"",""en"")"),"Chuzo")</f>
        <v>Chuzo</v>
      </c>
      <c r="E2502" t="str">
        <f ca="1">IFERROR(__xludf.DUMMYFUNCTION("GOOGLETRANSLATE(C2502,""es"",""en"")"),"#VALUE!")</f>
        <v>#VALUE!</v>
      </c>
    </row>
    <row r="2503" spans="1:5" ht="13.2" x14ac:dyDescent="0.25">
      <c r="A2503" t="s">
        <v>4836</v>
      </c>
      <c r="B2503" t="s">
        <v>3665</v>
      </c>
      <c r="D2503" t="str">
        <f ca="1">IFERROR(__xludf.DUMMYFUNCTION("GOOGLETRANSLATE(B2503,""es"",""en"")"),"Chuzo")</f>
        <v>Chuzo</v>
      </c>
      <c r="E2503" t="str">
        <f ca="1">IFERROR(__xludf.DUMMYFUNCTION("GOOGLETRANSLATE(C2503,""es"",""en"")"),"#VALUE!")</f>
        <v>#VALUE!</v>
      </c>
    </row>
    <row r="2504" spans="1:5" ht="13.2" x14ac:dyDescent="0.25">
      <c r="A2504" t="s">
        <v>4837</v>
      </c>
      <c r="B2504" t="s">
        <v>4838</v>
      </c>
      <c r="C2504" t="s">
        <v>4839</v>
      </c>
      <c r="D2504" t="str">
        <f ca="1">IFERROR(__xludf.DUMMYFUNCTION("GOOGLETRANSLATE(B2504,""es"",""en"")"),"deep")</f>
        <v>deep</v>
      </c>
      <c r="E2504" t="str">
        <f ca="1">IFERROR(__xludf.DUMMYFUNCTION("GOOGLETRANSLATE(C2504,""es"",""en"")"),"deep ,,,,")</f>
        <v>deep ,,,,</v>
      </c>
    </row>
    <row r="2505" spans="1:5" ht="13.2" x14ac:dyDescent="0.25">
      <c r="A2505" t="s">
        <v>4840</v>
      </c>
      <c r="B2505" t="s">
        <v>4841</v>
      </c>
      <c r="C2505" t="s">
        <v>4842</v>
      </c>
      <c r="D2505" t="str">
        <f ca="1">IFERROR(__xludf.DUMMYFUNCTION("GOOGLETRANSLATE(B2505,""es"",""en"")"),"Cayuco profile")</f>
        <v>Cayuco profile</v>
      </c>
      <c r="E2505" t="str">
        <f ca="1">IFERROR(__xludf.DUMMYFUNCTION("GOOGLETRANSLATE(C2505,""es"",""en"")"),"Labrar ,,,,")</f>
        <v>Labrar ,,,,</v>
      </c>
    </row>
    <row r="2506" spans="1:5" ht="13.2" x14ac:dyDescent="0.25">
      <c r="A2506" t="s">
        <v>3671</v>
      </c>
      <c r="B2506" t="s">
        <v>4843</v>
      </c>
      <c r="D2506" t="str">
        <f ca="1">IFERROR(__xludf.DUMMYFUNCTION("GOOGLETRANSLATE(B2506,""es"",""en"")"),"Yeah")</f>
        <v>Yeah</v>
      </c>
      <c r="E2506" t="str">
        <f ca="1">IFERROR(__xludf.DUMMYFUNCTION("GOOGLETRANSLATE(C2506,""es"",""en"")"),"#VALUE!")</f>
        <v>#VALUE!</v>
      </c>
    </row>
    <row r="2507" spans="1:5" ht="13.2" x14ac:dyDescent="0.25">
      <c r="A2507" t="s">
        <v>3668</v>
      </c>
      <c r="B2507" t="s">
        <v>4843</v>
      </c>
      <c r="D2507" t="str">
        <f ca="1">IFERROR(__xludf.DUMMYFUNCTION("GOOGLETRANSLATE(B2507,""es"",""en"")"),"Yeah")</f>
        <v>Yeah</v>
      </c>
      <c r="E2507" t="str">
        <f ca="1">IFERROR(__xludf.DUMMYFUNCTION("GOOGLETRANSLATE(C2507,""es"",""en"")"),"#VALUE!")</f>
        <v>#VALUE!</v>
      </c>
    </row>
    <row r="2508" spans="1:5" ht="13.2" x14ac:dyDescent="0.25">
      <c r="A2508" t="s">
        <v>4844</v>
      </c>
      <c r="B2508" t="s">
        <v>4845</v>
      </c>
      <c r="C2508" t="s">
        <v>4846</v>
      </c>
      <c r="D2508" t="str">
        <f ca="1">IFERROR(__xludf.DUMMYFUNCTION("GOOGLETRANSLATE(B2508,""es"",""en"")"),"Chili pepper")</f>
        <v>Chili pepper</v>
      </c>
      <c r="E2508" t="str">
        <f ca="1">IFERROR(__xludf.DUMMYFUNCTION("GOOGLETRANSLATE(C2508,""es"",""en"")"),"Gut, spicy ,,,,")</f>
        <v>Gut, spicy ,,,,</v>
      </c>
    </row>
    <row r="2509" spans="1:5" ht="13.2" x14ac:dyDescent="0.25">
      <c r="A2509" t="s">
        <v>4847</v>
      </c>
      <c r="B2509" t="s">
        <v>4848</v>
      </c>
      <c r="C2509" t="s">
        <v>4849</v>
      </c>
      <c r="D2509" t="str">
        <f ca="1">IFERROR(__xludf.DUMMYFUNCTION("GOOGLETRANSLATE(B2509,""es"",""en"")"),"Walking stick")</f>
        <v>Walking stick</v>
      </c>
      <c r="E2509" t="str">
        <f ca="1">IFERROR(__xludf.DUMMYFUNCTION("GOOGLETRANSLATE(C2509,""es"",""en"")"),"Cayado, staff ,,,")</f>
        <v>Cayado, staff ,,,</v>
      </c>
    </row>
    <row r="2510" spans="1:5" ht="13.2" x14ac:dyDescent="0.25">
      <c r="A2510" t="s">
        <v>4850</v>
      </c>
      <c r="B2510" t="s">
        <v>4848</v>
      </c>
      <c r="D2510" t="str">
        <f ca="1">IFERROR(__xludf.DUMMYFUNCTION("GOOGLETRANSLATE(B2510,""es"",""en"")"),"Walking stick")</f>
        <v>Walking stick</v>
      </c>
      <c r="E2510" t="str">
        <f ca="1">IFERROR(__xludf.DUMMYFUNCTION("GOOGLETRANSLATE(C2510,""es"",""en"")"),"#VALUE!")</f>
        <v>#VALUE!</v>
      </c>
    </row>
    <row r="2511" spans="1:5" ht="13.2" x14ac:dyDescent="0.25">
      <c r="A2511" t="s">
        <v>4851</v>
      </c>
      <c r="B2511" t="s">
        <v>4852</v>
      </c>
      <c r="D2511" t="str">
        <f ca="1">IFERROR(__xludf.DUMMYFUNCTION("GOOGLETRANSLATE(B2511,""es"",""en"")"),"Walk aimlessly")</f>
        <v>Walk aimlessly</v>
      </c>
      <c r="E2511" t="str">
        <f ca="1">IFERROR(__xludf.DUMMYFUNCTION("GOOGLETRANSLATE(C2511,""es"",""en"")"),"#VALUE!")</f>
        <v>#VALUE!</v>
      </c>
    </row>
    <row r="2512" spans="1:5" ht="13.2" x14ac:dyDescent="0.25">
      <c r="A2512" t="s">
        <v>4853</v>
      </c>
      <c r="B2512" t="s">
        <v>4854</v>
      </c>
      <c r="D2512" t="str">
        <f ca="1">IFERROR(__xludf.DUMMYFUNCTION("GOOGLETRANSLATE(B2512,""es"",""en"")"),"Bell")</f>
        <v>Bell</v>
      </c>
      <c r="E2512" t="str">
        <f ca="1">IFERROR(__xludf.DUMMYFUNCTION("GOOGLETRANSLATE(C2512,""es"",""en"")"),"#VALUE!")</f>
        <v>#VALUE!</v>
      </c>
    </row>
    <row r="2513" spans="1:5" ht="13.2" x14ac:dyDescent="0.25">
      <c r="A2513" t="s">
        <v>1653</v>
      </c>
      <c r="B2513" t="s">
        <v>1652</v>
      </c>
      <c r="D2513" t="str">
        <f ca="1">IFERROR(__xludf.DUMMYFUNCTION("GOOGLETRANSLATE(B2513,""es"",""en"")"),"Dream")</f>
        <v>Dream</v>
      </c>
      <c r="E2513" t="str">
        <f ca="1">IFERROR(__xludf.DUMMYFUNCTION("GOOGLETRANSLATE(C2513,""es"",""en"")"),"#VALUE!")</f>
        <v>#VALUE!</v>
      </c>
    </row>
    <row r="2514" spans="1:5" ht="13.2" x14ac:dyDescent="0.25">
      <c r="A2514" t="s">
        <v>1651</v>
      </c>
      <c r="B2514" t="s">
        <v>1652</v>
      </c>
      <c r="D2514" t="str">
        <f ca="1">IFERROR(__xludf.DUMMYFUNCTION("GOOGLETRANSLATE(B2514,""es"",""en"")"),"Dream")</f>
        <v>Dream</v>
      </c>
      <c r="E2514" t="str">
        <f ca="1">IFERROR(__xludf.DUMMYFUNCTION("GOOGLETRANSLATE(C2514,""es"",""en"")"),"#VALUE!")</f>
        <v>#VALUE!</v>
      </c>
    </row>
    <row r="2515" spans="1:5" ht="13.2" x14ac:dyDescent="0.25">
      <c r="A2515" t="s">
        <v>4855</v>
      </c>
      <c r="B2515" t="s">
        <v>4856</v>
      </c>
      <c r="C2515" t="s">
        <v>4857</v>
      </c>
      <c r="D2515" t="str">
        <f ca="1">IFERROR(__xludf.DUMMYFUNCTION("GOOGLETRANSLATE(B2515,""es"",""en"")"),"hang on")</f>
        <v>hang on</v>
      </c>
      <c r="E2515" t="str">
        <f ca="1">IFERROR(__xludf.DUMMYFUNCTION("GOOGLETRANSLATE(C2515,""es"",""en"")"),"grab on, , , ,")</f>
        <v>grab on, , , ,</v>
      </c>
    </row>
    <row r="2516" spans="1:5" ht="13.2" x14ac:dyDescent="0.25">
      <c r="A2516" t="s">
        <v>4858</v>
      </c>
      <c r="B2516" t="s">
        <v>4859</v>
      </c>
      <c r="D2516" t="str">
        <f ca="1">IFERROR(__xludf.DUMMYFUNCTION("GOOGLETRANSLATE(B2516,""es"",""en"")"),"Sleep")</f>
        <v>Sleep</v>
      </c>
      <c r="E2516" t="str">
        <f ca="1">IFERROR(__xludf.DUMMYFUNCTION("GOOGLETRANSLATE(C2516,""es"",""en"")"),"#VALUE!")</f>
        <v>#VALUE!</v>
      </c>
    </row>
    <row r="2517" spans="1:5" ht="13.2" x14ac:dyDescent="0.25">
      <c r="A2517" t="s">
        <v>4860</v>
      </c>
      <c r="B2517" t="s">
        <v>4861</v>
      </c>
      <c r="C2517" t="s">
        <v>4862</v>
      </c>
      <c r="D2517" t="str">
        <f ca="1">IFERROR(__xludf.DUMMYFUNCTION("GOOGLETRANSLATE(B2517,""es"",""en"")"),"While one sleeps")</f>
        <v>While one sleeps</v>
      </c>
      <c r="E2517" t="str">
        <f ca="1">IFERROR(__xludf.DUMMYFUNCTION("GOOGLETRANSLATE(C2517,""es"",""en"")"),"asleep, , , ,")</f>
        <v>asleep, , , ,</v>
      </c>
    </row>
    <row r="2518" spans="1:5" ht="13.2" x14ac:dyDescent="0.25">
      <c r="A2518" t="s">
        <v>4863</v>
      </c>
      <c r="B2518" t="s">
        <v>4864</v>
      </c>
      <c r="D2518" t="str">
        <f ca="1">IFERROR(__xludf.DUMMYFUNCTION("GOOGLETRANSLATE(B2518,""es"",""en"")"),"Coffee")</f>
        <v>Coffee</v>
      </c>
      <c r="E2518" t="str">
        <f ca="1">IFERROR(__xludf.DUMMYFUNCTION("GOOGLETRANSLATE(C2518,""es"",""en"")"),"#VALUE!")</f>
        <v>#VALUE!</v>
      </c>
    </row>
    <row r="2519" spans="1:5" ht="13.2" x14ac:dyDescent="0.25">
      <c r="A2519" t="s">
        <v>4865</v>
      </c>
      <c r="B2519" t="s">
        <v>4866</v>
      </c>
      <c r="D2519" t="str">
        <f ca="1">IFERROR(__xludf.DUMMYFUNCTION("GOOGLETRANSLATE(B2519,""es"",""en"")"),"Coffee plantation")</f>
        <v>Coffee plantation</v>
      </c>
      <c r="E2519" t="str">
        <f ca="1">IFERROR(__xludf.DUMMYFUNCTION("GOOGLETRANSLATE(C2519,""es"",""en"")"),"#VALUE!")</f>
        <v>#VALUE!</v>
      </c>
    </row>
    <row r="2520" spans="1:5" ht="13.2" x14ac:dyDescent="0.25">
      <c r="A2520" t="s">
        <v>4867</v>
      </c>
      <c r="B2520" t="s">
        <v>4868</v>
      </c>
      <c r="D2520" t="str">
        <f ca="1">IFERROR(__xludf.DUMMYFUNCTION("GOOGLETRANSLATE(B2520,""es"",""en"")"),"Conguito chili")</f>
        <v>Conguito chili</v>
      </c>
      <c r="E2520" t="str">
        <f ca="1">IFERROR(__xludf.DUMMYFUNCTION("GOOGLETRANSLATE(C2520,""es"",""en"")"),"#VALUE!")</f>
        <v>#VALUE!</v>
      </c>
    </row>
    <row r="2521" spans="1:5" ht="13.2" x14ac:dyDescent="0.25">
      <c r="A2521" t="s">
        <v>1458</v>
      </c>
      <c r="B2521" t="s">
        <v>4869</v>
      </c>
      <c r="C2521" t="s">
        <v>4870</v>
      </c>
      <c r="D2521" t="str">
        <f ca="1">IFERROR(__xludf.DUMMYFUNCTION("GOOGLETRANSLATE(B2521,""es"",""en"")"),"Even more")</f>
        <v>Even more</v>
      </c>
      <c r="E2521" t="str">
        <f ca="1">IFERROR(__xludf.DUMMYFUNCTION("GOOGLETRANSLATE(C2521,""es"",""en"")"),"Even more, , , ,")</f>
        <v>Even more, , , ,</v>
      </c>
    </row>
    <row r="2522" spans="1:5" ht="13.2" x14ac:dyDescent="0.25">
      <c r="A2522" t="s">
        <v>1460</v>
      </c>
      <c r="B2522" t="s">
        <v>4871</v>
      </c>
      <c r="C2522" t="s">
        <v>4870</v>
      </c>
      <c r="D2522" t="str">
        <f ca="1">IFERROR(__xludf.DUMMYFUNCTION("GOOGLETRANSLATE(B2522,""es"",""en"")"),"Even more")</f>
        <v>Even more</v>
      </c>
      <c r="E2522" t="str">
        <f ca="1">IFERROR(__xludf.DUMMYFUNCTION("GOOGLETRANSLATE(C2522,""es"",""en"")"),"Even more, , , ,")</f>
        <v>Even more, , , ,</v>
      </c>
    </row>
    <row r="2523" spans="1:5" ht="13.2" x14ac:dyDescent="0.25">
      <c r="A2523" t="s">
        <v>1455</v>
      </c>
      <c r="B2523" t="s">
        <v>4869</v>
      </c>
      <c r="C2523" t="s">
        <v>4870</v>
      </c>
      <c r="D2523" t="str">
        <f ca="1">IFERROR(__xludf.DUMMYFUNCTION("GOOGLETRANSLATE(B2523,""es"",""en"")"),"Even more")</f>
        <v>Even more</v>
      </c>
      <c r="E2523" t="str">
        <f ca="1">IFERROR(__xludf.DUMMYFUNCTION("GOOGLETRANSLATE(C2523,""es"",""en"")"),"Even more, , , ,")</f>
        <v>Even more, , , ,</v>
      </c>
    </row>
    <row r="2524" spans="1:5" ht="13.2" x14ac:dyDescent="0.25">
      <c r="A2524" t="s">
        <v>4872</v>
      </c>
      <c r="B2524" t="s">
        <v>4873</v>
      </c>
      <c r="C2524" t="s">
        <v>4874</v>
      </c>
      <c r="D2524" t="str">
        <f ca="1">IFERROR(__xludf.DUMMYFUNCTION("GOOGLETRANSLATE(B2524,""es"",""en"")"),"Grab")</f>
        <v>Grab</v>
      </c>
      <c r="E2524" t="str">
        <f ca="1">IFERROR(__xludf.DUMMYFUNCTION("GOOGLETRANSLATE(C2524,""es"",""en"")"),"Stop, hold ,,,,")</f>
        <v>Stop, hold ,,,,</v>
      </c>
    </row>
    <row r="2525" spans="1:5" ht="13.2" x14ac:dyDescent="0.25">
      <c r="A2525" t="s">
        <v>4875</v>
      </c>
      <c r="B2525" t="s">
        <v>4876</v>
      </c>
      <c r="D2525" t="str">
        <f ca="1">IFERROR(__xludf.DUMMYFUNCTION("GOOGLETRANSLATE(B2525,""es"",""en"")"),"Cackle")</f>
        <v>Cackle</v>
      </c>
      <c r="E2525" t="str">
        <f ca="1">IFERROR(__xludf.DUMMYFUNCTION("GOOGLETRANSLATE(C2525,""es"",""en"")"),"#VALUE!")</f>
        <v>#VALUE!</v>
      </c>
    </row>
    <row r="2526" spans="1:5" ht="13.2" x14ac:dyDescent="0.25">
      <c r="A2526" t="s">
        <v>4877</v>
      </c>
      <c r="B2526" t="s">
        <v>4878</v>
      </c>
      <c r="D2526" t="str">
        <f ca="1">IFERROR(__xludf.DUMMYFUNCTION("GOOGLETRANSLATE(B2526,""es"",""en"")"),"Axe")</f>
        <v>Axe</v>
      </c>
      <c r="E2526" t="str">
        <f ca="1">IFERROR(__xludf.DUMMYFUNCTION("GOOGLETRANSLATE(C2526,""es"",""en"")"),"#VALUE!")</f>
        <v>#VALUE!</v>
      </c>
    </row>
    <row r="2527" spans="1:5" ht="13.2" x14ac:dyDescent="0.25">
      <c r="A2527" t="s">
        <v>4879</v>
      </c>
      <c r="B2527" t="s">
        <v>4880</v>
      </c>
      <c r="C2527" t="s">
        <v>4881</v>
      </c>
      <c r="D2527" t="str">
        <f ca="1">IFERROR(__xludf.DUMMYFUNCTION("GOOGLETRANSLATE(B2527,""es"",""en"")"),"Grass")</f>
        <v>Grass</v>
      </c>
      <c r="E2527" t="str">
        <f ca="1">IFERROR(__xludf.DUMMYFUNCTION("GOOGLETRANSLATE(C2527,""es"",""en"")"),"straw, , , ,")</f>
        <v>straw, , , ,</v>
      </c>
    </row>
    <row r="2528" spans="1:5" ht="13.2" x14ac:dyDescent="0.25">
      <c r="A2528" t="s">
        <v>4882</v>
      </c>
      <c r="B2528" t="s">
        <v>4880</v>
      </c>
      <c r="C2528" t="s">
        <v>4881</v>
      </c>
      <c r="D2528" t="str">
        <f ca="1">IFERROR(__xludf.DUMMYFUNCTION("GOOGLETRANSLATE(B2528,""es"",""en"")"),"Grass")</f>
        <v>Grass</v>
      </c>
      <c r="E2528" t="str">
        <f ca="1">IFERROR(__xludf.DUMMYFUNCTION("GOOGLETRANSLATE(C2528,""es"",""en"")"),"straw, , , ,")</f>
        <v>straw, , , ,</v>
      </c>
    </row>
    <row r="2529" spans="1:5" ht="13.2" x14ac:dyDescent="0.25">
      <c r="A2529" t="s">
        <v>4883</v>
      </c>
      <c r="B2529" t="s">
        <v>4884</v>
      </c>
      <c r="D2529" t="str">
        <f ca="1">IFERROR(__xludf.DUMMYFUNCTION("GOOGLETRANSLATE(B2529,""es"",""en"")"),"Sand Guabina")</f>
        <v>Sand Guabina</v>
      </c>
      <c r="E2529" t="str">
        <f ca="1">IFERROR(__xludf.DUMMYFUNCTION("GOOGLETRANSLATE(C2529,""es"",""en"")"),"#VALUE!")</f>
        <v>#VALUE!</v>
      </c>
    </row>
    <row r="2530" spans="1:5" ht="13.2" x14ac:dyDescent="0.25">
      <c r="A2530" t="s">
        <v>4885</v>
      </c>
      <c r="B2530" t="s">
        <v>4884</v>
      </c>
      <c r="D2530" t="str">
        <f ca="1">IFERROR(__xludf.DUMMYFUNCTION("GOOGLETRANSLATE(B2530,""es"",""en"")"),"Sand Guabina")</f>
        <v>Sand Guabina</v>
      </c>
      <c r="E2530" t="str">
        <f ca="1">IFERROR(__xludf.DUMMYFUNCTION("GOOGLETRANSLATE(C2530,""es"",""en"")"),"#VALUE!")</f>
        <v>#VALUE!</v>
      </c>
    </row>
    <row r="2531" spans="1:5" ht="13.2" x14ac:dyDescent="0.25">
      <c r="A2531" t="s">
        <v>4052</v>
      </c>
      <c r="B2531" t="s">
        <v>4051</v>
      </c>
      <c r="D2531" t="str">
        <f ca="1">IFERROR(__xludf.DUMMYFUNCTION("GOOGLETRANSLATE(B2531,""es"",""en"")"),"Weeping")</f>
        <v>Weeping</v>
      </c>
      <c r="E2531" t="str">
        <f ca="1">IFERROR(__xludf.DUMMYFUNCTION("GOOGLETRANSLATE(C2531,""es"",""en"")"),"#VALUE!")</f>
        <v>#VALUE!</v>
      </c>
    </row>
    <row r="2532" spans="1:5" ht="13.2" x14ac:dyDescent="0.25">
      <c r="A2532" t="s">
        <v>4050</v>
      </c>
      <c r="B2532" t="s">
        <v>4051</v>
      </c>
      <c r="D2532" t="str">
        <f ca="1">IFERROR(__xludf.DUMMYFUNCTION("GOOGLETRANSLATE(B2532,""es"",""en"")"),"Weeping")</f>
        <v>Weeping</v>
      </c>
      <c r="E2532" t="str">
        <f ca="1">IFERROR(__xludf.DUMMYFUNCTION("GOOGLETRANSLATE(C2532,""es"",""en"")"),"#VALUE!")</f>
        <v>#VALUE!</v>
      </c>
    </row>
    <row r="2533" spans="1:5" ht="13.2" x14ac:dyDescent="0.25">
      <c r="A2533" t="s">
        <v>4886</v>
      </c>
      <c r="B2533" t="s">
        <v>4887</v>
      </c>
      <c r="C2533" t="s">
        <v>3069</v>
      </c>
      <c r="D2533" t="str">
        <f ca="1">IFERROR(__xludf.DUMMYFUNCTION("GOOGLETRANSLATE(B2533,""es"",""en"")"),"Mouth")</f>
        <v>Mouth</v>
      </c>
      <c r="E2533" t="str">
        <f ca="1">IFERROR(__xludf.DUMMYFUNCTION("GOOGLETRANSLATE(C2533,""es"",""en"")"),"Coast, , , ,")</f>
        <v>Coast, , , ,</v>
      </c>
    </row>
    <row r="2534" spans="1:5" ht="13.2" x14ac:dyDescent="0.25">
      <c r="A2534" t="s">
        <v>4888</v>
      </c>
      <c r="B2534" t="s">
        <v>4887</v>
      </c>
      <c r="D2534" t="str">
        <f ca="1">IFERROR(__xludf.DUMMYFUNCTION("GOOGLETRANSLATE(B2534,""es"",""en"")"),"Mouth")</f>
        <v>Mouth</v>
      </c>
      <c r="E2534" t="str">
        <f ca="1">IFERROR(__xludf.DUMMYFUNCTION("GOOGLETRANSLATE(C2534,""es"",""en"")"),"#VALUE!")</f>
        <v>#VALUE!</v>
      </c>
    </row>
    <row r="2535" spans="1:5" ht="13.2" x14ac:dyDescent="0.25">
      <c r="A2535" t="s">
        <v>4889</v>
      </c>
      <c r="B2535" t="s">
        <v>26</v>
      </c>
      <c r="D2535" t="str">
        <f ca="1">IFERROR(__xludf.DUMMYFUNCTION("GOOGLETRANSLATE(B2535,""es"",""en"")"),"Adjective")</f>
        <v>Adjective</v>
      </c>
      <c r="E2535" t="str">
        <f ca="1">IFERROR(__xludf.DUMMYFUNCTION("GOOGLETRANSLATE(C2535,""es"",""en"")"),"#VALUE!")</f>
        <v>#VALUE!</v>
      </c>
    </row>
    <row r="2536" spans="1:5" ht="13.2" x14ac:dyDescent="0.25">
      <c r="A2536" t="s">
        <v>25</v>
      </c>
      <c r="B2536" t="s">
        <v>26</v>
      </c>
      <c r="D2536" t="str">
        <f ca="1">IFERROR(__xludf.DUMMYFUNCTION("GOOGLETRANSLATE(B2536,""es"",""en"")"),"Adjective")</f>
        <v>Adjective</v>
      </c>
      <c r="E2536" t="str">
        <f ca="1">IFERROR(__xludf.DUMMYFUNCTION("GOOGLETRANSLATE(C2536,""es"",""en"")"),"#VALUE!")</f>
        <v>#VALUE!</v>
      </c>
    </row>
    <row r="2537" spans="1:5" ht="13.2" x14ac:dyDescent="0.25">
      <c r="A2537" t="s">
        <v>4890</v>
      </c>
      <c r="B2537" t="s">
        <v>4891</v>
      </c>
      <c r="D2537" t="str">
        <f ca="1">IFERROR(__xludf.DUMMYFUNCTION("GOOGLETRANSLATE(B2537,""es"",""en"")"),"Just in case")</f>
        <v>Just in case</v>
      </c>
      <c r="E2537" t="str">
        <f ca="1">IFERROR(__xludf.DUMMYFUNCTION("GOOGLETRANSLATE(C2537,""es"",""en"")"),"#VALUE!")</f>
        <v>#VALUE!</v>
      </c>
    </row>
    <row r="2538" spans="1:5" ht="13.2" x14ac:dyDescent="0.25">
      <c r="A2538" t="s">
        <v>4892</v>
      </c>
      <c r="B2538" t="s">
        <v>4893</v>
      </c>
      <c r="D2538" t="str">
        <f ca="1">IFERROR(__xludf.DUMMYFUNCTION("GOOGLETRANSLATE(B2538,""es"",""en"")"),"Ax mango")</f>
        <v>Ax mango</v>
      </c>
      <c r="E2538" t="str">
        <f ca="1">IFERROR(__xludf.DUMMYFUNCTION("GOOGLETRANSLATE(C2538,""es"",""en"")"),"#VALUE!")</f>
        <v>#VALUE!</v>
      </c>
    </row>
    <row r="2539" spans="1:5" ht="13.2" x14ac:dyDescent="0.25">
      <c r="A2539" t="s">
        <v>4894</v>
      </c>
      <c r="B2539" t="s">
        <v>4895</v>
      </c>
      <c r="C2539" t="s">
        <v>4896</v>
      </c>
      <c r="D2539" t="str">
        <f ca="1">IFERROR(__xludf.DUMMYFUNCTION("GOOGLETRANSLATE(B2539,""es"",""en"")"),"Lie")</f>
        <v>Lie</v>
      </c>
      <c r="E2539" t="str">
        <f ca="1">IFERROR(__xludf.DUMMYFUNCTION("GOOGLETRANSLATE(C2539,""es"",""en"")"),"gossip, lies ,,,,")</f>
        <v>gossip, lies ,,,,</v>
      </c>
    </row>
    <row r="2540" spans="1:5" ht="13.2" x14ac:dyDescent="0.25">
      <c r="A2540" t="s">
        <v>4897</v>
      </c>
      <c r="B2540" t="s">
        <v>4895</v>
      </c>
      <c r="C2540" t="s">
        <v>4896</v>
      </c>
      <c r="D2540" t="str">
        <f ca="1">IFERROR(__xludf.DUMMYFUNCTION("GOOGLETRANSLATE(B2540,""es"",""en"")"),"Lie")</f>
        <v>Lie</v>
      </c>
      <c r="E2540" t="str">
        <f ca="1">IFERROR(__xludf.DUMMYFUNCTION("GOOGLETRANSLATE(C2540,""es"",""en"")"),"gossip, lies ,,,,")</f>
        <v>gossip, lies ,,,,</v>
      </c>
    </row>
    <row r="2541" spans="1:5" ht="13.2" x14ac:dyDescent="0.25">
      <c r="A2541" t="s">
        <v>4898</v>
      </c>
      <c r="B2541" t="s">
        <v>4899</v>
      </c>
      <c r="C2541" t="s">
        <v>4900</v>
      </c>
      <c r="D2541" t="str">
        <f ca="1">IFERROR(__xludf.DUMMYFUNCTION("GOOGLETRANSLATE(B2541,""es"",""en"")"),"Lie")</f>
        <v>Lie</v>
      </c>
      <c r="E2541" t="str">
        <f ca="1">IFERROR(__xludf.DUMMYFUNCTION("GOOGLETRANSLATE(C2541,""es"",""en"")"),"False, scam ,,,,")</f>
        <v>False, scam ,,,,</v>
      </c>
    </row>
    <row r="2542" spans="1:5" ht="13.2" x14ac:dyDescent="0.25">
      <c r="A2542" t="s">
        <v>4901</v>
      </c>
      <c r="B2542" t="s">
        <v>4902</v>
      </c>
      <c r="C2542" t="s">
        <v>4903</v>
      </c>
      <c r="D2542" t="str">
        <f ca="1">IFERROR(__xludf.DUMMYFUNCTION("GOOGLETRANSLATE(B2542,""es"",""en"")"),"Liar")</f>
        <v>Liar</v>
      </c>
      <c r="E2542" t="str">
        <f ca="1">IFERROR(__xludf.DUMMYFUNCTION("GOOGLETRANSLATE(C2542,""es"",""en"")"),"Embuster ,,,,")</f>
        <v>Embuster ,,,,</v>
      </c>
    </row>
    <row r="2543" spans="1:5" ht="13.2" x14ac:dyDescent="0.25">
      <c r="A2543" t="s">
        <v>4072</v>
      </c>
      <c r="B2543" t="s">
        <v>4904</v>
      </c>
      <c r="D2543" t="str">
        <f ca="1">IFERROR(__xludf.DUMMYFUNCTION("GOOGLETRANSLATE(B2543,""es"",""en"")"),"Drizzle")</f>
        <v>Drizzle</v>
      </c>
      <c r="E2543" t="str">
        <f ca="1">IFERROR(__xludf.DUMMYFUNCTION("GOOGLETRANSLATE(C2543,""es"",""en"")"),"#VALUE!")</f>
        <v>#VALUE!</v>
      </c>
    </row>
    <row r="2544" spans="1:5" ht="13.2" x14ac:dyDescent="0.25">
      <c r="A2544" t="s">
        <v>4069</v>
      </c>
      <c r="B2544" t="s">
        <v>4904</v>
      </c>
      <c r="D2544" t="str">
        <f ca="1">IFERROR(__xludf.DUMMYFUNCTION("GOOGLETRANSLATE(B2544,""es"",""en"")"),"Drizzle")</f>
        <v>Drizzle</v>
      </c>
      <c r="E2544" t="str">
        <f ca="1">IFERROR(__xludf.DUMMYFUNCTION("GOOGLETRANSLATE(C2544,""es"",""en"")"),"#VALUE!")</f>
        <v>#VALUE!</v>
      </c>
    </row>
    <row r="2545" spans="1:5" ht="13.2" x14ac:dyDescent="0.25">
      <c r="A2545" t="s">
        <v>4324</v>
      </c>
      <c r="B2545" t="s">
        <v>4322</v>
      </c>
      <c r="C2545" t="s">
        <v>4323</v>
      </c>
      <c r="D2545" t="str">
        <f ca="1">IFERROR(__xludf.DUMMYFUNCTION("GOOGLETRANSLATE(B2545,""es"",""en"")"),"No tip")</f>
        <v>No tip</v>
      </c>
      <c r="E2545" t="str">
        <f ca="1">IFERROR(__xludf.DUMMYFUNCTION("GOOGLETRANSLATE(C2545,""es"",""en"")"),"Blunt, , , ,")</f>
        <v>Blunt, , , ,</v>
      </c>
    </row>
    <row r="2546" spans="1:5" ht="13.2" x14ac:dyDescent="0.25">
      <c r="A2546" t="s">
        <v>4905</v>
      </c>
      <c r="B2546" t="s">
        <v>4906</v>
      </c>
      <c r="D2546" t="str">
        <f ca="1">IFERROR(__xludf.DUMMYFUNCTION("GOOGLETRANSLATE(B2546,""es"",""en"")"),"Lips")</f>
        <v>Lips</v>
      </c>
      <c r="E2546" t="str">
        <f ca="1">IFERROR(__xludf.DUMMYFUNCTION("GOOGLETRANSLATE(C2546,""es"",""en"")"),"#VALUE!")</f>
        <v>#VALUE!</v>
      </c>
    </row>
    <row r="2547" spans="1:5" ht="13.2" x14ac:dyDescent="0.25">
      <c r="A2547" t="s">
        <v>4907</v>
      </c>
      <c r="B2547" t="s">
        <v>4906</v>
      </c>
      <c r="D2547" t="str">
        <f ca="1">IFERROR(__xludf.DUMMYFUNCTION("GOOGLETRANSLATE(B2547,""es"",""en"")"),"Lips")</f>
        <v>Lips</v>
      </c>
      <c r="E2547" t="str">
        <f ca="1">IFERROR(__xludf.DUMMYFUNCTION("GOOGLETRANSLATE(C2547,""es"",""en"")"),"#VALUE!")</f>
        <v>#VALUE!</v>
      </c>
    </row>
    <row r="2548" spans="1:5" ht="13.2" x14ac:dyDescent="0.25">
      <c r="A2548" t="s">
        <v>3437</v>
      </c>
      <c r="B2548" t="s">
        <v>3431</v>
      </c>
      <c r="C2548" t="s">
        <v>4908</v>
      </c>
      <c r="D2548" t="str">
        <f ca="1">IFERROR(__xludf.DUMMYFUNCTION("GOOGLETRANSLATE(B2548,""es"",""en"")"),"Saliva")</f>
        <v>Saliva</v>
      </c>
      <c r="E2548" t="str">
        <f ca="1">IFERROR(__xludf.DUMMYFUNCTION("GOOGLETRANSLATE(C2548,""es"",""en"")"),"Baba ,,,,")</f>
        <v>Baba ,,,,</v>
      </c>
    </row>
    <row r="2549" spans="1:5" ht="13.2" x14ac:dyDescent="0.25">
      <c r="A2549" t="s">
        <v>4909</v>
      </c>
      <c r="B2549" t="s">
        <v>4910</v>
      </c>
      <c r="C2549" t="s">
        <v>4911</v>
      </c>
      <c r="D2549" t="str">
        <f ca="1">IFERROR(__xludf.DUMMYFUNCTION("GOOGLETRANSLATE(B2549,""es"",""en"")"),"diverse")</f>
        <v>diverse</v>
      </c>
      <c r="E2549" t="str">
        <f ca="1">IFERROR(__xludf.DUMMYFUNCTION("GOOGLETRANSLATE(C2549,""es"",""en"")"),"different, , , ,")</f>
        <v>different, , , ,</v>
      </c>
    </row>
    <row r="2550" spans="1:5" ht="13.2" x14ac:dyDescent="0.25">
      <c r="A2550" t="s">
        <v>3430</v>
      </c>
      <c r="B2550" t="s">
        <v>3431</v>
      </c>
      <c r="D2550" t="str">
        <f ca="1">IFERROR(__xludf.DUMMYFUNCTION("GOOGLETRANSLATE(B2550,""es"",""en"")"),"Saliva")</f>
        <v>Saliva</v>
      </c>
      <c r="E2550" t="str">
        <f ca="1">IFERROR(__xludf.DUMMYFUNCTION("GOOGLETRANSLATE(C2550,""es"",""en"")"),"#VALUE!")</f>
        <v>#VALUE!</v>
      </c>
    </row>
    <row r="2551" spans="1:5" ht="13.2" x14ac:dyDescent="0.25">
      <c r="A2551" t="s">
        <v>4912</v>
      </c>
      <c r="B2551" t="s">
        <v>4913</v>
      </c>
      <c r="D2551" t="str">
        <f ca="1">IFERROR(__xludf.DUMMYFUNCTION("GOOGLETRANSLATE(B2551,""es"",""en"")"),"Sugar cane")</f>
        <v>Sugar cane</v>
      </c>
      <c r="E2551" t="str">
        <f ca="1">IFERROR(__xludf.DUMMYFUNCTION("GOOGLETRANSLATE(C2551,""es"",""en"")"),"#VALUE!")</f>
        <v>#VALUE!</v>
      </c>
    </row>
    <row r="2552" spans="1:5" ht="13.2" x14ac:dyDescent="0.25">
      <c r="A2552" t="s">
        <v>4888</v>
      </c>
      <c r="B2552" t="s">
        <v>4913</v>
      </c>
      <c r="D2552" t="str">
        <f ca="1">IFERROR(__xludf.DUMMYFUNCTION("GOOGLETRANSLATE(B2552,""es"",""en"")"),"Sugar cane")</f>
        <v>Sugar cane</v>
      </c>
      <c r="E2552" t="str">
        <f ca="1">IFERROR(__xludf.DUMMYFUNCTION("GOOGLETRANSLATE(C2552,""es"",""en"")"),"#VALUE!")</f>
        <v>#VALUE!</v>
      </c>
    </row>
    <row r="2553" spans="1:5" ht="13.2" x14ac:dyDescent="0.25">
      <c r="A2553" t="s">
        <v>4914</v>
      </c>
      <c r="B2553" t="s">
        <v>4915</v>
      </c>
      <c r="D2553" t="str">
        <f ca="1">IFERROR(__xludf.DUMMYFUNCTION("GOOGLETRANSLATE(B2553,""es"",""en"")"),"Bitter")</f>
        <v>Bitter</v>
      </c>
      <c r="E2553" t="str">
        <f ca="1">IFERROR(__xludf.DUMMYFUNCTION("GOOGLETRANSLATE(C2553,""es"",""en"")"),"#VALUE!")</f>
        <v>#VALUE!</v>
      </c>
    </row>
    <row r="2554" spans="1:5" ht="13.2" x14ac:dyDescent="0.25">
      <c r="A2554" t="s">
        <v>4916</v>
      </c>
      <c r="B2554" t="s">
        <v>4917</v>
      </c>
      <c r="D2554" t="str">
        <f ca="1">IFERROR(__xludf.DUMMYFUNCTION("GOOGLETRANSLATE(B2554,""es"",""en"")"),"Little bitter")</f>
        <v>Little bitter</v>
      </c>
      <c r="E2554" t="str">
        <f ca="1">IFERROR(__xludf.DUMMYFUNCTION("GOOGLETRANSLATE(C2554,""es"",""en"")"),"#VALUE!")</f>
        <v>#VALUE!</v>
      </c>
    </row>
    <row r="2555" spans="1:5" ht="13.2" x14ac:dyDescent="0.25">
      <c r="A2555" t="s">
        <v>4918</v>
      </c>
      <c r="B2555" t="s">
        <v>4919</v>
      </c>
      <c r="D2555" t="str">
        <f ca="1">IFERROR(__xludf.DUMMYFUNCTION("GOOGLETRANSLATE(B2555,""es"",""en"")"),"Little bitter")</f>
        <v>Little bitter</v>
      </c>
      <c r="E2555" t="str">
        <f ca="1">IFERROR(__xludf.DUMMYFUNCTION("GOOGLETRANSLATE(C2555,""es"",""en"")"),"#VALUE!")</f>
        <v>#VALUE!</v>
      </c>
    </row>
    <row r="2556" spans="1:5" ht="13.2" x14ac:dyDescent="0.25">
      <c r="A2556" t="s">
        <v>833</v>
      </c>
      <c r="B2556" t="s">
        <v>831</v>
      </c>
      <c r="D2556" t="str">
        <f ca="1">IFERROR(__xludf.DUMMYFUNCTION("GOOGLETRANSLATE(B2556,""es"",""en"")"),"Fermented cane juice")</f>
        <v>Fermented cane juice</v>
      </c>
      <c r="E2556" t="str">
        <f ca="1">IFERROR(__xludf.DUMMYFUNCTION("GOOGLETRANSLATE(C2556,""es"",""en"")"),"#VALUE!")</f>
        <v>#VALUE!</v>
      </c>
    </row>
    <row r="2557" spans="1:5" ht="13.2" x14ac:dyDescent="0.25">
      <c r="A2557" t="s">
        <v>829</v>
      </c>
      <c r="B2557" t="s">
        <v>4920</v>
      </c>
      <c r="D2557" t="str">
        <f ca="1">IFERROR(__xludf.DUMMYFUNCTION("GOOGLETRANSLATE(B2557,""es"",""en"")"),"Fermented cane juice")</f>
        <v>Fermented cane juice</v>
      </c>
      <c r="E2557" t="str">
        <f ca="1">IFERROR(__xludf.DUMMYFUNCTION("GOOGLETRANSLATE(C2557,""es"",""en"")"),"#VALUE!")</f>
        <v>#VALUE!</v>
      </c>
    </row>
    <row r="2558" spans="1:5" ht="13.2" x14ac:dyDescent="0.25">
      <c r="A2558" t="s">
        <v>830</v>
      </c>
      <c r="B2558" t="s">
        <v>4920</v>
      </c>
      <c r="D2558" t="str">
        <f ca="1">IFERROR(__xludf.DUMMYFUNCTION("GOOGLETRANSLATE(B2558,""es"",""en"")"),"Fermented cane juice")</f>
        <v>Fermented cane juice</v>
      </c>
      <c r="E2558" t="str">
        <f ca="1">IFERROR(__xludf.DUMMYFUNCTION("GOOGLETRANSLATE(C2558,""es"",""en"")"),"#VALUE!")</f>
        <v>#VALUE!</v>
      </c>
    </row>
    <row r="2559" spans="1:5" ht="13.2" x14ac:dyDescent="0.25">
      <c r="A2559" t="s">
        <v>845</v>
      </c>
      <c r="B2559" t="s">
        <v>843</v>
      </c>
      <c r="C2559" t="s">
        <v>840</v>
      </c>
      <c r="D2559" t="str">
        <f ca="1">IFERROR(__xludf.DUMMYFUNCTION("GOOGLETRANSLATE(B2559,""es"",""en"")"),"Ceremony House")</f>
        <v>Ceremony House</v>
      </c>
      <c r="E2559" t="str">
        <f ca="1">IFERROR(__xludf.DUMMYFUNCTION("GOOGLETRANSLATE(C2559,""es"",""en"")"),"Chicha house ,,,,")</f>
        <v>Chicha house ,,,,</v>
      </c>
    </row>
    <row r="2560" spans="1:5" ht="13.2" x14ac:dyDescent="0.25">
      <c r="A2560" t="s">
        <v>4921</v>
      </c>
      <c r="B2560" t="s">
        <v>4922</v>
      </c>
      <c r="C2560" t="s">
        <v>4923</v>
      </c>
      <c r="D2560" t="str">
        <f ca="1">IFERROR(__xludf.DUMMYFUNCTION("GOOGLETRANSLATE(B2560,""es"",""en"")"),"I distinguish")</f>
        <v>I distinguish</v>
      </c>
      <c r="E2560" t="str">
        <f ca="1">IFERROR(__xludf.DUMMYFUNCTION("GOOGLETRANSLATE(C2560,""es"",""en"")"),"diverse, different ,,,,")</f>
        <v>diverse, different ,,,,</v>
      </c>
    </row>
    <row r="2561" spans="1:5" ht="13.2" x14ac:dyDescent="0.25">
      <c r="A2561" t="s">
        <v>846</v>
      </c>
      <c r="B2561" t="s">
        <v>4924</v>
      </c>
      <c r="D2561" t="str">
        <f ca="1">IFERROR(__xludf.DUMMYFUNCTION("GOOGLETRANSLATE(B2561,""es"",""en"")"),"Chicha house")</f>
        <v>Chicha house</v>
      </c>
      <c r="E2561" t="str">
        <f ca="1">IFERROR(__xludf.DUMMYFUNCTION("GOOGLETRANSLATE(C2561,""es"",""en"")"),"#VALUE!")</f>
        <v>#VALUE!</v>
      </c>
    </row>
    <row r="2562" spans="1:5" ht="13.2" x14ac:dyDescent="0.25">
      <c r="A2562" t="s">
        <v>838</v>
      </c>
      <c r="B2562" t="s">
        <v>843</v>
      </c>
      <c r="D2562" t="str">
        <f ca="1">IFERROR(__xludf.DUMMYFUNCTION("GOOGLETRANSLATE(B2562,""es"",""en"")"),"Ceremony House")</f>
        <v>Ceremony House</v>
      </c>
      <c r="E2562" t="str">
        <f ca="1">IFERROR(__xludf.DUMMYFUNCTION("GOOGLETRANSLATE(C2562,""es"",""en"")"),"#VALUE!")</f>
        <v>#VALUE!</v>
      </c>
    </row>
    <row r="2563" spans="1:5" ht="13.2" x14ac:dyDescent="0.25">
      <c r="A2563" t="s">
        <v>4925</v>
      </c>
      <c r="B2563" t="s">
        <v>843</v>
      </c>
      <c r="D2563" t="str">
        <f ca="1">IFERROR(__xludf.DUMMYFUNCTION("GOOGLETRANSLATE(B2563,""es"",""en"")"),"Ceremony House")</f>
        <v>Ceremony House</v>
      </c>
      <c r="E2563" t="str">
        <f ca="1">IFERROR(__xludf.DUMMYFUNCTION("GOOGLETRANSLATE(C2563,""es"",""en"")"),"#VALUE!")</f>
        <v>#VALUE!</v>
      </c>
    </row>
    <row r="2564" spans="1:5" ht="13.2" x14ac:dyDescent="0.25">
      <c r="A2564" t="s">
        <v>24</v>
      </c>
      <c r="B2564" t="s">
        <v>22</v>
      </c>
      <c r="D2564" t="str">
        <f ca="1">IFERROR(__xludf.DUMMYFUNCTION("GOOGLETRANSLATE(B2564,""es"",""en"")"),"Reedbed")</f>
        <v>Reedbed</v>
      </c>
      <c r="E2564" t="str">
        <f ca="1">IFERROR(__xludf.DUMMYFUNCTION("GOOGLETRANSLATE(C2564,""es"",""en"")"),"#VALUE!")</f>
        <v>#VALUE!</v>
      </c>
    </row>
    <row r="2565" spans="1:5" ht="13.2" x14ac:dyDescent="0.25">
      <c r="A2565" t="s">
        <v>21</v>
      </c>
      <c r="B2565" t="s">
        <v>22</v>
      </c>
      <c r="D2565" t="str">
        <f ca="1">IFERROR(__xludf.DUMMYFUNCTION("GOOGLETRANSLATE(B2565,""es"",""en"")"),"Reedbed")</f>
        <v>Reedbed</v>
      </c>
      <c r="E2565" t="str">
        <f ca="1">IFERROR(__xludf.DUMMYFUNCTION("GOOGLETRANSLATE(C2565,""es"",""en"")"),"#VALUE!")</f>
        <v>#VALUE!</v>
      </c>
    </row>
    <row r="2566" spans="1:5" ht="13.2" x14ac:dyDescent="0.25">
      <c r="A2566" t="s">
        <v>4926</v>
      </c>
      <c r="B2566" t="s">
        <v>4884</v>
      </c>
      <c r="D2566" t="str">
        <f ca="1">IFERROR(__xludf.DUMMYFUNCTION("GOOGLETRANSLATE(B2566,""es"",""en"")"),"Sand Guabina")</f>
        <v>Sand Guabina</v>
      </c>
      <c r="E2566" t="str">
        <f ca="1">IFERROR(__xludf.DUMMYFUNCTION("GOOGLETRANSLATE(C2566,""es"",""en"")"),"#VALUE!")</f>
        <v>#VALUE!</v>
      </c>
    </row>
    <row r="2567" spans="1:5" ht="13.2" x14ac:dyDescent="0.25">
      <c r="A2567" t="s">
        <v>4927</v>
      </c>
      <c r="B2567" t="s">
        <v>4884</v>
      </c>
      <c r="D2567" t="str">
        <f ca="1">IFERROR(__xludf.DUMMYFUNCTION("GOOGLETRANSLATE(B2567,""es"",""en"")"),"Sand Guabina")</f>
        <v>Sand Guabina</v>
      </c>
      <c r="E2567" t="str">
        <f ca="1">IFERROR(__xludf.DUMMYFUNCTION("GOOGLETRANSLATE(C2567,""es"",""en"")"),"#VALUE!")</f>
        <v>#VALUE!</v>
      </c>
    </row>
    <row r="2568" spans="1:5" ht="13.2" x14ac:dyDescent="0.25">
      <c r="A2568" t="s">
        <v>31</v>
      </c>
      <c r="B2568" t="s">
        <v>29</v>
      </c>
      <c r="D2568" t="str">
        <f ca="1">IFERROR(__xludf.DUMMYFUNCTION("GOOGLETRANSLATE(B2568,""es"",""en"")"),"Cane juice")</f>
        <v>Cane juice</v>
      </c>
      <c r="E2568" t="str">
        <f ca="1">IFERROR(__xludf.DUMMYFUNCTION("GOOGLETRANSLATE(C2568,""es"",""en"")"),"#VALUE!")</f>
        <v>#VALUE!</v>
      </c>
    </row>
    <row r="2569" spans="1:5" ht="13.2" x14ac:dyDescent="0.25">
      <c r="A2569" t="s">
        <v>32</v>
      </c>
      <c r="B2569" t="s">
        <v>29</v>
      </c>
      <c r="D2569" t="str">
        <f ca="1">IFERROR(__xludf.DUMMYFUNCTION("GOOGLETRANSLATE(B2569,""es"",""en"")"),"Cane juice")</f>
        <v>Cane juice</v>
      </c>
      <c r="E2569" t="str">
        <f ca="1">IFERROR(__xludf.DUMMYFUNCTION("GOOGLETRANSLATE(C2569,""es"",""en"")"),"#VALUE!")</f>
        <v>#VALUE!</v>
      </c>
    </row>
    <row r="2570" spans="1:5" ht="13.2" x14ac:dyDescent="0.25">
      <c r="A2570" t="s">
        <v>28</v>
      </c>
      <c r="B2570" t="s">
        <v>29</v>
      </c>
      <c r="D2570" t="str">
        <f ca="1">IFERROR(__xludf.DUMMYFUNCTION("GOOGLETRANSLATE(B2570,""es"",""en"")"),"Cane juice")</f>
        <v>Cane juice</v>
      </c>
      <c r="E2570" t="str">
        <f ca="1">IFERROR(__xludf.DUMMYFUNCTION("GOOGLETRANSLATE(C2570,""es"",""en"")"),"#VALUE!")</f>
        <v>#VALUE!</v>
      </c>
    </row>
    <row r="2571" spans="1:5" ht="13.2" x14ac:dyDescent="0.25">
      <c r="A2571" t="s">
        <v>4928</v>
      </c>
      <c r="B2571" t="s">
        <v>4929</v>
      </c>
      <c r="D2571" t="str">
        <f ca="1">IFERROR(__xludf.DUMMYFUNCTION("GOOGLETRANSLATE(B2571,""es"",""en"")"),"Susting stick")</f>
        <v>Susting stick</v>
      </c>
      <c r="E2571" t="str">
        <f ca="1">IFERROR(__xludf.DUMMYFUNCTION("GOOGLETRANSLATE(C2571,""es"",""en"")"),"#VALUE!")</f>
        <v>#VALUE!</v>
      </c>
    </row>
    <row r="2572" spans="1:5" ht="13.2" x14ac:dyDescent="0.25">
      <c r="A2572" t="s">
        <v>30</v>
      </c>
      <c r="B2572" t="s">
        <v>29</v>
      </c>
      <c r="D2572" t="str">
        <f ca="1">IFERROR(__xludf.DUMMYFUNCTION("GOOGLETRANSLATE(B2572,""es"",""en"")"),"Cane juice")</f>
        <v>Cane juice</v>
      </c>
      <c r="E2572" t="str">
        <f ca="1">IFERROR(__xludf.DUMMYFUNCTION("GOOGLETRANSLATE(C2572,""es"",""en"")"),"#VALUE!")</f>
        <v>#VALUE!</v>
      </c>
    </row>
    <row r="2573" spans="1:5" ht="13.2" x14ac:dyDescent="0.25">
      <c r="A2573" t="s">
        <v>4930</v>
      </c>
      <c r="B2573" t="s">
        <v>4931</v>
      </c>
      <c r="D2573" t="str">
        <f ca="1">IFERROR(__xludf.DUMMYFUNCTION("GOOGLETRANSLATE(B2573,""es"",""en"")"),"Trapiche")</f>
        <v>Trapiche</v>
      </c>
      <c r="E2573" t="str">
        <f ca="1">IFERROR(__xludf.DUMMYFUNCTION("GOOGLETRANSLATE(C2573,""es"",""en"")"),"#VALUE!")</f>
        <v>#VALUE!</v>
      </c>
    </row>
    <row r="2574" spans="1:5" ht="13.2" x14ac:dyDescent="0.25">
      <c r="A2574" t="s">
        <v>4932</v>
      </c>
      <c r="B2574" t="s">
        <v>4931</v>
      </c>
      <c r="D2574" t="str">
        <f ca="1">IFERROR(__xludf.DUMMYFUNCTION("GOOGLETRANSLATE(B2574,""es"",""en"")"),"Trapiche")</f>
        <v>Trapiche</v>
      </c>
      <c r="E2574" t="str">
        <f ca="1">IFERROR(__xludf.DUMMYFUNCTION("GOOGLETRANSLATE(C2574,""es"",""en"")"),"#VALUE!")</f>
        <v>#VALUE!</v>
      </c>
    </row>
    <row r="2575" spans="1:5" ht="13.2" x14ac:dyDescent="0.25">
      <c r="A2575" t="s">
        <v>41</v>
      </c>
      <c r="B2575" t="s">
        <v>4933</v>
      </c>
      <c r="D2575" t="str">
        <f ca="1">IFERROR(__xludf.DUMMYFUNCTION("GOOGLETRANSLATE(B2575,""es"",""en"")"),"Sugar cane bagasse")</f>
        <v>Sugar cane bagasse</v>
      </c>
      <c r="E2575" t="str">
        <f ca="1">IFERROR(__xludf.DUMMYFUNCTION("GOOGLETRANSLATE(C2575,""es"",""en"")"),"#VALUE!")</f>
        <v>#VALUE!</v>
      </c>
    </row>
    <row r="2576" spans="1:5" ht="13.2" x14ac:dyDescent="0.25">
      <c r="A2576" t="s">
        <v>39</v>
      </c>
      <c r="B2576" t="s">
        <v>4933</v>
      </c>
      <c r="D2576" t="str">
        <f ca="1">IFERROR(__xludf.DUMMYFUNCTION("GOOGLETRANSLATE(B2576,""es"",""en"")"),"Sugar cane bagasse")</f>
        <v>Sugar cane bagasse</v>
      </c>
      <c r="E2576" t="str">
        <f ca="1">IFERROR(__xludf.DUMMYFUNCTION("GOOGLETRANSLATE(C2576,""es"",""en"")"),"#VALUE!")</f>
        <v>#VALUE!</v>
      </c>
    </row>
    <row r="2577" spans="1:5" ht="13.2" x14ac:dyDescent="0.25">
      <c r="A2577" t="s">
        <v>4934</v>
      </c>
      <c r="B2577" t="s">
        <v>4935</v>
      </c>
      <c r="C2577" t="s">
        <v>4936</v>
      </c>
      <c r="D2577" t="str">
        <f ca="1">IFERROR(__xludf.DUMMYFUNCTION("GOOGLETRANSLATE(B2577,""es"",""en"")"),"Poliomyelitis")</f>
        <v>Poliomyelitis</v>
      </c>
      <c r="E2577" t="str">
        <f ca="1">IFERROR(__xludf.DUMMYFUNCTION("GOOGLETRANSLATE(C2577,""es"",""en"")"),"Poly ,,,,")</f>
        <v>Poly ,,,,</v>
      </c>
    </row>
    <row r="2578" spans="1:5" ht="13.2" x14ac:dyDescent="0.25">
      <c r="A2578" t="s">
        <v>4937</v>
      </c>
      <c r="B2578" t="s">
        <v>4938</v>
      </c>
      <c r="C2578" t="s">
        <v>4939</v>
      </c>
      <c r="D2578" t="str">
        <f ca="1">IFERROR(__xludf.DUMMYFUNCTION("GOOGLETRANSLATE(B2578,""es"",""en"")"),"With spicy")</f>
        <v>With spicy</v>
      </c>
      <c r="E2578" t="str">
        <f ca="1">IFERROR(__xludf.DUMMYFUNCTION("GOOGLETRANSLATE(C2578,""es"",""en"")"),"Pica ,,,,")</f>
        <v>Pica ,,,,</v>
      </c>
    </row>
    <row r="2579" spans="1:5" ht="13.2" x14ac:dyDescent="0.25">
      <c r="A2579" t="s">
        <v>4940</v>
      </c>
      <c r="B2579" t="s">
        <v>4941</v>
      </c>
      <c r="D2579" t="str">
        <f ca="1">IFERROR(__xludf.DUMMYFUNCTION("GOOGLETRANSLATE(B2579,""es"",""en"")"),"Itching")</f>
        <v>Itching</v>
      </c>
      <c r="E2579" t="str">
        <f ca="1">IFERROR(__xludf.DUMMYFUNCTION("GOOGLETRANSLATE(C2579,""es"",""en"")"),"#VALUE!")</f>
        <v>#VALUE!</v>
      </c>
    </row>
    <row r="2580" spans="1:5" ht="13.2" x14ac:dyDescent="0.25">
      <c r="A2580" t="s">
        <v>4942</v>
      </c>
      <c r="B2580" t="s">
        <v>4943</v>
      </c>
      <c r="D2580" t="str">
        <f ca="1">IFERROR(__xludf.DUMMYFUNCTION("GOOGLETRANSLATE(B2580,""es"",""en"")"),"Very spicy")</f>
        <v>Very spicy</v>
      </c>
      <c r="E2580" t="str">
        <f ca="1">IFERROR(__xludf.DUMMYFUNCTION("GOOGLETRANSLATE(C2580,""es"",""en"")"),"#VALUE!")</f>
        <v>#VALUE!</v>
      </c>
    </row>
    <row r="2581" spans="1:5" ht="13.2" x14ac:dyDescent="0.25">
      <c r="A2581" t="s">
        <v>4944</v>
      </c>
      <c r="B2581" t="s">
        <v>2547</v>
      </c>
      <c r="D2581" t="str">
        <f ca="1">IFERROR(__xludf.DUMMYFUNCTION("GOOGLETRANSLATE(B2581,""es"",""en"")"),"Bejuco")</f>
        <v>Bejuco</v>
      </c>
      <c r="E2581" t="str">
        <f ca="1">IFERROR(__xludf.DUMMYFUNCTION("GOOGLETRANSLATE(C2581,""es"",""en"")"),"#VALUE!")</f>
        <v>#VALUE!</v>
      </c>
    </row>
    <row r="2582" spans="1:5" ht="13.2" x14ac:dyDescent="0.25">
      <c r="A2582" t="s">
        <v>4945</v>
      </c>
      <c r="B2582" t="s">
        <v>4946</v>
      </c>
      <c r="C2582" t="s">
        <v>4947</v>
      </c>
      <c r="D2582" t="str">
        <f ca="1">IFERROR(__xludf.DUMMYFUNCTION("GOOGLETRANSLATE(B2582,""es"",""en"")"),"Jaw")</f>
        <v>Jaw</v>
      </c>
      <c r="E2582" t="str">
        <f ca="1">IFERROR(__xludf.DUMMYFUNCTION("GOOGLETRANSLATE(C2582,""es"",""en"")"),"chin, jaw, maxillary ,,")</f>
        <v>chin, jaw, maxillary ,,</v>
      </c>
    </row>
    <row r="2583" spans="1:5" ht="13.2" x14ac:dyDescent="0.25">
      <c r="A2583" t="s">
        <v>4948</v>
      </c>
      <c r="B2583" t="s">
        <v>4949</v>
      </c>
      <c r="D2583" t="str">
        <f ca="1">IFERROR(__xludf.DUMMYFUNCTION("GOOGLETRANSLATE(B2583,""es"",""en"")"),"Alleys")</f>
        <v>Alleys</v>
      </c>
      <c r="E2583" t="str">
        <f ca="1">IFERROR(__xludf.DUMMYFUNCTION("GOOGLETRANSLATE(C2583,""es"",""en"")"),"#VALUE!")</f>
        <v>#VALUE!</v>
      </c>
    </row>
    <row r="2584" spans="1:5" ht="13.2" x14ac:dyDescent="0.25">
      <c r="A2584" t="s">
        <v>4950</v>
      </c>
      <c r="B2584" t="s">
        <v>4951</v>
      </c>
      <c r="C2584" t="s">
        <v>4952</v>
      </c>
      <c r="D2584" t="str">
        <f ca="1">IFERROR(__xludf.DUMMYFUNCTION("GOOGLETRANSLATE(B2584,""es"",""en"")"),"Brave cane wall")</f>
        <v>Brave cane wall</v>
      </c>
      <c r="E2584" t="str">
        <f ca="1">IFERROR(__xludf.DUMMYFUNCTION("GOOGLETRANSLATE(C2584,""es"",""en"")"),"Sacred site ,,,,")</f>
        <v>Sacred site ,,,,</v>
      </c>
    </row>
    <row r="2585" spans="1:5" ht="13.2" x14ac:dyDescent="0.25">
      <c r="A2585" t="s">
        <v>4953</v>
      </c>
      <c r="B2585" t="s">
        <v>4954</v>
      </c>
      <c r="D2585" t="str">
        <f ca="1">IFERROR(__xludf.DUMMYFUNCTION("GOOGLETRANSLATE(B2585,""es"",""en"")"),"Chicha Ceremony Head of Ceremony")</f>
        <v>Chicha Ceremony Head of Ceremony</v>
      </c>
      <c r="E2585" t="str">
        <f ca="1">IFERROR(__xludf.DUMMYFUNCTION("GOOGLETRANSLATE(C2585,""es"",""en"")"),"#VALUE!")</f>
        <v>#VALUE!</v>
      </c>
    </row>
    <row r="2586" spans="1:5" ht="13.2" x14ac:dyDescent="0.25">
      <c r="A2586" t="s">
        <v>4955</v>
      </c>
      <c r="B2586" t="s">
        <v>4956</v>
      </c>
      <c r="D2586" t="str">
        <f ca="1">IFERROR(__xludf.DUMMYFUNCTION("GOOGLETRANSLATE(B2586,""es"",""en"")"),"Chicha Ceremony Chief")</f>
        <v>Chicha Ceremony Chief</v>
      </c>
      <c r="E2586" t="str">
        <f ca="1">IFERROR(__xludf.DUMMYFUNCTION("GOOGLETRANSLATE(C2586,""es"",""en"")"),"#VALUE!")</f>
        <v>#VALUE!</v>
      </c>
    </row>
    <row r="2587" spans="1:5" ht="13.2" x14ac:dyDescent="0.25">
      <c r="A2587" t="s">
        <v>4957</v>
      </c>
      <c r="B2587" t="s">
        <v>4958</v>
      </c>
      <c r="C2587" t="s">
        <v>4959</v>
      </c>
      <c r="D2587" t="str">
        <f ca="1">IFERROR(__xludf.DUMMYFUNCTION("GOOGLETRANSLATE(B2587,""es"",""en"")"),"Canaltete")</f>
        <v>Canaltete</v>
      </c>
      <c r="E2587" t="str">
        <f ca="1">IFERROR(__xludf.DUMMYFUNCTION("GOOGLETRANSLATE(C2587,""es"",""en"")"),"oar ,,,,")</f>
        <v>oar ,,,,</v>
      </c>
    </row>
    <row r="2588" spans="1:5" ht="13.2" x14ac:dyDescent="0.25">
      <c r="A2588" t="s">
        <v>4960</v>
      </c>
      <c r="B2588" t="s">
        <v>4961</v>
      </c>
      <c r="D2588" t="str">
        <f ca="1">IFERROR(__xludf.DUMMYFUNCTION("GOOGLETRANSLATE(B2588,""es"",""en"")"),"Row")</f>
        <v>Row</v>
      </c>
      <c r="E2588" t="str">
        <f ca="1">IFERROR(__xludf.DUMMYFUNCTION("GOOGLETRANSLATE(C2588,""es"",""en"")"),"#VALUE!")</f>
        <v>#VALUE!</v>
      </c>
    </row>
    <row r="2589" spans="1:5" ht="13.2" x14ac:dyDescent="0.25">
      <c r="A2589" t="s">
        <v>4962</v>
      </c>
      <c r="B2589" t="s">
        <v>4963</v>
      </c>
      <c r="C2589" t="s">
        <v>4964</v>
      </c>
      <c r="D2589" t="str">
        <f ca="1">IFERROR(__xludf.DUMMYFUNCTION("GOOGLETRANSLATE(B2589,""es"",""en"")"),"Throat")</f>
        <v>Throat</v>
      </c>
      <c r="E2589" t="str">
        <f ca="1">IFERROR(__xludf.DUMMYFUNCTION("GOOGLETRANSLATE(C2589,""es"",""en"")"),"Bamboo flute ,,,,")</f>
        <v>Bamboo flute ,,,,</v>
      </c>
    </row>
    <row r="2590" spans="1:5" ht="13.2" x14ac:dyDescent="0.25">
      <c r="A2590" t="s">
        <v>4965</v>
      </c>
      <c r="B2590" t="s">
        <v>4966</v>
      </c>
      <c r="C2590" t="s">
        <v>4967</v>
      </c>
      <c r="D2590" t="str">
        <f ca="1">IFERROR(__xludf.DUMMYFUNCTION("GOOGLETRANSLATE(B2590,""es"",""en"")"),"Floutillas")</f>
        <v>Floutillas</v>
      </c>
      <c r="E2590" t="str">
        <f ca="1">IFERROR(__xludf.DUMMYFUNCTION("GOOGLETRANSLATE(C2590,""es"",""en"")"),"Musical instruments ,,,,")</f>
        <v>Musical instruments ,,,,</v>
      </c>
    </row>
    <row r="2591" spans="1:5" ht="13.2" x14ac:dyDescent="0.25">
      <c r="A2591" t="s">
        <v>4968</v>
      </c>
      <c r="B2591" t="s">
        <v>4966</v>
      </c>
      <c r="C2591" t="s">
        <v>4969</v>
      </c>
      <c r="D2591" t="str">
        <f ca="1">IFERROR(__xludf.DUMMYFUNCTION("GOOGLETRANSLATE(B2591,""es"",""en"")"),"Floutillas")</f>
        <v>Floutillas</v>
      </c>
      <c r="E2591" t="str">
        <f ca="1">IFERROR(__xludf.DUMMYFUNCTION("GOOGLETRANSLATE(C2591,""es"",""en"")"),"musical instrument, , , ,")</f>
        <v>musical instrument, , , ,</v>
      </c>
    </row>
    <row r="2592" spans="1:5" ht="13.2" x14ac:dyDescent="0.25">
      <c r="A2592" t="s">
        <v>4970</v>
      </c>
      <c r="B2592" t="s">
        <v>4971</v>
      </c>
      <c r="C2592" t="s">
        <v>4972</v>
      </c>
      <c r="D2592" t="str">
        <f ca="1">IFERROR(__xludf.DUMMYFUNCTION("GOOGLETRANSLATE(B2592,""es"",""en"")"),"Chair")</f>
        <v>Chair</v>
      </c>
      <c r="E2592" t="str">
        <f ca="1">IFERROR(__xludf.DUMMYFUNCTION("GOOGLETRANSLATE(C2592,""es"",""en"")"),"Seat, sitial, plural abundance,")</f>
        <v>Seat, sitial, plural abundance,</v>
      </c>
    </row>
    <row r="2593" spans="1:5" ht="13.2" x14ac:dyDescent="0.25">
      <c r="A2593" t="s">
        <v>4973</v>
      </c>
      <c r="B2593" t="s">
        <v>4974</v>
      </c>
      <c r="C2593" t="s">
        <v>4975</v>
      </c>
      <c r="D2593" t="str">
        <f ca="1">IFERROR(__xludf.DUMMYFUNCTION("GOOGLETRANSLATE(B2593,""es"",""en"")"),"unfinished")</f>
        <v>unfinished</v>
      </c>
      <c r="E2593" t="str">
        <f ca="1">IFERROR(__xludf.DUMMYFUNCTION("GOOGLETRANSLATE(C2593,""es"",""en"")"),"fragmentary, unfinished ,,,,")</f>
        <v>fragmentary, unfinished ,,,,</v>
      </c>
    </row>
    <row r="2594" spans="1:5" ht="13.2" x14ac:dyDescent="0.25">
      <c r="A2594" t="s">
        <v>4976</v>
      </c>
      <c r="B2594" t="s">
        <v>4971</v>
      </c>
      <c r="C2594" t="s">
        <v>4977</v>
      </c>
      <c r="D2594" t="str">
        <f ca="1">IFERROR(__xludf.DUMMYFUNCTION("GOOGLETRANSLATE(B2594,""es"",""en"")"),"Chair")</f>
        <v>Chair</v>
      </c>
      <c r="E2594" t="str">
        <f ca="1">IFERROR(__xludf.DUMMYFUNCTION("GOOGLETRANSLATE(C2594,""es"",""en"")"),"Sitial, abundance of, plural,")</f>
        <v>Sitial, abundance of, plural,</v>
      </c>
    </row>
    <row r="2595" spans="1:5" ht="13.2" x14ac:dyDescent="0.25">
      <c r="A2595" t="s">
        <v>4978</v>
      </c>
      <c r="B2595" t="s">
        <v>4979</v>
      </c>
      <c r="D2595" t="str">
        <f ca="1">IFERROR(__xludf.DUMMYFUNCTION("GOOGLETRANSLATE(B2595,""es"",""en"")"),"Armchair")</f>
        <v>Armchair</v>
      </c>
      <c r="E2595" t="str">
        <f ca="1">IFERROR(__xludf.DUMMYFUNCTION("GOOGLETRANSLATE(C2595,""es"",""en"")"),"#VALUE!")</f>
        <v>#VALUE!</v>
      </c>
    </row>
    <row r="2596" spans="1:5" ht="13.2" x14ac:dyDescent="0.25">
      <c r="A2596" t="s">
        <v>4147</v>
      </c>
      <c r="B2596" t="s">
        <v>4143</v>
      </c>
      <c r="C2596" t="s">
        <v>4144</v>
      </c>
      <c r="D2596" t="str">
        <f ca="1">IFERROR(__xludf.DUMMYFUNCTION("GOOGLETRANSLATE(B2596,""es"",""en"")"),"Brave")</f>
        <v>Brave</v>
      </c>
      <c r="E2596" t="str">
        <f ca="1">IFERROR(__xludf.DUMMYFUNCTION("GOOGLETRANSLATE(C2596,""es"",""en"")"),"Able, , , ,")</f>
        <v>Able, , , ,</v>
      </c>
    </row>
    <row r="2597" spans="1:5" ht="13.2" x14ac:dyDescent="0.25">
      <c r="A2597" t="s">
        <v>4142</v>
      </c>
      <c r="B2597" t="s">
        <v>4143</v>
      </c>
      <c r="C2597" t="s">
        <v>4144</v>
      </c>
      <c r="D2597" t="str">
        <f ca="1">IFERROR(__xludf.DUMMYFUNCTION("GOOGLETRANSLATE(B2597,""es"",""en"")"),"Brave")</f>
        <v>Brave</v>
      </c>
      <c r="E2597" t="str">
        <f ca="1">IFERROR(__xludf.DUMMYFUNCTION("GOOGLETRANSLATE(C2597,""es"",""en"")"),"Able, , , ,")</f>
        <v>Able, , , ,</v>
      </c>
    </row>
    <row r="2598" spans="1:5" ht="13.2" x14ac:dyDescent="0.25">
      <c r="A2598" t="s">
        <v>4145</v>
      </c>
      <c r="B2598" t="s">
        <v>4143</v>
      </c>
      <c r="C2598" t="s">
        <v>4144</v>
      </c>
      <c r="D2598" t="str">
        <f ca="1">IFERROR(__xludf.DUMMYFUNCTION("GOOGLETRANSLATE(B2598,""es"",""en"")"),"Brave")</f>
        <v>Brave</v>
      </c>
      <c r="E2598" t="str">
        <f ca="1">IFERROR(__xludf.DUMMYFUNCTION("GOOGLETRANSLATE(C2598,""es"",""en"")"),"Able, , , ,")</f>
        <v>Able, , , ,</v>
      </c>
    </row>
    <row r="2599" spans="1:5" ht="13.2" x14ac:dyDescent="0.25">
      <c r="A2599" t="s">
        <v>4980</v>
      </c>
      <c r="B2599" t="s">
        <v>4981</v>
      </c>
      <c r="C2599" t="s">
        <v>4982</v>
      </c>
      <c r="D2599" t="str">
        <f ca="1">IFERROR(__xludf.DUMMYFUNCTION("GOOGLETRANSLATE(B2599,""es"",""en"")"),"Strengthen")</f>
        <v>Strengthen</v>
      </c>
      <c r="E2599" t="str">
        <f ca="1">IFERROR(__xludf.DUMMYFUNCTION("GOOGLETRANSLATE(C2599,""es"",""en"")"),"Encourage ,,,,")</f>
        <v>Encourage ,,,,</v>
      </c>
    </row>
    <row r="2600" spans="1:5" ht="13.2" x14ac:dyDescent="0.25">
      <c r="A2600" t="s">
        <v>4983</v>
      </c>
      <c r="B2600" t="s">
        <v>4984</v>
      </c>
      <c r="C2600" t="s">
        <v>4985</v>
      </c>
      <c r="D2600" t="str">
        <f ca="1">IFERROR(__xludf.DUMMYFUNCTION("GOOGLETRANSLATE(B2600,""es"",""en"")"),"Again")</f>
        <v>Again</v>
      </c>
      <c r="E2600" t="str">
        <f ca="1">IFERROR(__xludf.DUMMYFUNCTION("GOOGLETRANSLATE(C2600,""es"",""en"")"),"Again, repeated, footprint ,,")</f>
        <v>Again, repeated, footprint ,,</v>
      </c>
    </row>
    <row r="2601" spans="1:5" ht="13.2" x14ac:dyDescent="0.25">
      <c r="A2601" t="s">
        <v>4986</v>
      </c>
      <c r="B2601" t="s">
        <v>4984</v>
      </c>
      <c r="C2601" t="s">
        <v>4987</v>
      </c>
      <c r="D2601" t="str">
        <f ca="1">IFERROR(__xludf.DUMMYFUNCTION("GOOGLETRANSLATE(B2601,""es"",""en"")"),"Again")</f>
        <v>Again</v>
      </c>
      <c r="E2601" t="str">
        <f ca="1">IFERROR(__xludf.DUMMYFUNCTION("GOOGLETRANSLATE(C2601,""es"",""en"")"),"again, , , ,")</f>
        <v>again, , , ,</v>
      </c>
    </row>
    <row r="2602" spans="1:5" ht="13.2" x14ac:dyDescent="0.25">
      <c r="A2602" t="s">
        <v>4988</v>
      </c>
      <c r="B2602" t="s">
        <v>4989</v>
      </c>
      <c r="C2602" t="s">
        <v>4990</v>
      </c>
      <c r="D2602" t="str">
        <f ca="1">IFERROR(__xludf.DUMMYFUNCTION("GOOGLETRANSLATE(B2602,""es"",""en"")"),"Rooster")</f>
        <v>Rooster</v>
      </c>
      <c r="E2602" t="str">
        <f ca="1">IFERROR(__xludf.DUMMYFUNCTION("GOOGLETRANSLATE(C2602,""es"",""en"")"),"hen, , , ,")</f>
        <v>hen, , , ,</v>
      </c>
    </row>
    <row r="2603" spans="1:5" ht="13.2" x14ac:dyDescent="0.25">
      <c r="A2603" t="s">
        <v>4991</v>
      </c>
      <c r="B2603" t="s">
        <v>4989</v>
      </c>
      <c r="C2603" t="s">
        <v>4990</v>
      </c>
      <c r="D2603" t="str">
        <f ca="1">IFERROR(__xludf.DUMMYFUNCTION("GOOGLETRANSLATE(B2603,""es"",""en"")"),"Rooster")</f>
        <v>Rooster</v>
      </c>
      <c r="E2603" t="str">
        <f ca="1">IFERROR(__xludf.DUMMYFUNCTION("GOOGLETRANSLATE(C2603,""es"",""en"")"),"hen, , , ,")</f>
        <v>hen, , , ,</v>
      </c>
    </row>
    <row r="2604" spans="1:5" ht="13.2" x14ac:dyDescent="0.25">
      <c r="A2604" t="s">
        <v>4992</v>
      </c>
      <c r="B2604" t="s">
        <v>4993</v>
      </c>
      <c r="C2604" t="s">
        <v>4975</v>
      </c>
      <c r="D2604" t="str">
        <f ca="1">IFERROR(__xludf.DUMMYFUNCTION("GOOGLETRANSLATE(B2604,""es"",""en"")"),"Unfinished")</f>
        <v>Unfinished</v>
      </c>
      <c r="E2604" t="str">
        <f ca="1">IFERROR(__xludf.DUMMYFUNCTION("GOOGLETRANSLATE(C2604,""es"",""en"")"),"fragmentary, unfinished ,,,,")</f>
        <v>fragmentary, unfinished ,,,,</v>
      </c>
    </row>
    <row r="2605" spans="1:5" ht="13.2" x14ac:dyDescent="0.25">
      <c r="A2605" t="s">
        <v>1092</v>
      </c>
      <c r="B2605" t="s">
        <v>1090</v>
      </c>
      <c r="D2605" t="str">
        <f ca="1">IFERROR(__xludf.DUMMYFUNCTION("GOOGLETRANSLATE(B2605,""es"",""en"")"),"Chicken egg")</f>
        <v>Chicken egg</v>
      </c>
      <c r="E2605" t="str">
        <f ca="1">IFERROR(__xludf.DUMMYFUNCTION("GOOGLETRANSLATE(C2605,""es"",""en"")"),"#VALUE!")</f>
        <v>#VALUE!</v>
      </c>
    </row>
    <row r="2606" spans="1:5" ht="13.2" x14ac:dyDescent="0.25">
      <c r="A2606" t="s">
        <v>1089</v>
      </c>
      <c r="B2606" t="s">
        <v>1090</v>
      </c>
      <c r="D2606" t="str">
        <f ca="1">IFERROR(__xludf.DUMMYFUNCTION("GOOGLETRANSLATE(B2606,""es"",""en"")"),"Chicken egg")</f>
        <v>Chicken egg</v>
      </c>
      <c r="E2606" t="str">
        <f ca="1">IFERROR(__xludf.DUMMYFUNCTION("GOOGLETRANSLATE(C2606,""es"",""en"")"),"#VALUE!")</f>
        <v>#VALUE!</v>
      </c>
    </row>
    <row r="2607" spans="1:5" ht="13.2" x14ac:dyDescent="0.25">
      <c r="A2607" t="s">
        <v>1091</v>
      </c>
      <c r="B2607" t="s">
        <v>1090</v>
      </c>
      <c r="D2607" t="str">
        <f ca="1">IFERROR(__xludf.DUMMYFUNCTION("GOOGLETRANSLATE(B2607,""es"",""en"")"),"Chicken egg")</f>
        <v>Chicken egg</v>
      </c>
      <c r="E2607" t="str">
        <f ca="1">IFERROR(__xludf.DUMMYFUNCTION("GOOGLETRANSLATE(C2607,""es"",""en"")"),"#VALUE!")</f>
        <v>#VALUE!</v>
      </c>
    </row>
    <row r="2608" spans="1:5" ht="13.2" x14ac:dyDescent="0.25">
      <c r="A2608" t="s">
        <v>4994</v>
      </c>
      <c r="B2608" t="s">
        <v>4989</v>
      </c>
      <c r="D2608" t="str">
        <f ca="1">IFERROR(__xludf.DUMMYFUNCTION("GOOGLETRANSLATE(B2608,""es"",""en"")"),"Rooster")</f>
        <v>Rooster</v>
      </c>
      <c r="E2608" t="str">
        <f ca="1">IFERROR(__xludf.DUMMYFUNCTION("GOOGLETRANSLATE(C2608,""es"",""en"")"),"#VALUE!")</f>
        <v>#VALUE!</v>
      </c>
    </row>
    <row r="2609" spans="1:5" ht="13.2" x14ac:dyDescent="0.25">
      <c r="A2609" t="s">
        <v>4995</v>
      </c>
      <c r="B2609" t="s">
        <v>4996</v>
      </c>
      <c r="D2609" t="str">
        <f ca="1">IFERROR(__xludf.DUMMYFUNCTION("GOOGLETRANSLATE(B2609,""es"",""en"")"),"Hen house")</f>
        <v>Hen house</v>
      </c>
      <c r="E2609" t="str">
        <f ca="1">IFERROR(__xludf.DUMMYFUNCTION("GOOGLETRANSLATE(C2609,""es"",""en"")"),"#VALUE!")</f>
        <v>#VALUE!</v>
      </c>
    </row>
    <row r="2610" spans="1:5" ht="13.2" x14ac:dyDescent="0.25">
      <c r="A2610" t="s">
        <v>4997</v>
      </c>
      <c r="B2610" t="s">
        <v>4996</v>
      </c>
      <c r="D2610" t="str">
        <f ca="1">IFERROR(__xludf.DUMMYFUNCTION("GOOGLETRANSLATE(B2610,""es"",""en"")"),"Hen house")</f>
        <v>Hen house</v>
      </c>
      <c r="E2610" t="str">
        <f ca="1">IFERROR(__xludf.DUMMYFUNCTION("GOOGLETRANSLATE(C2610,""es"",""en"")"),"#VALUE!")</f>
        <v>#VALUE!</v>
      </c>
    </row>
    <row r="2611" spans="1:5" ht="13.2" x14ac:dyDescent="0.25">
      <c r="A2611" t="s">
        <v>4998</v>
      </c>
      <c r="B2611" t="s">
        <v>4999</v>
      </c>
      <c r="D2611" t="str">
        <f ca="1">IFERROR(__xludf.DUMMYFUNCTION("GOOGLETRANSLATE(B2611,""es"",""en"")"),"Hen")</f>
        <v>Hen</v>
      </c>
      <c r="E2611" t="str">
        <f ca="1">IFERROR(__xludf.DUMMYFUNCTION("GOOGLETRANSLATE(C2611,""es"",""en"")"),"#VALUE!")</f>
        <v>#VALUE!</v>
      </c>
    </row>
    <row r="2612" spans="1:5" ht="13.2" x14ac:dyDescent="0.25">
      <c r="A2612" t="s">
        <v>5000</v>
      </c>
      <c r="B2612" t="s">
        <v>5001</v>
      </c>
      <c r="C2612" t="s">
        <v>5002</v>
      </c>
      <c r="D2612" t="str">
        <f ca="1">IFERROR(__xludf.DUMMYFUNCTION("GOOGLETRANSLATE(B2612,""es"",""en"")"),"Consolidate")</f>
        <v>Consolidate</v>
      </c>
      <c r="E2612" t="str">
        <f ca="1">IFERROR(__xludf.DUMMYFUNCTION("GOOGLETRANSLATE(C2612,""es"",""en"")"),"strengthening ,,,,,")</f>
        <v>strengthening ,,,,,</v>
      </c>
    </row>
    <row r="2613" spans="1:5" ht="13.2" x14ac:dyDescent="0.25">
      <c r="A2613" t="s">
        <v>5003</v>
      </c>
      <c r="B2613" t="s">
        <v>5004</v>
      </c>
      <c r="C2613" t="s">
        <v>5005</v>
      </c>
      <c r="D2613" t="str">
        <f ca="1">IFERROR(__xludf.DUMMYFUNCTION("GOOGLETRANSLATE(B2613,""es"",""en"")"),"Strengthen")</f>
        <v>Strengthen</v>
      </c>
      <c r="E2613" t="str">
        <f ca="1">IFERROR(__xludf.DUMMYFUNCTION("GOOGLETRANSLATE(C2613,""es"",""en"")"),"Vigorize ,,,,")</f>
        <v>Vigorize ,,,,</v>
      </c>
    </row>
    <row r="2614" spans="1:5" ht="13.2" x14ac:dyDescent="0.25">
      <c r="A2614" t="s">
        <v>5006</v>
      </c>
      <c r="B2614" t="s">
        <v>5007</v>
      </c>
      <c r="D2614" t="str">
        <f ca="1">IFERROR(__xludf.DUMMYFUNCTION("GOOGLETRANSLATE(B2614,""es"",""en"")"),"Caobo")</f>
        <v>Caobo</v>
      </c>
      <c r="E2614" t="str">
        <f ca="1">IFERROR(__xludf.DUMMYFUNCTION("GOOGLETRANSLATE(C2614,""es"",""en"")"),"#VALUE!")</f>
        <v>#VALUE!</v>
      </c>
    </row>
    <row r="2615" spans="1:5" ht="13.2" x14ac:dyDescent="0.25">
      <c r="A2615" t="s">
        <v>11</v>
      </c>
      <c r="B2615" t="s">
        <v>5008</v>
      </c>
      <c r="C2615" t="s">
        <v>5009</v>
      </c>
      <c r="D2615" t="str">
        <f ca="1">IFERROR(__xludf.DUMMYFUNCTION("GOOGLETRANSLATE(B2615,""es"",""en"")"),"defecate")</f>
        <v>defecate</v>
      </c>
      <c r="E2615" t="str">
        <f ca="1">IFERROR(__xludf.DUMMYFUNCTION("GOOGLETRANSLATE(C2615,""es"",""en"")"),"excrete, depose ,,,")</f>
        <v>excrete, depose ,,,</v>
      </c>
    </row>
    <row r="2616" spans="1:5" ht="13.2" x14ac:dyDescent="0.25">
      <c r="A2616" t="s">
        <v>5010</v>
      </c>
      <c r="B2616" t="s">
        <v>5007</v>
      </c>
      <c r="D2616" t="str">
        <f ca="1">IFERROR(__xludf.DUMMYFUNCTION("GOOGLETRANSLATE(B2616,""es"",""en"")"),"Caobo")</f>
        <v>Caobo</v>
      </c>
      <c r="E2616" t="str">
        <f ca="1">IFERROR(__xludf.DUMMYFUNCTION("GOOGLETRANSLATE(C2616,""es"",""en"")"),"#VALUE!")</f>
        <v>#VALUE!</v>
      </c>
    </row>
    <row r="2617" spans="1:5" ht="13.2" x14ac:dyDescent="0.25">
      <c r="A2617" t="s">
        <v>4367</v>
      </c>
      <c r="B2617" t="s">
        <v>4366</v>
      </c>
      <c r="C2617" t="s">
        <v>5011</v>
      </c>
      <c r="D2617" t="str">
        <f ca="1">IFERROR(__xludf.DUMMYFUNCTION("GOOGLETRANSLATE(B2617,""es"",""en"")"),"Skinny")</f>
        <v>Skinny</v>
      </c>
      <c r="E2617" t="str">
        <f ca="1">IFERROR(__xludf.DUMMYFUNCTION("GOOGLETRANSLATE(C2617,""es"",""en"")"),"Vain ,,,,")</f>
        <v>Vain ,,,,</v>
      </c>
    </row>
    <row r="2618" spans="1:5" ht="13.2" x14ac:dyDescent="0.25">
      <c r="A2618" t="s">
        <v>5012</v>
      </c>
      <c r="B2618" t="s">
        <v>5013</v>
      </c>
      <c r="C2618" t="s">
        <v>2283</v>
      </c>
      <c r="D2618" t="str">
        <f ca="1">IFERROR(__xludf.DUMMYFUNCTION("GOOGLETRANSLATE(B2618,""es"",""en"")"),"Basket case")</f>
        <v>Basket case</v>
      </c>
      <c r="E2618" t="str">
        <f ca="1">IFERROR(__xludf.DUMMYFUNCTION("GOOGLETRANSLATE(C2618,""es"",""en"")"),"Basket, , , ,")</f>
        <v>Basket, , , ,</v>
      </c>
    </row>
    <row r="2619" spans="1:5" ht="13.2" x14ac:dyDescent="0.25">
      <c r="A2619" t="s">
        <v>5014</v>
      </c>
      <c r="B2619" t="s">
        <v>5015</v>
      </c>
      <c r="D2619" t="str">
        <f ca="1">IFERROR(__xludf.DUMMYFUNCTION("GOOGLETRANSLATE(B2619,""es"",""en"")"),"Gardi's native")</f>
        <v>Gardi's native</v>
      </c>
      <c r="E2619" t="str">
        <f ca="1">IFERROR(__xludf.DUMMYFUNCTION("GOOGLETRANSLATE(C2619,""es"",""en"")"),"#VALUE!")</f>
        <v>#VALUE!</v>
      </c>
    </row>
    <row r="2620" spans="1:5" ht="13.2" x14ac:dyDescent="0.25">
      <c r="A2620" t="s">
        <v>5016</v>
      </c>
      <c r="B2620" t="s">
        <v>5017</v>
      </c>
      <c r="D2620" t="str">
        <f ca="1">IFERROR(__xludf.DUMMYFUNCTION("GOOGLETRANSLATE(B2620,""es"",""en"")"),"Gardi Oriue")</f>
        <v>Gardi Oriue</v>
      </c>
      <c r="E2620" t="str">
        <f ca="1">IFERROR(__xludf.DUMMYFUNCTION("GOOGLETRANSLATE(C2620,""es"",""en"")"),"#VALUE!")</f>
        <v>#VALUE!</v>
      </c>
    </row>
    <row r="2621" spans="1:5" ht="13.2" x14ac:dyDescent="0.25">
      <c r="A2621" t="s">
        <v>5018</v>
      </c>
      <c r="B2621" t="s">
        <v>5019</v>
      </c>
      <c r="D2621" t="str">
        <f ca="1">IFERROR(__xludf.DUMMYFUNCTION("GOOGLETRANSLATE(B2621,""es"",""en"")"),"Cage")</f>
        <v>Cage</v>
      </c>
      <c r="E2621" t="str">
        <f ca="1">IFERROR(__xludf.DUMMYFUNCTION("GOOGLETRANSLATE(C2621,""es"",""en"")"),"#VALUE!")</f>
        <v>#VALUE!</v>
      </c>
    </row>
    <row r="2622" spans="1:5" ht="13.2" x14ac:dyDescent="0.25">
      <c r="A2622" t="s">
        <v>5020</v>
      </c>
      <c r="B2622" t="s">
        <v>5019</v>
      </c>
      <c r="D2622" t="str">
        <f ca="1">IFERROR(__xludf.DUMMYFUNCTION("GOOGLETRANSLATE(B2622,""es"",""en"")"),"Cage")</f>
        <v>Cage</v>
      </c>
      <c r="E2622" t="str">
        <f ca="1">IFERROR(__xludf.DUMMYFUNCTION("GOOGLETRANSLATE(C2622,""es"",""en"")"),"#VALUE!")</f>
        <v>#VALUE!</v>
      </c>
    </row>
    <row r="2623" spans="1:5" ht="13.2" x14ac:dyDescent="0.25">
      <c r="A2623" t="s">
        <v>5021</v>
      </c>
      <c r="B2623" t="s">
        <v>5022</v>
      </c>
      <c r="D2623" t="str">
        <f ca="1">IFERROR(__xludf.DUMMYFUNCTION("GOOGLETRANSLATE(B2623,""es"",""en"")"),"Heal the eggs")</f>
        <v>Heal the eggs</v>
      </c>
      <c r="E2623" t="str">
        <f ca="1">IFERROR(__xludf.DUMMYFUNCTION("GOOGLETRANSLATE(C2623,""es"",""en"")"),"#VALUE!")</f>
        <v>#VALUE!</v>
      </c>
    </row>
    <row r="2624" spans="1:5" ht="13.2" x14ac:dyDescent="0.25">
      <c r="A2624" t="s">
        <v>5023</v>
      </c>
      <c r="B2624" t="s">
        <v>5024</v>
      </c>
      <c r="D2624" t="str">
        <f ca="1">IFERROR(__xludf.DUMMYFUNCTION("GOOGLETRANSLATE(B2624,""es"",""en"")"),"Dislocate a bone")</f>
        <v>Dislocate a bone</v>
      </c>
      <c r="E2624" t="str">
        <f ca="1">IFERROR(__xludf.DUMMYFUNCTION("GOOGLETRANSLATE(C2624,""es"",""en"")"),"#VALUE!")</f>
        <v>#VALUE!</v>
      </c>
    </row>
    <row r="2625" spans="1:5" ht="13.2" x14ac:dyDescent="0.25">
      <c r="A2625" t="s">
        <v>5025</v>
      </c>
      <c r="B2625" t="s">
        <v>5026</v>
      </c>
      <c r="C2625" t="s">
        <v>5027</v>
      </c>
      <c r="D2625" t="str">
        <f ca="1">IFERROR(__xludf.DUMMYFUNCTION("GOOGLETRANSLATE(B2625,""es"",""en"")"),"Brother")</f>
        <v>Brother</v>
      </c>
      <c r="E2625" t="str">
        <f ca="1">IFERROR(__xludf.DUMMYFUNCTION("GOOGLETRANSLATE(C2625,""es"",""en"")"),"sister, consanguineo ,,,")</f>
        <v>sister, consanguineo ,,,</v>
      </c>
    </row>
    <row r="2626" spans="1:5" ht="13.2" x14ac:dyDescent="0.25">
      <c r="A2626" t="s">
        <v>2455</v>
      </c>
      <c r="B2626" t="s">
        <v>2453</v>
      </c>
      <c r="C2626" t="s">
        <v>5009</v>
      </c>
      <c r="D2626" t="str">
        <f ca="1">IFERROR(__xludf.DUMMYFUNCTION("GOOGLETRANSLATE(B2626,""es"",""en"")"),"Defecate")</f>
        <v>Defecate</v>
      </c>
      <c r="E2626" t="str">
        <f ca="1">IFERROR(__xludf.DUMMYFUNCTION("GOOGLETRANSLATE(C2626,""es"",""en"")"),"excrete, depose ,,,")</f>
        <v>excrete, depose ,,,</v>
      </c>
    </row>
    <row r="2627" spans="1:5" ht="13.2" x14ac:dyDescent="0.25">
      <c r="A2627" t="s">
        <v>5028</v>
      </c>
      <c r="B2627" t="s">
        <v>5029</v>
      </c>
      <c r="D2627" t="str">
        <f ca="1">IFERROR(__xludf.DUMMYFUNCTION("GOOGLETRANSLATE(B2627,""es"",""en"")"),"Family")</f>
        <v>Family</v>
      </c>
      <c r="E2627" t="str">
        <f ca="1">IFERROR(__xludf.DUMMYFUNCTION("GOOGLETRANSLATE(C2627,""es"",""en"")"),"#VALUE!")</f>
        <v>#VALUE!</v>
      </c>
    </row>
    <row r="2628" spans="1:5" ht="13.2" x14ac:dyDescent="0.25">
      <c r="A2628" t="s">
        <v>5030</v>
      </c>
      <c r="B2628" t="s">
        <v>2589</v>
      </c>
      <c r="C2628" t="s">
        <v>5031</v>
      </c>
      <c r="D2628" t="str">
        <f ca="1">IFERROR(__xludf.DUMMYFUNCTION("GOOGLETRANSLATE(B2628,""es"",""en"")"),"Strong")</f>
        <v>Strong</v>
      </c>
      <c r="E2628" t="str">
        <f ca="1">IFERROR(__xludf.DUMMYFUNCTION("GOOGLETRANSLATE(C2628,""es"",""en"")"),"Forzudo ,,,,")</f>
        <v>Forzudo ,,,,</v>
      </c>
    </row>
    <row r="2629" spans="1:5" ht="13.2" x14ac:dyDescent="0.25">
      <c r="A2629" t="s">
        <v>5032</v>
      </c>
      <c r="B2629" t="s">
        <v>2589</v>
      </c>
      <c r="C2629" t="s">
        <v>5031</v>
      </c>
      <c r="D2629" t="str">
        <f ca="1">IFERROR(__xludf.DUMMYFUNCTION("GOOGLETRANSLATE(B2629,""es"",""en"")"),"Strong")</f>
        <v>Strong</v>
      </c>
      <c r="E2629" t="str">
        <f ca="1">IFERROR(__xludf.DUMMYFUNCTION("GOOGLETRANSLATE(C2629,""es"",""en"")"),"Forzudo ,,,,")</f>
        <v>Forzudo ,,,,</v>
      </c>
    </row>
    <row r="2630" spans="1:5" ht="13.2" x14ac:dyDescent="0.25">
      <c r="A2630" t="s">
        <v>5033</v>
      </c>
      <c r="B2630" t="s">
        <v>5034</v>
      </c>
      <c r="D2630" t="str">
        <f ca="1">IFERROR(__xludf.DUMMYFUNCTION("GOOGLETRANSLATE(B2630,""es"",""en"")"),"Elbow")</f>
        <v>Elbow</v>
      </c>
      <c r="E2630" t="str">
        <f ca="1">IFERROR(__xludf.DUMMYFUNCTION("GOOGLETRANSLATE(C2630,""es"",""en"")"),"#VALUE!")</f>
        <v>#VALUE!</v>
      </c>
    </row>
    <row r="2631" spans="1:5" ht="13.2" x14ac:dyDescent="0.25">
      <c r="A2631" t="s">
        <v>5035</v>
      </c>
      <c r="B2631" t="s">
        <v>5036</v>
      </c>
      <c r="D2631" t="str">
        <f ca="1">IFERROR(__xludf.DUMMYFUNCTION("GOOGLETRANSLATE(B2631,""es"",""en"")"),"Pants")</f>
        <v>Pants</v>
      </c>
      <c r="E2631" t="str">
        <f ca="1">IFERROR(__xludf.DUMMYFUNCTION("GOOGLETRANSLATE(C2631,""es"",""en"")"),"#VALUE!")</f>
        <v>#VALUE!</v>
      </c>
    </row>
    <row r="2632" spans="1:5" ht="13.2" x14ac:dyDescent="0.25">
      <c r="A2632" t="s">
        <v>5037</v>
      </c>
      <c r="B2632" t="s">
        <v>5038</v>
      </c>
      <c r="D2632" t="str">
        <f ca="1">IFERROR(__xludf.DUMMYFUNCTION("GOOGLETRANSLATE(B2632,""es"",""en"")"),"Rope to hold hammock")</f>
        <v>Rope to hold hammock</v>
      </c>
      <c r="E2632" t="str">
        <f ca="1">IFERROR(__xludf.DUMMYFUNCTION("GOOGLETRANSLATE(C2632,""es"",""en"")"),"#VALUE!")</f>
        <v>#VALUE!</v>
      </c>
    </row>
    <row r="2633" spans="1:5" ht="13.2" x14ac:dyDescent="0.25">
      <c r="A2633" t="s">
        <v>5039</v>
      </c>
      <c r="B2633" t="s">
        <v>5040</v>
      </c>
      <c r="C2633" t="s">
        <v>5041</v>
      </c>
      <c r="D2633" t="str">
        <f ca="1">IFERROR(__xludf.DUMMYFUNCTION("GOOGLETRANSLATE(B2633,""es"",""en"")"),"Dock")</f>
        <v>Dock</v>
      </c>
      <c r="E2633" t="str">
        <f ca="1">IFERROR(__xludf.DUMMYFUNCTION("GOOGLETRANSLATE(C2633,""es"",""en"")"),"Port, , , ,")</f>
        <v>Port, , , ,</v>
      </c>
    </row>
    <row r="2634" spans="1:5" ht="13.2" x14ac:dyDescent="0.25">
      <c r="A2634" t="s">
        <v>5042</v>
      </c>
      <c r="B2634" t="s">
        <v>5043</v>
      </c>
      <c r="D2634" t="str">
        <f ca="1">IFERROR(__xludf.DUMMYFUNCTION("GOOGLETRANSLATE(B2634,""es"",""en"")"),"On all fours")</f>
        <v>On all fours</v>
      </c>
      <c r="E2634" t="str">
        <f ca="1">IFERROR(__xludf.DUMMYFUNCTION("GOOGLETRANSLATE(C2634,""es"",""en"")"),"#VALUE!")</f>
        <v>#VALUE!</v>
      </c>
    </row>
    <row r="2635" spans="1:5" ht="13.2" x14ac:dyDescent="0.25">
      <c r="A2635" t="s">
        <v>5044</v>
      </c>
      <c r="B2635" t="s">
        <v>5045</v>
      </c>
      <c r="C2635" t="s">
        <v>5046</v>
      </c>
      <c r="D2635" t="str">
        <f ca="1">IFERROR(__xludf.DUMMYFUNCTION("GOOGLETRANSLATE(B2635,""es"",""en"")"),"Walk to cats")</f>
        <v>Walk to cats</v>
      </c>
      <c r="E2635" t="str">
        <f ca="1">IFERROR(__xludf.DUMMYFUNCTION("GOOGLETRANSLATE(C2635,""es"",""en"")"),"crawl, , , ,")</f>
        <v>crawl, , , ,</v>
      </c>
    </row>
    <row r="2636" spans="1:5" ht="13.2" x14ac:dyDescent="0.25">
      <c r="A2636" t="s">
        <v>3222</v>
      </c>
      <c r="B2636" t="s">
        <v>3221</v>
      </c>
      <c r="D2636" t="str">
        <f ca="1">IFERROR(__xludf.DUMMYFUNCTION("GOOGLETRANSLATE(B2636,""es"",""en"")"),"Hammock")</f>
        <v>Hammock</v>
      </c>
    </row>
    <row r="2637" spans="1:5" ht="13.2" x14ac:dyDescent="0.25">
      <c r="A2637" t="s">
        <v>2452</v>
      </c>
      <c r="B2637" t="s">
        <v>2453</v>
      </c>
      <c r="C2637" t="s">
        <v>5009</v>
      </c>
      <c r="D2637" t="str">
        <f ca="1">IFERROR(__xludf.DUMMYFUNCTION("GOOGLETRANSLATE(B2637,""es"",""en"")"),"Defecate")</f>
        <v>Defecate</v>
      </c>
      <c r="E2637" t="str">
        <f ca="1">IFERROR(__xludf.DUMMYFUNCTION("GOOGLETRANSLATE(C2637,""es"",""en"")"),"excrete, depose ,,,")</f>
        <v>excrete, depose ,,,</v>
      </c>
    </row>
    <row r="2638" spans="1:5" ht="13.2" x14ac:dyDescent="0.25">
      <c r="A2638" t="s">
        <v>3220</v>
      </c>
      <c r="B2638" t="s">
        <v>3221</v>
      </c>
      <c r="D2638" t="str">
        <f ca="1">IFERROR(__xludf.DUMMYFUNCTION("GOOGLETRANSLATE(B2638,""es"",""en"")"),"Hammock")</f>
        <v>Hammock</v>
      </c>
    </row>
    <row r="2639" spans="1:5" ht="13.2" x14ac:dyDescent="0.25">
      <c r="A2639" t="s">
        <v>5047</v>
      </c>
      <c r="B2639" t="s">
        <v>5048</v>
      </c>
      <c r="D2639" t="str">
        <f ca="1">IFERROR(__xludf.DUMMYFUNCTION("GOOGLETRANSLATE(B2639,""es"",""en"")"),"Seagull")</f>
        <v>Seagull</v>
      </c>
    </row>
    <row r="2640" spans="1:5" ht="13.2" x14ac:dyDescent="0.25">
      <c r="A2640" t="s">
        <v>5049</v>
      </c>
      <c r="B2640" t="s">
        <v>5048</v>
      </c>
      <c r="D2640" t="str">
        <f ca="1">IFERROR(__xludf.DUMMYFUNCTION("GOOGLETRANSLATE(B2640,""es"",""en"")"),"Seagull")</f>
        <v>Seagull</v>
      </c>
    </row>
    <row r="2641" spans="1:5" ht="13.2" x14ac:dyDescent="0.25">
      <c r="A2641" t="s">
        <v>4888</v>
      </c>
      <c r="B2641" t="s">
        <v>4887</v>
      </c>
      <c r="C2641" t="s">
        <v>5050</v>
      </c>
      <c r="D2641" t="str">
        <f ca="1">IFERROR(__xludf.DUMMYFUNCTION("GOOGLETRANSLATE(B2641,""es"",""en"")"),"Mouth")</f>
        <v>Mouth</v>
      </c>
      <c r="E2641" t="str">
        <f ca="1">IFERROR(__xludf.DUMMYFUNCTION("GOOGLETRANSLATE(C2641,""es"",""en"")"),"Language, word ,,,")</f>
        <v>Language, word ,,,</v>
      </c>
    </row>
    <row r="2642" spans="1:5" ht="13.2" x14ac:dyDescent="0.25">
      <c r="A2642" t="s">
        <v>4886</v>
      </c>
      <c r="B2642" t="s">
        <v>4887</v>
      </c>
      <c r="C2642" t="s">
        <v>5051</v>
      </c>
      <c r="D2642" t="str">
        <f ca="1">IFERROR(__xludf.DUMMYFUNCTION("GOOGLETRANSLATE(B2642,""es"",""en"")"),"Mouth")</f>
        <v>Mouth</v>
      </c>
      <c r="E2642" t="str">
        <f ca="1">IFERROR(__xludf.DUMMYFUNCTION("GOOGLETRANSLATE(C2642,""es"",""en"")"),"Language, coast ,,,")</f>
        <v>Language, coast ,,,</v>
      </c>
    </row>
    <row r="2643" spans="1:5" ht="13.2" x14ac:dyDescent="0.25">
      <c r="A2643" t="s">
        <v>4912</v>
      </c>
      <c r="B2643" t="s">
        <v>4913</v>
      </c>
      <c r="D2643" t="str">
        <f ca="1">IFERROR(__xludf.DUMMYFUNCTION("GOOGLETRANSLATE(B2643,""es"",""en"")"),"Sugar cane")</f>
        <v>Sugar cane</v>
      </c>
    </row>
    <row r="2644" spans="1:5" ht="13.2" x14ac:dyDescent="0.25">
      <c r="A2644" t="s">
        <v>4888</v>
      </c>
      <c r="B2644" t="s">
        <v>4913</v>
      </c>
      <c r="D2644" t="str">
        <f ca="1">IFERROR(__xludf.DUMMYFUNCTION("GOOGLETRANSLATE(B2644,""es"",""en"")"),"Sugar cane")</f>
        <v>Sugar cane</v>
      </c>
    </row>
    <row r="2645" spans="1:5" ht="13.2" x14ac:dyDescent="0.25">
      <c r="A2645" t="s">
        <v>5052</v>
      </c>
      <c r="B2645" t="s">
        <v>5053</v>
      </c>
      <c r="D2645" t="str">
        <f ca="1">IFERROR(__xludf.DUMMYFUNCTION("GOOGLETRANSLATE(B2645,""es"",""en"")"),"Antonym")</f>
        <v>Antonym</v>
      </c>
    </row>
    <row r="2646" spans="1:5" ht="13.2" x14ac:dyDescent="0.25">
      <c r="A2646" t="s">
        <v>4907</v>
      </c>
      <c r="B2646" t="s">
        <v>4906</v>
      </c>
      <c r="D2646" t="str">
        <f ca="1">IFERROR(__xludf.DUMMYFUNCTION("GOOGLETRANSLATE(B2646,""es"",""en"")"),"Lips")</f>
        <v>Lips</v>
      </c>
    </row>
    <row r="2647" spans="1:5" ht="13.2" x14ac:dyDescent="0.25">
      <c r="A2647" t="s">
        <v>4905</v>
      </c>
      <c r="B2647" t="s">
        <v>4906</v>
      </c>
      <c r="D2647" t="str">
        <f ca="1">IFERROR(__xludf.DUMMYFUNCTION("GOOGLETRANSLATE(B2647,""es"",""en"")"),"Lips")</f>
        <v>Lips</v>
      </c>
    </row>
  </sheetData>
  <customSheetViews>
    <customSheetView guid="{FE2E9FE9-EE36-45FD-BA16-6941239116F6}" filter="1" showAutoFilter="1">
      <pageMargins left="0.7" right="0.7" top="0.75" bottom="0.75" header="0.3" footer="0.3"/>
      <autoFilter ref="A1:E2647" xr:uid="{D754AC4C-818B-400E-810C-DDA99903C5E5}">
        <filterColumn colId="1">
          <filters blank="1">
            <filter val="Abatir"/>
            <filter val="Abuelo"/>
            <filter val="Acción que ocurre"/>
            <filter val="Acostado. Jornalero"/>
            <filter val="Agitar ramas de árbol para hacer caer frutas"/>
            <filter val="Agua"/>
            <filter val="Aguamala"/>
            <filter val="Apagar"/>
            <filter val="Apenas anochecio"/>
            <filter val="Apretado"/>
            <filter val="Árbol de cedro"/>
            <filter val="Arbol de espavé"/>
            <filter val="arbol de matal palo o higuerote"/>
            <filter val="Ave que presagia acontecimientos"/>
            <filter val="Avivarse el fuego"/>
            <filter val="Bebida alcoholica"/>
            <filter val="Cadaver"/>
            <filter val="Calambre"/>
            <filter val="camote"/>
            <filter val="Cangrejo de manglar"/>
            <filter val="Cangrejo ermitaño"/>
            <filter val="Cangrejo manglar"/>
            <filter val="Cangrejo Manglero"/>
            <filter val="Cangrejo moro"/>
            <filter val="Casa del Congreso"/>
            <filter val="Cayuco"/>
            <filter val="Charco"/>
            <filter val="Cierto"/>
            <filter val="Coa"/>
            <filter val="Cocodrilo"/>
            <filter val="Compadecer"/>
            <filter val="Con poca sal"/>
            <filter val="Conejo Pintado"/>
            <filter val="correa"/>
            <filter val="Cuántos?"/>
            <filter val="Danzar"/>
            <filter val="Defecar"/>
            <filter val="derramar"/>
            <filter val="Descanso breve"/>
            <filter val="Descuartizar"/>
            <filter val="Desplomarse"/>
            <filter val="Destruirsse"/>
            <filter val="diarrea"/>
            <filter val="Dicho entre varones"/>
            <filter val="Diez"/>
            <filter val="Dueño de algo"/>
            <filter val="en hilera"/>
            <filter val="enseñanza"/>
            <filter val="Ese"/>
            <filter val="Estados Unidos"/>
            <filter val="Estadounidense"/>
            <filter val="expresión de dolor"/>
            <filter val="guabina de manglar"/>
            <filter val="Guama o guaba"/>
            <filter val="hasta luego"/>
            <filter val="Hermana dicho por una varón"/>
            <filter val="hermano de Ibeler"/>
            <filter val="Hormiga arriera"/>
            <filter val="Huevo de tortugas"/>
            <filter val="Iguana"/>
            <filter val="Inconcluso"/>
            <filter val="Instrumento hecho de cráneo de armadillo"/>
            <filter val="Irse"/>
            <filter val="la ultima palabra"/>
            <filter val="Lámpara. Luz"/>
            <filter val="Letrina"/>
            <filter val="Llorar"/>
            <filter val="Llorón"/>
            <filter val="Lluvia"/>
            <filter val="Longorón o molusco"/>
            <filter val="mano"/>
            <filter val="Mucho mas"/>
            <filter val="Mujer que enseñó junto a Orgun"/>
            <filter val="Muy corto"/>
            <filter val="No entender"/>
            <filter val="organo sexual femenino"/>
            <filter val="Órgano sexual femenino"/>
            <filter val="Palma de coco"/>
            <filter val="pesado"/>
            <filter val="Pez aguja"/>
            <filter val="Pez ballesta"/>
            <filter val="Pez barracuda"/>
            <filter val="Pez cojinúa amarillo"/>
            <filter val="Pez cola amarillo"/>
            <filter val="Piedra"/>
            <filter val="Piedra lisa para terapia"/>
            <filter val="Pierna"/>
            <filter val="poco amargo"/>
            <filter val="Puesto"/>
            <filter val="Punzón"/>
            <filter val="rana"/>
            <filter val="recto"/>
            <filter val="REnovar"/>
            <filter val="Río Arriba"/>
            <filter val="Ropa gastada"/>
            <filter val="Serpiente coral"/>
            <filter val="Sol"/>
            <filter val="Sombra"/>
            <filter val="Su"/>
            <filter val="Talingo o changamé"/>
            <filter val="tapir"/>
            <filter val="Tetilla"/>
            <filter val="Toser"/>
            <filter val="Tronco viejo y podrido"/>
            <filter val="valiente"/>
            <filter val="Varón o anciano"/>
            <filter val="Vello,Barba"/>
            <filter val="volver"/>
          </filters>
        </filterColumn>
      </autoFilter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25"/>
  <cols>
    <col min="1" max="1" width="25.88671875" customWidth="1"/>
  </cols>
  <sheetData>
    <row r="1" spans="1:1" ht="15.75" customHeight="1" x14ac:dyDescent="0.25">
      <c r="A1" s="1" t="s">
        <v>5054</v>
      </c>
    </row>
    <row r="2" spans="1:1" ht="15.75" customHeight="1" x14ac:dyDescent="0.25">
      <c r="A2" s="1" t="s">
        <v>5055</v>
      </c>
    </row>
    <row r="3" spans="1:1" ht="15.75" customHeight="1" x14ac:dyDescent="0.25">
      <c r="A3" s="1" t="s">
        <v>5056</v>
      </c>
    </row>
    <row r="4" spans="1:1" ht="15.75" customHeight="1" x14ac:dyDescent="0.25">
      <c r="A4" s="1" t="s">
        <v>5057</v>
      </c>
    </row>
    <row r="5" spans="1:1" ht="15.75" customHeight="1" x14ac:dyDescent="0.25">
      <c r="A5" s="1" t="s">
        <v>1457</v>
      </c>
    </row>
    <row r="6" spans="1:1" ht="15.75" customHeight="1" x14ac:dyDescent="0.25">
      <c r="A6" s="1" t="s">
        <v>5058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Gómez Reveron</cp:lastModifiedBy>
  <dcterms:modified xsi:type="dcterms:W3CDTF">2024-01-30T14:48:05Z</dcterms:modified>
</cp:coreProperties>
</file>