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autoCompressPictures="0"/>
  <bookViews>
    <workbookView xWindow="0" yWindow="0" windowWidth="23256" windowHeight="13176" tabRatio="500" firstSheet="7" activeTab="8"/>
  </bookViews>
  <sheets>
    <sheet name="Consoles" sheetId="3" r:id="rId1"/>
    <sheet name="Fast food restaurants" sheetId="6" r:id="rId2"/>
    <sheet name="Energy drinks" sheetId="7" state="hidden" r:id="rId3"/>
    <sheet name="Social networks" sheetId="4" r:id="rId4"/>
    <sheet name="Social networks 2" sheetId="11" state="hidden" r:id="rId5"/>
    <sheet name="Banks" sheetId="9" r:id="rId6"/>
    <sheet name="Digital cameras" sheetId="18" r:id="rId7"/>
    <sheet name="Sneakers" sheetId="19" r:id="rId8"/>
    <sheet name="Airline companies" sheetId="5" r:id="rId9"/>
    <sheet name="Retailers" sheetId="8" r:id="rId10"/>
    <sheet name="Record labels" sheetId="10" r:id="rId11"/>
    <sheet name="Oil &amp; gas companies" sheetId="12" r:id="rId12"/>
    <sheet name="(Smart)phones" sheetId="15" r:id="rId13"/>
    <sheet name="Tablets" sheetId="16" r:id="rId14"/>
    <sheet name="Cars" sheetId="17" r:id="rId15"/>
    <sheet name="Film studios" sheetId="21" r:id="rId16"/>
    <sheet name="(niet) Game developers" sheetId="20" r:id="rId17"/>
    <sheet name="(niet) Hotel chains" sheetId="22" r:id="rId18"/>
    <sheet name="Sheet1" sheetId="25" r:id="rId19"/>
    <sheet name="Hashtags" sheetId="2" r:id="rId20"/>
    <sheet name="Sample" sheetId="24" r:id="rId21"/>
  </sheet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B57" i="8"/>
  <c r="E37"/>
  <c r="C57"/>
  <c r="F37"/>
  <c r="D57"/>
  <c r="G37"/>
  <c r="E38"/>
  <c r="F38"/>
  <c r="G38"/>
  <c r="E39"/>
  <c r="F39"/>
  <c r="G39"/>
  <c r="E40"/>
  <c r="F40"/>
  <c r="G40"/>
  <c r="E41"/>
  <c r="F41"/>
  <c r="G41"/>
  <c r="E42"/>
  <c r="F42"/>
  <c r="G42"/>
  <c r="E43"/>
  <c r="F43"/>
  <c r="G43"/>
  <c r="E44"/>
  <c r="F44"/>
  <c r="G44"/>
  <c r="E45"/>
  <c r="F45"/>
  <c r="G45"/>
  <c r="E46"/>
  <c r="F46"/>
  <c r="G46"/>
  <c r="E47"/>
  <c r="F47"/>
  <c r="G47"/>
  <c r="E48"/>
  <c r="F48"/>
  <c r="G48"/>
  <c r="E49"/>
  <c r="F49"/>
  <c r="G49"/>
  <c r="E50"/>
  <c r="F50"/>
  <c r="G50"/>
  <c r="E51"/>
  <c r="F51"/>
  <c r="G51"/>
  <c r="E52"/>
  <c r="F52"/>
  <c r="G52"/>
  <c r="E53"/>
  <c r="F53"/>
  <c r="G53"/>
  <c r="E54"/>
  <c r="F54"/>
  <c r="G54"/>
  <c r="E55"/>
  <c r="F55"/>
  <c r="G55"/>
  <c r="E56"/>
  <c r="F56"/>
  <c r="G56"/>
  <c r="E57"/>
  <c r="F57"/>
  <c r="G57"/>
  <c r="F36"/>
  <c r="G36"/>
  <c r="E36"/>
  <c r="E4" i="12"/>
  <c r="F4"/>
  <c r="G4"/>
  <c r="E5"/>
  <c r="F5"/>
  <c r="G5"/>
  <c r="E6"/>
  <c r="F6"/>
  <c r="G6"/>
  <c r="E7"/>
  <c r="F7"/>
  <c r="G7"/>
  <c r="E8"/>
  <c r="F8"/>
  <c r="G8"/>
  <c r="E9"/>
  <c r="F9"/>
  <c r="G9"/>
  <c r="E10"/>
  <c r="F10"/>
  <c r="G10"/>
  <c r="F3"/>
  <c r="G3"/>
  <c r="E3"/>
  <c r="B5" i="17"/>
  <c r="B6"/>
  <c r="B8"/>
  <c r="B11"/>
  <c r="B12"/>
  <c r="B14"/>
  <c r="B18"/>
  <c r="I4"/>
  <c r="C6"/>
  <c r="C8"/>
  <c r="C10"/>
  <c r="C12"/>
  <c r="C17"/>
  <c r="C18"/>
  <c r="J4"/>
  <c r="D5"/>
  <c r="D6"/>
  <c r="D8"/>
  <c r="D10"/>
  <c r="D11"/>
  <c r="D12"/>
  <c r="D14"/>
  <c r="D17"/>
  <c r="D18"/>
  <c r="K4"/>
  <c r="I5"/>
  <c r="J5"/>
  <c r="K5"/>
  <c r="I6"/>
  <c r="J6"/>
  <c r="K6"/>
  <c r="I7"/>
  <c r="J7"/>
  <c r="K7"/>
  <c r="I8"/>
  <c r="J8"/>
  <c r="K8"/>
  <c r="I9"/>
  <c r="J9"/>
  <c r="K9"/>
  <c r="I10"/>
  <c r="J10"/>
  <c r="K10"/>
  <c r="I11"/>
  <c r="J11"/>
  <c r="K11"/>
  <c r="I12"/>
  <c r="J12"/>
  <c r="K12"/>
  <c r="I13"/>
  <c r="J13"/>
  <c r="K13"/>
  <c r="I14"/>
  <c r="J14"/>
  <c r="K14"/>
  <c r="I15"/>
  <c r="J15"/>
  <c r="K15"/>
  <c r="I16"/>
  <c r="J16"/>
  <c r="K16"/>
  <c r="I17"/>
  <c r="J17"/>
  <c r="K17"/>
  <c r="I18"/>
  <c r="J18"/>
  <c r="K18"/>
  <c r="J3"/>
  <c r="K3"/>
  <c r="I3"/>
  <c r="F17" i="9"/>
  <c r="G17"/>
  <c r="E17"/>
  <c r="E4"/>
  <c r="F4"/>
  <c r="G4"/>
  <c r="E5"/>
  <c r="F5"/>
  <c r="G5"/>
  <c r="E6"/>
  <c r="F6"/>
  <c r="G6"/>
  <c r="E7"/>
  <c r="F7"/>
  <c r="G7"/>
  <c r="E8"/>
  <c r="F8"/>
  <c r="G8"/>
  <c r="E9"/>
  <c r="F9"/>
  <c r="G9"/>
  <c r="E10"/>
  <c r="F10"/>
  <c r="G10"/>
  <c r="E11"/>
  <c r="F11"/>
  <c r="G11"/>
  <c r="E12"/>
  <c r="F12"/>
  <c r="G12"/>
  <c r="E13"/>
  <c r="F13"/>
  <c r="G13"/>
  <c r="E14"/>
  <c r="F14"/>
  <c r="G14"/>
  <c r="E15"/>
  <c r="F15"/>
  <c r="G15"/>
  <c r="E16"/>
  <c r="F16"/>
  <c r="G16"/>
  <c r="F3"/>
  <c r="G3"/>
  <c r="E3"/>
  <c r="C17"/>
  <c r="D17"/>
  <c r="B17"/>
  <c r="D10"/>
  <c r="C10"/>
  <c r="B10"/>
  <c r="B15" i="21"/>
  <c r="B18"/>
  <c r="B8"/>
  <c r="B19"/>
  <c r="B20"/>
  <c r="E15"/>
  <c r="C18"/>
  <c r="C19"/>
  <c r="C20"/>
  <c r="F15"/>
  <c r="D18"/>
  <c r="D19"/>
  <c r="D20"/>
  <c r="G15"/>
  <c r="E16"/>
  <c r="F16"/>
  <c r="G16"/>
  <c r="E17"/>
  <c r="F17"/>
  <c r="G17"/>
  <c r="E18"/>
  <c r="F18"/>
  <c r="G18"/>
  <c r="E19"/>
  <c r="F19"/>
  <c r="G19"/>
  <c r="E20"/>
  <c r="F20"/>
  <c r="G20"/>
  <c r="F14"/>
  <c r="G14"/>
  <c r="E14"/>
  <c r="B9"/>
  <c r="C9"/>
  <c r="B7"/>
  <c r="C7"/>
  <c r="B4"/>
  <c r="D9"/>
  <c r="D7"/>
  <c r="D35" i="20"/>
  <c r="B35"/>
  <c r="D34"/>
  <c r="B34"/>
  <c r="B13"/>
  <c r="D13"/>
  <c r="B14"/>
  <c r="D14"/>
  <c r="B7"/>
  <c r="D7"/>
  <c r="B6"/>
  <c r="D6"/>
  <c r="C13" i="8"/>
  <c r="B46"/>
  <c r="D13"/>
  <c r="C46"/>
  <c r="E13"/>
  <c r="D46"/>
  <c r="D52"/>
  <c r="C52"/>
  <c r="B52"/>
  <c r="C56"/>
  <c r="D56"/>
  <c r="B56"/>
  <c r="C55"/>
  <c r="D55"/>
  <c r="B24"/>
  <c r="B55"/>
  <c r="C54"/>
  <c r="D54"/>
  <c r="B54"/>
  <c r="C53"/>
  <c r="D53"/>
  <c r="B53"/>
  <c r="C51"/>
  <c r="D51"/>
  <c r="B51"/>
  <c r="C49"/>
  <c r="D49"/>
  <c r="B49"/>
  <c r="C47"/>
  <c r="D47"/>
  <c r="B47"/>
  <c r="C43"/>
  <c r="D43"/>
  <c r="B43"/>
  <c r="C41"/>
  <c r="D41"/>
  <c r="B41"/>
  <c r="B40"/>
  <c r="C40"/>
  <c r="D40"/>
  <c r="C39"/>
  <c r="D39"/>
  <c r="B39"/>
  <c r="B37"/>
  <c r="C37"/>
  <c r="D37"/>
  <c r="C36"/>
  <c r="D36"/>
  <c r="B3"/>
  <c r="B36"/>
  <c r="C50"/>
  <c r="D50"/>
  <c r="B50"/>
  <c r="C48"/>
  <c r="D48"/>
  <c r="B48"/>
  <c r="C44"/>
  <c r="D44"/>
  <c r="B44"/>
  <c r="C42"/>
  <c r="D42"/>
  <c r="B42"/>
  <c r="D5"/>
  <c r="C38"/>
  <c r="E5"/>
  <c r="D38"/>
  <c r="C5"/>
  <c r="B38"/>
  <c r="F17" i="19"/>
  <c r="G17"/>
  <c r="F18"/>
  <c r="G18"/>
  <c r="F19"/>
  <c r="G19"/>
  <c r="F20"/>
  <c r="G20"/>
  <c r="F21"/>
  <c r="G21"/>
  <c r="F22"/>
  <c r="G22"/>
  <c r="E18"/>
  <c r="E19"/>
  <c r="E20"/>
  <c r="E21"/>
  <c r="E22"/>
  <c r="E17"/>
  <c r="C22"/>
  <c r="D22"/>
  <c r="B22"/>
  <c r="C19"/>
  <c r="D19"/>
  <c r="B19"/>
  <c r="D17"/>
  <c r="C17"/>
  <c r="B17"/>
  <c r="C18"/>
  <c r="D18"/>
  <c r="C5"/>
  <c r="D5"/>
  <c r="C4"/>
  <c r="D4"/>
  <c r="F18" i="18"/>
  <c r="G18"/>
  <c r="F19"/>
  <c r="G19"/>
  <c r="F20"/>
  <c r="G20"/>
  <c r="F21"/>
  <c r="G21"/>
  <c r="F22"/>
  <c r="G22"/>
  <c r="F23"/>
  <c r="G23"/>
  <c r="F24"/>
  <c r="G24"/>
  <c r="F25"/>
  <c r="G25"/>
  <c r="E19"/>
  <c r="E20"/>
  <c r="E21"/>
  <c r="E22"/>
  <c r="E23"/>
  <c r="E24"/>
  <c r="E25"/>
  <c r="E18"/>
  <c r="C7"/>
  <c r="C22"/>
  <c r="D7"/>
  <c r="D22"/>
  <c r="B7"/>
  <c r="B22"/>
  <c r="D24"/>
  <c r="B24"/>
  <c r="D23"/>
  <c r="B23"/>
  <c r="B20"/>
  <c r="D18"/>
  <c r="B18"/>
  <c r="B10"/>
  <c r="D10"/>
  <c r="B8"/>
  <c r="D8"/>
  <c r="D3"/>
  <c r="B3"/>
  <c r="B5"/>
  <c r="B18" i="4"/>
  <c r="C18"/>
  <c r="D18"/>
  <c r="B19"/>
  <c r="C19"/>
  <c r="D19"/>
  <c r="B20"/>
  <c r="C20"/>
  <c r="D20"/>
  <c r="B21"/>
  <c r="C21"/>
  <c r="D21"/>
  <c r="B22"/>
  <c r="C22"/>
  <c r="D22"/>
  <c r="B23"/>
  <c r="C23"/>
  <c r="D23"/>
  <c r="B24"/>
  <c r="C24"/>
  <c r="D24"/>
  <c r="B25"/>
  <c r="C25"/>
  <c r="D25"/>
  <c r="D17"/>
  <c r="C17"/>
  <c r="B17"/>
  <c r="E4" i="3"/>
  <c r="F4"/>
  <c r="G4"/>
  <c r="E5"/>
  <c r="F5"/>
  <c r="G5"/>
  <c r="F3"/>
  <c r="G3"/>
  <c r="E3"/>
  <c r="K25" i="5"/>
  <c r="L25"/>
  <c r="M25"/>
  <c r="K26"/>
  <c r="L26"/>
  <c r="M26"/>
  <c r="K27"/>
  <c r="L27"/>
  <c r="M27"/>
  <c r="K28"/>
  <c r="L28"/>
  <c r="M28"/>
  <c r="K29"/>
  <c r="L29"/>
  <c r="M29"/>
  <c r="K30"/>
  <c r="L30"/>
  <c r="M30"/>
  <c r="K31"/>
  <c r="L31"/>
  <c r="M31"/>
  <c r="K32"/>
  <c r="L32"/>
  <c r="M32"/>
  <c r="K33"/>
  <c r="L33"/>
  <c r="M33"/>
  <c r="L24"/>
  <c r="M24"/>
  <c r="K24"/>
  <c r="H25"/>
  <c r="I25"/>
  <c r="J25"/>
  <c r="H26"/>
  <c r="I26"/>
  <c r="J26"/>
  <c r="E27"/>
  <c r="H27"/>
  <c r="I27"/>
  <c r="J27"/>
  <c r="H28"/>
  <c r="I28"/>
  <c r="J28"/>
  <c r="H29"/>
  <c r="I29"/>
  <c r="J29"/>
  <c r="H30"/>
  <c r="I30"/>
  <c r="J30"/>
  <c r="H31"/>
  <c r="I31"/>
  <c r="J31"/>
  <c r="H32"/>
  <c r="I32"/>
  <c r="J32"/>
  <c r="H33"/>
  <c r="I33"/>
  <c r="J33"/>
  <c r="I24"/>
  <c r="J24"/>
  <c r="H24"/>
  <c r="G25"/>
  <c r="G26"/>
  <c r="G27"/>
  <c r="G28"/>
  <c r="G29"/>
  <c r="G30"/>
  <c r="G31"/>
  <c r="G32"/>
  <c r="G33"/>
  <c r="F25"/>
  <c r="F26"/>
  <c r="F27"/>
  <c r="F28"/>
  <c r="F29"/>
  <c r="F30"/>
  <c r="F31"/>
  <c r="F32"/>
  <c r="F33"/>
  <c r="E25"/>
  <c r="E26"/>
  <c r="E28"/>
  <c r="E29"/>
  <c r="E30"/>
  <c r="E31"/>
  <c r="E32"/>
  <c r="E33"/>
  <c r="D25"/>
  <c r="D26"/>
  <c r="D27"/>
  <c r="D28"/>
  <c r="D29"/>
  <c r="D30"/>
  <c r="D31"/>
  <c r="D32"/>
  <c r="D33"/>
  <c r="C25"/>
  <c r="C26"/>
  <c r="C27"/>
  <c r="C28"/>
  <c r="C29"/>
  <c r="C30"/>
  <c r="C31"/>
  <c r="C32"/>
  <c r="C33"/>
  <c r="B25"/>
  <c r="B26"/>
  <c r="B27"/>
  <c r="B28"/>
  <c r="B29"/>
  <c r="B30"/>
  <c r="B31"/>
  <c r="B32"/>
  <c r="B33"/>
  <c r="C24"/>
  <c r="G24"/>
  <c r="F24"/>
  <c r="E24"/>
  <c r="D24"/>
  <c r="B24"/>
  <c r="G15" i="17"/>
  <c r="F15"/>
  <c r="E15"/>
  <c r="E14"/>
  <c r="G14"/>
  <c r="E11"/>
  <c r="F11"/>
  <c r="G11"/>
  <c r="F10"/>
  <c r="G10"/>
  <c r="E18"/>
  <c r="F18"/>
  <c r="G18"/>
  <c r="G8"/>
  <c r="F8"/>
  <c r="E8"/>
  <c r="G5"/>
  <c r="E5"/>
  <c r="F3" i="16"/>
  <c r="G3"/>
  <c r="F4"/>
  <c r="G4"/>
  <c r="G5"/>
  <c r="F6"/>
  <c r="G6"/>
  <c r="F7"/>
  <c r="F8"/>
  <c r="G8"/>
  <c r="F9"/>
  <c r="G9"/>
  <c r="E4"/>
  <c r="E5"/>
  <c r="E6"/>
  <c r="E7"/>
  <c r="E9"/>
  <c r="E3"/>
  <c r="D28" i="15"/>
  <c r="G21"/>
  <c r="G22"/>
  <c r="G23"/>
  <c r="G24"/>
  <c r="G25"/>
  <c r="G26"/>
  <c r="G27"/>
  <c r="G28"/>
  <c r="G20"/>
  <c r="C28"/>
  <c r="F21"/>
  <c r="F22"/>
  <c r="F23"/>
  <c r="F24"/>
  <c r="F25"/>
  <c r="F26"/>
  <c r="F27"/>
  <c r="F28"/>
  <c r="F20"/>
  <c r="B28"/>
  <c r="E21"/>
  <c r="E22"/>
  <c r="E23"/>
  <c r="E24"/>
  <c r="E25"/>
  <c r="E26"/>
  <c r="E27"/>
  <c r="E28"/>
  <c r="E20"/>
  <c r="D4"/>
  <c r="C4"/>
  <c r="B4"/>
  <c r="E15"/>
  <c r="E10"/>
  <c r="G10"/>
  <c r="G15"/>
  <c r="F10"/>
  <c r="F15"/>
  <c r="E5"/>
  <c r="J5" i="10"/>
  <c r="L3"/>
  <c r="J6"/>
  <c r="M3"/>
  <c r="L4"/>
  <c r="M4"/>
  <c r="L5"/>
  <c r="M5"/>
  <c r="L6"/>
  <c r="M6"/>
  <c r="K4"/>
  <c r="K5"/>
  <c r="K6"/>
  <c r="K3"/>
  <c r="I6"/>
  <c r="H6"/>
  <c r="J4"/>
  <c r="I4"/>
  <c r="B4"/>
  <c r="E4"/>
  <c r="H4"/>
  <c r="I5"/>
  <c r="H5"/>
  <c r="I3"/>
  <c r="J3"/>
  <c r="H3"/>
  <c r="D4" i="9"/>
  <c r="C4"/>
  <c r="B4"/>
  <c r="D17" i="6"/>
  <c r="G4"/>
  <c r="G5"/>
  <c r="G6"/>
  <c r="G7"/>
  <c r="G9"/>
  <c r="G10"/>
  <c r="G11"/>
  <c r="G13"/>
  <c r="G14"/>
  <c r="G16"/>
  <c r="G17"/>
  <c r="C17"/>
  <c r="F4"/>
  <c r="F5"/>
  <c r="F6"/>
  <c r="F7"/>
  <c r="F9"/>
  <c r="F10"/>
  <c r="F11"/>
  <c r="F13"/>
  <c r="F14"/>
  <c r="F16"/>
  <c r="F17"/>
  <c r="F3"/>
  <c r="G3"/>
  <c r="B17"/>
  <c r="E3"/>
  <c r="E17"/>
  <c r="E4"/>
  <c r="E5"/>
  <c r="E6"/>
  <c r="E7"/>
  <c r="E9"/>
  <c r="E10"/>
  <c r="E11"/>
  <c r="E13"/>
  <c r="E14"/>
  <c r="E16"/>
</calcChain>
</file>

<file path=xl/comments1.xml><?xml version="1.0" encoding="utf-8"?>
<comments xmlns="http://schemas.openxmlformats.org/spreadsheetml/2006/main">
  <authors>
    <author>Dieter</author>
  </authors>
  <commentList>
    <comment ref="B13" authorId="0">
      <text>
        <r>
          <rPr>
            <b/>
            <sz val="9"/>
            <color indexed="81"/>
            <rFont val="Calibri"/>
            <family val="2"/>
          </rPr>
          <t>Dieter:</t>
        </r>
        <r>
          <rPr>
            <sz val="9"/>
            <color indexed="81"/>
            <rFont val="Calibri"/>
            <family val="2"/>
          </rPr>
          <t xml:space="preserve">
Some market share numbers are not representative since the majority uses the mobile application. Evolution in numbers still representative?</t>
        </r>
      </text>
    </comment>
  </commentList>
</comments>
</file>

<file path=xl/comments2.xml><?xml version="1.0" encoding="utf-8"?>
<comments xmlns="http://schemas.openxmlformats.org/spreadsheetml/2006/main">
  <authors>
    <author>Dieter</author>
  </authors>
  <commentList>
    <comment ref="A1" authorId="0">
      <text>
        <r>
          <rPr>
            <b/>
            <sz val="9"/>
            <color indexed="81"/>
            <rFont val="Calibri"/>
            <family val="2"/>
          </rPr>
          <t>Dieter:</t>
        </r>
        <r>
          <rPr>
            <sz val="9"/>
            <color indexed="81"/>
            <rFont val="Calibri"/>
            <family val="2"/>
          </rPr>
          <t xml:space="preserve">
Imaging segment</t>
        </r>
      </text>
    </comment>
    <comment ref="A16" authorId="0">
      <text>
        <r>
          <rPr>
            <b/>
            <sz val="9"/>
            <color indexed="81"/>
            <rFont val="Calibri"/>
            <family val="2"/>
          </rPr>
          <t>Dieter:</t>
        </r>
        <r>
          <rPr>
            <sz val="9"/>
            <color indexed="81"/>
            <rFont val="Calibri"/>
            <family val="2"/>
          </rPr>
          <t xml:space="preserve">
Imaging segment</t>
        </r>
      </text>
    </comment>
  </commentList>
</comments>
</file>

<file path=xl/sharedStrings.xml><?xml version="1.0" encoding="utf-8"?>
<sst xmlns="http://schemas.openxmlformats.org/spreadsheetml/2006/main" count="1853" uniqueCount="1091">
  <si>
    <t>Sneakers</t>
  </si>
  <si>
    <t>Nike</t>
  </si>
  <si>
    <t>Adidas</t>
  </si>
  <si>
    <t>Asics</t>
  </si>
  <si>
    <t>Skechers</t>
  </si>
  <si>
    <t>New Balance</t>
  </si>
  <si>
    <t>Under Armour</t>
  </si>
  <si>
    <t>Ray-Ban</t>
  </si>
  <si>
    <t>Oakley</t>
  </si>
  <si>
    <t>Maui Jim</t>
  </si>
  <si>
    <t>Smartphones</t>
  </si>
  <si>
    <t>Tablets</t>
  </si>
  <si>
    <t>Routers</t>
  </si>
  <si>
    <t>Consoles</t>
  </si>
  <si>
    <t>Apple</t>
  </si>
  <si>
    <t>Sony</t>
  </si>
  <si>
    <t>Nokia (Microsoft)</t>
  </si>
  <si>
    <t>Samsung</t>
  </si>
  <si>
    <t>Bose</t>
  </si>
  <si>
    <t>Beats by Dr. Dre (Apple)</t>
  </si>
  <si>
    <t>Sennheiser</t>
  </si>
  <si>
    <t>Gucci</t>
  </si>
  <si>
    <t>Nina Richi</t>
  </si>
  <si>
    <t>Paco Rabanne</t>
  </si>
  <si>
    <t>Cisco</t>
  </si>
  <si>
    <t>Atari</t>
  </si>
  <si>
    <t>Electronic Arts</t>
  </si>
  <si>
    <t>LG</t>
  </si>
  <si>
    <t>Ford</t>
  </si>
  <si>
    <t>Toyota</t>
  </si>
  <si>
    <t>Nissan</t>
  </si>
  <si>
    <t>Honda</t>
  </si>
  <si>
    <t>Nintendo</t>
  </si>
  <si>
    <t>Microsoft</t>
  </si>
  <si>
    <t>Nikon</t>
  </si>
  <si>
    <t>Canon</t>
  </si>
  <si>
    <t>Energy drinks</t>
  </si>
  <si>
    <t>Monster</t>
  </si>
  <si>
    <t>Red Bull</t>
  </si>
  <si>
    <t>Rockstar</t>
  </si>
  <si>
    <t>Amp</t>
  </si>
  <si>
    <t>NOS</t>
  </si>
  <si>
    <t>Full throttle</t>
  </si>
  <si>
    <t>Xyience Xenergy</t>
  </si>
  <si>
    <t>Philips</t>
  </si>
  <si>
    <t>McDonalds</t>
  </si>
  <si>
    <t>KFC</t>
  </si>
  <si>
    <t>Burger King</t>
  </si>
  <si>
    <t>Wendy's</t>
  </si>
  <si>
    <t>Subway</t>
  </si>
  <si>
    <t>Taco Bell</t>
  </si>
  <si>
    <t>Bank of America</t>
  </si>
  <si>
    <t>Wells Fargo Bank</t>
  </si>
  <si>
    <t>JPMorgan Chase Bank</t>
  </si>
  <si>
    <t>Citibank</t>
  </si>
  <si>
    <t>U.S. Bank</t>
  </si>
  <si>
    <t>PNC Bank</t>
  </si>
  <si>
    <t>Capital One</t>
  </si>
  <si>
    <t>TD Bank</t>
  </si>
  <si>
    <t>Branch Banking and Trust Company</t>
  </si>
  <si>
    <t>SunTrust Bank</t>
  </si>
  <si>
    <t>The Bank of New York Mellon</t>
  </si>
  <si>
    <t>Fifth Third Bank</t>
  </si>
  <si>
    <t>Regions Bank</t>
  </si>
  <si>
    <t>Charles Schwab Bank</t>
  </si>
  <si>
    <t>CBN</t>
  </si>
  <si>
    <t>NBC</t>
  </si>
  <si>
    <t>CNN</t>
  </si>
  <si>
    <t>VOA TV</t>
  </si>
  <si>
    <t>ESPNews</t>
  </si>
  <si>
    <t>Fox News Channel</t>
  </si>
  <si>
    <t>One America News</t>
  </si>
  <si>
    <t>TheBlaze</t>
  </si>
  <si>
    <t>Bloomberg Television</t>
  </si>
  <si>
    <t>Fox Business</t>
  </si>
  <si>
    <t>ABC News</t>
  </si>
  <si>
    <t>CBS News</t>
  </si>
  <si>
    <t>American Airlines</t>
  </si>
  <si>
    <t>Delta Air Lines</t>
  </si>
  <si>
    <t>United Air Lines</t>
  </si>
  <si>
    <t>Southwest Airlines</t>
  </si>
  <si>
    <t>JetBlue Airways</t>
  </si>
  <si>
    <t>Alaska Airlines</t>
  </si>
  <si>
    <t>Spirit Airlines</t>
  </si>
  <si>
    <t>Frontier Airlines</t>
  </si>
  <si>
    <t>Hawaiian Airlines</t>
  </si>
  <si>
    <t>Allegiant Air</t>
  </si>
  <si>
    <t>Virgin America</t>
  </si>
  <si>
    <t>Sun Country</t>
  </si>
  <si>
    <t>New York Knicks</t>
  </si>
  <si>
    <t>Los Angeles Lakers</t>
  </si>
  <si>
    <t>Chicago Bulls</t>
  </si>
  <si>
    <t>Boston Celtics</t>
  </si>
  <si>
    <t>Brooklyn Nets</t>
  </si>
  <si>
    <t>Houston Rockets</t>
  </si>
  <si>
    <t>Miami Heat</t>
  </si>
  <si>
    <t>Dallas Mavericks</t>
  </si>
  <si>
    <t>Golden State Warriors</t>
  </si>
  <si>
    <t>San Antonio Spurs</t>
  </si>
  <si>
    <t>Oklahoma City Thunder</t>
  </si>
  <si>
    <t>Portland Trail Blazers</t>
  </si>
  <si>
    <t>Los Angeles Clippers</t>
  </si>
  <si>
    <t>Phoenix Suns</t>
  </si>
  <si>
    <t>Orlando Magic</t>
  </si>
  <si>
    <t>Sacramento Kings</t>
  </si>
  <si>
    <t>Utah Jazz</t>
  </si>
  <si>
    <t>Toronto Raptors</t>
  </si>
  <si>
    <t>Cleveland Cavaliers</t>
  </si>
  <si>
    <t>Denver Nuggets</t>
  </si>
  <si>
    <t>Indiana Pacers</t>
  </si>
  <si>
    <t>Philadelphia 76ers</t>
  </si>
  <si>
    <t>Memphis Grizzlies</t>
  </si>
  <si>
    <t>Detroit Pistons</t>
  </si>
  <si>
    <t>Minnesota Timberwolves</t>
  </si>
  <si>
    <t>Atlanta Hawks</t>
  </si>
  <si>
    <t>New Orleans Pelicans</t>
  </si>
  <si>
    <t>Milwaukee Bucks</t>
  </si>
  <si>
    <t>Hilton Hotels</t>
  </si>
  <si>
    <t>InterContinental Hotels</t>
  </si>
  <si>
    <t>Marriot International</t>
  </si>
  <si>
    <t>Ritz Carlton</t>
  </si>
  <si>
    <t>Four Seasons</t>
  </si>
  <si>
    <t>21st Century Fox</t>
  </si>
  <si>
    <t>Warner Bros.</t>
  </si>
  <si>
    <t>Sony/Columbia</t>
  </si>
  <si>
    <t>Universal</t>
  </si>
  <si>
    <t>Paramount</t>
  </si>
  <si>
    <t>Lionsgate</t>
  </si>
  <si>
    <t>Weinstein Company</t>
  </si>
  <si>
    <t>Open Road Films</t>
  </si>
  <si>
    <t>Fox Searchlight</t>
  </si>
  <si>
    <t>Focus Features</t>
  </si>
  <si>
    <t>Retailers</t>
  </si>
  <si>
    <t>Wal-Mart</t>
  </si>
  <si>
    <t>Kroger</t>
  </si>
  <si>
    <t>Costco</t>
  </si>
  <si>
    <t>Target</t>
  </si>
  <si>
    <t>The Home Depot</t>
  </si>
  <si>
    <t>Walgreen</t>
  </si>
  <si>
    <t>CVS Caremark</t>
  </si>
  <si>
    <t>Lowe's</t>
  </si>
  <si>
    <t>Amazon.com</t>
  </si>
  <si>
    <t>Safeway</t>
  </si>
  <si>
    <t>McDonald's</t>
  </si>
  <si>
    <t>Best Buy</t>
  </si>
  <si>
    <t>Publix</t>
  </si>
  <si>
    <t>Macy's</t>
  </si>
  <si>
    <t>Sears Holdings</t>
  </si>
  <si>
    <t>Ahold USA / Royal Ahold</t>
  </si>
  <si>
    <t>Apple Stores / iTunes</t>
  </si>
  <si>
    <t>Rite Aid</t>
  </si>
  <si>
    <t>TJX</t>
  </si>
  <si>
    <t>H-E-B</t>
  </si>
  <si>
    <t>Albertsons</t>
  </si>
  <si>
    <t>Delhaize America</t>
  </si>
  <si>
    <t>Reebok</t>
  </si>
  <si>
    <t>Fila</t>
  </si>
  <si>
    <t>Brooks</t>
  </si>
  <si>
    <t>Converse</t>
  </si>
  <si>
    <t>Puma</t>
  </si>
  <si>
    <t>Chanel</t>
  </si>
  <si>
    <t>Prada</t>
  </si>
  <si>
    <t>Coach</t>
  </si>
  <si>
    <t>Tiffany &amp; Co</t>
  </si>
  <si>
    <t>Versace</t>
  </si>
  <si>
    <t>Bulgari</t>
  </si>
  <si>
    <t>Dolce &amp; Gabana</t>
  </si>
  <si>
    <t>Lenovo</t>
  </si>
  <si>
    <t>ZTE</t>
  </si>
  <si>
    <t>Huawei</t>
  </si>
  <si>
    <t>HTC</t>
  </si>
  <si>
    <t>Xiaomi</t>
  </si>
  <si>
    <t>Motorola</t>
  </si>
  <si>
    <t>HP</t>
  </si>
  <si>
    <t>Asus</t>
  </si>
  <si>
    <t>Acer</t>
  </si>
  <si>
    <t>Panasonic</t>
  </si>
  <si>
    <t>Skullcandy</t>
  </si>
  <si>
    <t>(Apple)</t>
  </si>
  <si>
    <t>Garmin</t>
  </si>
  <si>
    <t>FitBit</t>
  </si>
  <si>
    <t>Pebble</t>
  </si>
  <si>
    <t>Shanda / Geak</t>
  </si>
  <si>
    <t>Mio Alpha</t>
  </si>
  <si>
    <t>Christian Dior</t>
  </si>
  <si>
    <t>Hugo Boss</t>
  </si>
  <si>
    <t>Burberry</t>
  </si>
  <si>
    <t>Lancome</t>
  </si>
  <si>
    <t>Juniper</t>
  </si>
  <si>
    <t>Alcatel-Lucent</t>
  </si>
  <si>
    <t>ActivisionBlizzard</t>
  </si>
  <si>
    <t>Ubisoft</t>
  </si>
  <si>
    <t>Take 2</t>
  </si>
  <si>
    <t>THQ</t>
  </si>
  <si>
    <t>Capcom</t>
  </si>
  <si>
    <t>GM</t>
  </si>
  <si>
    <t>Chrysler Group</t>
  </si>
  <si>
    <t>Subaru</t>
  </si>
  <si>
    <t>BMW</t>
  </si>
  <si>
    <t>Volkswagen Group</t>
  </si>
  <si>
    <t>Daimler</t>
  </si>
  <si>
    <t>Mazda</t>
  </si>
  <si>
    <t>Fujifilm</t>
  </si>
  <si>
    <t>Leica</t>
  </si>
  <si>
    <t>Olympus</t>
  </si>
  <si>
    <t>Ricoh</t>
  </si>
  <si>
    <t>Sigma</t>
  </si>
  <si>
    <t>Starbucks</t>
  </si>
  <si>
    <t>Dunkin' Donuts</t>
  </si>
  <si>
    <t>Pizza Hut</t>
  </si>
  <si>
    <t>Chick-fil-A</t>
  </si>
  <si>
    <t>Panera Bread</t>
  </si>
  <si>
    <t>Domino's</t>
  </si>
  <si>
    <t>Arby's</t>
  </si>
  <si>
    <t>Chipotle</t>
  </si>
  <si>
    <t>NICK</t>
  </si>
  <si>
    <t>FOXN</t>
  </si>
  <si>
    <t>DSNY</t>
  </si>
  <si>
    <t>ESPN</t>
  </si>
  <si>
    <t>ADSM</t>
  </si>
  <si>
    <t>HALL</t>
  </si>
  <si>
    <t>USA</t>
  </si>
  <si>
    <t>TOON</t>
  </si>
  <si>
    <t>TNT</t>
  </si>
  <si>
    <t>NAN</t>
  </si>
  <si>
    <t>HIST</t>
  </si>
  <si>
    <t>HGTV</t>
  </si>
  <si>
    <t>A&amp;E</t>
  </si>
  <si>
    <t>DISC</t>
  </si>
  <si>
    <t>FOOD</t>
  </si>
  <si>
    <t>AMC</t>
  </si>
  <si>
    <t>ID</t>
  </si>
  <si>
    <t>FX</t>
  </si>
  <si>
    <t>FAM</t>
  </si>
  <si>
    <t>TVLD</t>
  </si>
  <si>
    <t>Bud Light</t>
  </si>
  <si>
    <t>Coors Light</t>
  </si>
  <si>
    <t>Budweiser</t>
  </si>
  <si>
    <t>Miller Light</t>
  </si>
  <si>
    <t>Natural Light</t>
  </si>
  <si>
    <t>Busch Light</t>
  </si>
  <si>
    <t>Busch</t>
  </si>
  <si>
    <t>Keystone Light</t>
  </si>
  <si>
    <t>Miller High Life</t>
  </si>
  <si>
    <t>Corona Extra</t>
  </si>
  <si>
    <t>Google</t>
  </si>
  <si>
    <t>Exxon Mobil</t>
  </si>
  <si>
    <t>Chevron</t>
  </si>
  <si>
    <t>ConocoPhilips</t>
  </si>
  <si>
    <t>Occidental Petroleum</t>
  </si>
  <si>
    <t>Eog Resources</t>
  </si>
  <si>
    <t>Philips 66</t>
  </si>
  <si>
    <t>Anadarko Petroleum</t>
  </si>
  <si>
    <t>Apache</t>
  </si>
  <si>
    <t>Social Networks</t>
  </si>
  <si>
    <t>Facebook</t>
  </si>
  <si>
    <t>YouTube</t>
  </si>
  <si>
    <t>Google+</t>
  </si>
  <si>
    <t>Twitter</t>
  </si>
  <si>
    <t>LinkedIn</t>
  </si>
  <si>
    <t>Instagram</t>
  </si>
  <si>
    <t>Pinterest</t>
  </si>
  <si>
    <t>Myspace</t>
  </si>
  <si>
    <t>Orkut</t>
  </si>
  <si>
    <t>Tumblr</t>
  </si>
  <si>
    <t>Badoo</t>
  </si>
  <si>
    <t>Reddit</t>
  </si>
  <si>
    <t>Universal Music Group</t>
  </si>
  <si>
    <t>Sony Music Entertainment</t>
  </si>
  <si>
    <t>Warner Music Group</t>
  </si>
  <si>
    <t>EMI</t>
  </si>
  <si>
    <t>Playstation 1-4</t>
  </si>
  <si>
    <t>PSP</t>
  </si>
  <si>
    <t>#psp</t>
  </si>
  <si>
    <t>PS Vita</t>
  </si>
  <si>
    <t>#psvita #vita</t>
  </si>
  <si>
    <t>Wii</t>
  </si>
  <si>
    <t>Wii U</t>
  </si>
  <si>
    <t>DS</t>
  </si>
  <si>
    <t>3DS</t>
  </si>
  <si>
    <t>NES</t>
  </si>
  <si>
    <t>GameCube</t>
  </si>
  <si>
    <t>#wii</t>
  </si>
  <si>
    <t>#wiiu</t>
  </si>
  <si>
    <t>#nintendods</t>
  </si>
  <si>
    <t>#nintendo3ds #3ds</t>
  </si>
  <si>
    <t>#nes</t>
  </si>
  <si>
    <t>#gamecube</t>
  </si>
  <si>
    <t>SNES</t>
  </si>
  <si>
    <t>#snes</t>
  </si>
  <si>
    <t>Nintendo 64</t>
  </si>
  <si>
    <t>#n64 #nintendo64</t>
  </si>
  <si>
    <t>Gameboy</t>
  </si>
  <si>
    <t>#nintendo</t>
  </si>
  <si>
    <t>Xbox</t>
  </si>
  <si>
    <t>#xone #xbone #x360</t>
  </si>
  <si>
    <t>#gameboy #gba #gbcolor #gbadvance</t>
  </si>
  <si>
    <t>#tacobell #tbell</t>
  </si>
  <si>
    <t>#chickfila #chickfa</t>
  </si>
  <si>
    <t>#panera</t>
  </si>
  <si>
    <t>#arbys</t>
  </si>
  <si>
    <t>Fastfood restaurants</t>
  </si>
  <si>
    <t>#rockstarenergy</t>
  </si>
  <si>
    <t>#ampenergy</t>
  </si>
  <si>
    <t>#xyience #xenergy</t>
  </si>
  <si>
    <t>XS Energy</t>
  </si>
  <si>
    <t>#xsenergy #xsblast</t>
  </si>
  <si>
    <t>Burn</t>
  </si>
  <si>
    <t>#burnenergy</t>
  </si>
  <si>
    <t>5-hour Energy</t>
  </si>
  <si>
    <t>#5hourenergy #5hrenergy</t>
  </si>
  <si>
    <t>Verve</t>
  </si>
  <si>
    <t>#verveenergy</t>
  </si>
  <si>
    <t>Guru</t>
  </si>
  <si>
    <t>#guruenergy</t>
  </si>
  <si>
    <t>Crunk</t>
  </si>
  <si>
    <t>#crunkenergy</t>
  </si>
  <si>
    <t>#orkut</t>
  </si>
  <si>
    <t>#badoo</t>
  </si>
  <si>
    <t>#reddit</t>
  </si>
  <si>
    <t>#geakwatch</t>
  </si>
  <si>
    <t>#mioalpha #miowatch</t>
  </si>
  <si>
    <t>#bankofamerica</t>
  </si>
  <si>
    <t>#wellsfargo</t>
  </si>
  <si>
    <t>#jpmorgan</t>
  </si>
  <si>
    <t>#citibank</t>
  </si>
  <si>
    <t>#usbank</t>
  </si>
  <si>
    <t>#pncbank</t>
  </si>
  <si>
    <t>#capitalone</t>
  </si>
  <si>
    <t>#tdbank</t>
  </si>
  <si>
    <t>#bbtbank</t>
  </si>
  <si>
    <t>#suntrustbank</t>
  </si>
  <si>
    <t>#bnymellon</t>
  </si>
  <si>
    <t>#53bank #fiththird</t>
  </si>
  <si>
    <t>#regionsbank</t>
  </si>
  <si>
    <t>#charlesschwab</t>
  </si>
  <si>
    <t>Digital cameras</t>
  </si>
  <si>
    <t>#leica</t>
  </si>
  <si>
    <t>#olympus</t>
  </si>
  <si>
    <t>#sigma</t>
  </si>
  <si>
    <t>Jordan (Nike)</t>
  </si>
  <si>
    <t>Sunglasses</t>
  </si>
  <si>
    <t>#mauijim</t>
  </si>
  <si>
    <t>NBA teams</t>
  </si>
  <si>
    <t>#orlandomagic</t>
  </si>
  <si>
    <t>Washington Wizards</t>
  </si>
  <si>
    <t>Charlotte Hornets</t>
  </si>
  <si>
    <t>Airline companies</t>
  </si>
  <si>
    <t>#americanairlines</t>
  </si>
  <si>
    <t>#southwestairlines</t>
  </si>
  <si>
    <t>#alaskaairlines</t>
  </si>
  <si>
    <t>#spiritairlines</t>
  </si>
  <si>
    <t>#frontierairlines</t>
  </si>
  <si>
    <t>#hawaiianairlines</t>
  </si>
  <si>
    <t>#allegiantair</t>
  </si>
  <si>
    <t>#virginamerica</t>
  </si>
  <si>
    <t>#suncountry</t>
  </si>
  <si>
    <t>#deltaairlines #deltaair</t>
  </si>
  <si>
    <t>#unitedairlines #unitedair</t>
  </si>
  <si>
    <t>#jetblueairways #jetblue</t>
  </si>
  <si>
    <t>#walmart</t>
  </si>
  <si>
    <t>#kroger</t>
  </si>
  <si>
    <t>#costco</t>
  </si>
  <si>
    <t>#target</t>
  </si>
  <si>
    <t>#walgreen</t>
  </si>
  <si>
    <t>#cvscaremark #cvs #caremark</t>
  </si>
  <si>
    <t>#thehomedepot #homedepot</t>
  </si>
  <si>
    <t>#lowes</t>
  </si>
  <si>
    <t>#amazon #amazon.com</t>
  </si>
  <si>
    <t>#safeway</t>
  </si>
  <si>
    <t>#mcdonalds</t>
  </si>
  <si>
    <t>#bestbuy</t>
  </si>
  <si>
    <t>#publix</t>
  </si>
  <si>
    <t>#macys</t>
  </si>
  <si>
    <t>#sears</t>
  </si>
  <si>
    <t>#riteaid</t>
  </si>
  <si>
    <t>#tjx</t>
  </si>
  <si>
    <t>#heb</t>
  </si>
  <si>
    <t>#albertsons</t>
  </si>
  <si>
    <t>Kohl's</t>
  </si>
  <si>
    <t>#kohls</t>
  </si>
  <si>
    <t>YUM! Brands</t>
  </si>
  <si>
    <t>#yumbrands #kfc #pizzahut #tacobell</t>
  </si>
  <si>
    <t>Dollar General</t>
  </si>
  <si>
    <t>#dollargeneral</t>
  </si>
  <si>
    <t>Wakefern / Shoprite</t>
  </si>
  <si>
    <t>#wakefern #shoprite</t>
  </si>
  <si>
    <t>Beer</t>
  </si>
  <si>
    <t>#budlight</t>
  </si>
  <si>
    <t>#budweiser</t>
  </si>
  <si>
    <t>#millerlight</t>
  </si>
  <si>
    <t>#naturallight</t>
  </si>
  <si>
    <t>#buschlight</t>
  </si>
  <si>
    <t>#buschbeer</t>
  </si>
  <si>
    <t>#keystonelight</t>
  </si>
  <si>
    <t>#millerhighlife</t>
  </si>
  <si>
    <t>Michelob Ultra (Light)</t>
  </si>
  <si>
    <t>#sony</t>
  </si>
  <si>
    <t>#lenovo</t>
  </si>
  <si>
    <t>#zte</t>
  </si>
  <si>
    <t>#huawei</t>
  </si>
  <si>
    <t>#htc</t>
  </si>
  <si>
    <t>BlackBerry</t>
  </si>
  <si>
    <t>#motorola #motog #motox</t>
  </si>
  <si>
    <t>#xiaomi #miphone</t>
  </si>
  <si>
    <t>#sennheiser</t>
  </si>
  <si>
    <t>Pioneer</t>
  </si>
  <si>
    <t>#pioneer</t>
  </si>
  <si>
    <t>#skullcandy</t>
  </si>
  <si>
    <t>Audio Technica</t>
  </si>
  <si>
    <t>#audiotechnica</t>
  </si>
  <si>
    <t>#philips</t>
  </si>
  <si>
    <t>#panasonic</t>
  </si>
  <si>
    <t>JVC</t>
  </si>
  <si>
    <t>#jvc</t>
  </si>
  <si>
    <t>AKG</t>
  </si>
  <si>
    <t>#akg</t>
  </si>
  <si>
    <t>Shure</t>
  </si>
  <si>
    <t>#shure</t>
  </si>
  <si>
    <t>Klipsch</t>
  </si>
  <si>
    <t>#klipsch</t>
  </si>
  <si>
    <t>#christiandior #dior</t>
  </si>
  <si>
    <t>#gucci</t>
  </si>
  <si>
    <t>#ninarichi</t>
  </si>
  <si>
    <t>#chanel</t>
  </si>
  <si>
    <t>#hugoboss #boss</t>
  </si>
  <si>
    <t>#burberry</t>
  </si>
  <si>
    <t>#lancome</t>
  </si>
  <si>
    <t>#pacorabanne #rabanne</t>
  </si>
  <si>
    <t>#dolceandgabana #dolce</t>
  </si>
  <si>
    <t>Georgio Armani</t>
  </si>
  <si>
    <t>#armani #georgioarmani</t>
  </si>
  <si>
    <t>Thierry Mugler</t>
  </si>
  <si>
    <t>#thierrymugler</t>
  </si>
  <si>
    <t>Viktor &amp; Rolf</t>
  </si>
  <si>
    <t>#viktorrolf</t>
  </si>
  <si>
    <t>Calvin Klein</t>
  </si>
  <si>
    <t>#calvinklein #ck</t>
  </si>
  <si>
    <t>Ralph Lauren</t>
  </si>
  <si>
    <t>#ralphlauren</t>
  </si>
  <si>
    <t>Jean-Paul Gaultier</t>
  </si>
  <si>
    <t>Yves Saint Laurent</t>
  </si>
  <si>
    <t>Azarro</t>
  </si>
  <si>
    <t>#azarro</t>
  </si>
  <si>
    <t>#versace #gianniversace</t>
  </si>
  <si>
    <t>#jeanpaulgaultier #gaultier</t>
  </si>
  <si>
    <t>#yvessaintlaurent</t>
  </si>
  <si>
    <t>Fragrances</t>
  </si>
  <si>
    <t>#asus</t>
  </si>
  <si>
    <t>#asus #fonepad #transformerpad #vivotab #memopad</t>
  </si>
  <si>
    <t>#lenovo #thinkpad</t>
  </si>
  <si>
    <t>#acer #iconia</t>
  </si>
  <si>
    <t>#lg #gpad</t>
  </si>
  <si>
    <t>Nokia</t>
  </si>
  <si>
    <t>#nokia #nokiaN1 #lumia</t>
  </si>
  <si>
    <t>#huawei #mediapad</t>
  </si>
  <si>
    <t>#mipad</t>
  </si>
  <si>
    <t>#motorola #xyboard</t>
  </si>
  <si>
    <t>#cisco</t>
  </si>
  <si>
    <t>TP-link</t>
  </si>
  <si>
    <t>#hp</t>
  </si>
  <si>
    <t>#juniper</t>
  </si>
  <si>
    <t>#alcatellucent</t>
  </si>
  <si>
    <t>Netgear</t>
  </si>
  <si>
    <t>#netgear</t>
  </si>
  <si>
    <t>#tplink</t>
  </si>
  <si>
    <t>Belkin</t>
  </si>
  <si>
    <t>#belkin</t>
  </si>
  <si>
    <t>#activision #blizzardentertainment</t>
  </si>
  <si>
    <t>#atari</t>
  </si>
  <si>
    <t>#ea #electronicarts</t>
  </si>
  <si>
    <t>#ubisoft</t>
  </si>
  <si>
    <t>#take2interactive #2k #rockstargames</t>
  </si>
  <si>
    <t>#thq</t>
  </si>
  <si>
    <t>#capcom</t>
  </si>
  <si>
    <t>Warner Bros</t>
  </si>
  <si>
    <t>#warnerbros</t>
  </si>
  <si>
    <t>#microsoftstudios</t>
  </si>
  <si>
    <t>Video game developers</t>
  </si>
  <si>
    <t>#sonycomputerentertainment #sonyentertainment</t>
  </si>
  <si>
    <t>SEGA</t>
  </si>
  <si>
    <t>#sega</t>
  </si>
  <si>
    <t>Square</t>
  </si>
  <si>
    <t>#squareenix #squaresoft</t>
  </si>
  <si>
    <t>Bungie</t>
  </si>
  <si>
    <t>#bungie</t>
  </si>
  <si>
    <t>Bethesda</t>
  </si>
  <si>
    <t>#bethesda</t>
  </si>
  <si>
    <t>Valve</t>
  </si>
  <si>
    <t>#valve #steam</t>
  </si>
  <si>
    <t>Konami</t>
  </si>
  <si>
    <t>#konami</t>
  </si>
  <si>
    <t>Bioware</t>
  </si>
  <si>
    <t>#bioware</t>
  </si>
  <si>
    <t>Crytek</t>
  </si>
  <si>
    <t>#crytek</t>
  </si>
  <si>
    <t>Bandai Namco</t>
  </si>
  <si>
    <t>#namco #bandainamco</t>
  </si>
  <si>
    <t>Harmonix</t>
  </si>
  <si>
    <t>#harmonix</t>
  </si>
  <si>
    <t>Sierra Entertainment</t>
  </si>
  <si>
    <t>#sierraentertainment</t>
  </si>
  <si>
    <t>Naughty Dog</t>
  </si>
  <si>
    <t>#naughtydog</t>
  </si>
  <si>
    <t>Epic Games</t>
  </si>
  <si>
    <t>#epicgames</t>
  </si>
  <si>
    <t>Infinity Ward</t>
  </si>
  <si>
    <t>#infinityward</t>
  </si>
  <si>
    <t>Cars</t>
  </si>
  <si>
    <t>Hyundai-Kia</t>
  </si>
  <si>
    <t>Jaguar-Landrover</t>
  </si>
  <si>
    <t>Mercedes-Benz</t>
  </si>
  <si>
    <t>Dodge</t>
  </si>
  <si>
    <t>Audi</t>
  </si>
  <si>
    <t>#lionsgate</t>
  </si>
  <si>
    <t>#weinstein</t>
  </si>
  <si>
    <t>Disney</t>
  </si>
  <si>
    <t>#disney #waltdisney</t>
  </si>
  <si>
    <t>Film studios</t>
  </si>
  <si>
    <t>Relativity Media</t>
  </si>
  <si>
    <t>#relativitymedia</t>
  </si>
  <si>
    <t>#openroadfilms</t>
  </si>
  <si>
    <t>#foxsearchlight</t>
  </si>
  <si>
    <t>#focusfeatures</t>
  </si>
  <si>
    <t>#21stcenturyfox #20thcenturyfox</t>
  </si>
  <si>
    <t>#paramount #viacom</t>
  </si>
  <si>
    <t>#sonycolumbia #columbiapictures #sonypictures #metrogoldwynmayer</t>
  </si>
  <si>
    <t>#warnerbros #newlinecinema</t>
  </si>
  <si>
    <t>#universal #nbcuniversal</t>
  </si>
  <si>
    <t>#emirecords #emi</t>
  </si>
  <si>
    <t>Interscope</t>
  </si>
  <si>
    <t>#interscope</t>
  </si>
  <si>
    <t>Cash Money Records</t>
  </si>
  <si>
    <t>#cashmoneyrecords</t>
  </si>
  <si>
    <t>Big Machine Records</t>
  </si>
  <si>
    <t>#bigmachine</t>
  </si>
  <si>
    <t>Def Jam Records</t>
  </si>
  <si>
    <t>#defjam</t>
  </si>
  <si>
    <t>Epic Records</t>
  </si>
  <si>
    <t>#epicrecords</t>
  </si>
  <si>
    <t>Capitol Records</t>
  </si>
  <si>
    <t>#capitolrecords</t>
  </si>
  <si>
    <t>#sonymusic #columbiamusic #columbiarecords #sonybmg #sonyatv</t>
  </si>
  <si>
    <t>#warnermusic #wmg</t>
  </si>
  <si>
    <t>#universalmusicgroup #umg</t>
  </si>
  <si>
    <t>#exxon</t>
  </si>
  <si>
    <t>#chevron</t>
  </si>
  <si>
    <t>#conocophilips</t>
  </si>
  <si>
    <t>#occidentalpetroleum</t>
  </si>
  <si>
    <t>#eogresources</t>
  </si>
  <si>
    <t>#philips66</t>
  </si>
  <si>
    <t>#anadarkopetroleum</t>
  </si>
  <si>
    <t>#apache</t>
  </si>
  <si>
    <t>Hotel chains</t>
  </si>
  <si>
    <t>Record labels</t>
  </si>
  <si>
    <t>Oil &amp; gas companies</t>
  </si>
  <si>
    <t>#hilton</t>
  </si>
  <si>
    <t>#intercontinental</t>
  </si>
  <si>
    <t>#marriot</t>
  </si>
  <si>
    <t>#ritz</t>
  </si>
  <si>
    <t>#fourseasons</t>
  </si>
  <si>
    <t>Wyndham</t>
  </si>
  <si>
    <t>#wyndham</t>
  </si>
  <si>
    <t>Accor</t>
  </si>
  <si>
    <t>#accor</t>
  </si>
  <si>
    <t>Choice Hotels</t>
  </si>
  <si>
    <t>#choicehotels</t>
  </si>
  <si>
    <t>Best Western</t>
  </si>
  <si>
    <t>#bestwestern</t>
  </si>
  <si>
    <t>#starwood</t>
  </si>
  <si>
    <t>Starwood Hotels and Resorts</t>
  </si>
  <si>
    <t>Home Inns</t>
  </si>
  <si>
    <t>#homeinns</t>
  </si>
  <si>
    <t>Carlson</t>
  </si>
  <si>
    <t>#carlson</t>
  </si>
  <si>
    <t>#cbn</t>
  </si>
  <si>
    <t>#nbc</t>
  </si>
  <si>
    <t>#foxnews</t>
  </si>
  <si>
    <t>#cnn</t>
  </si>
  <si>
    <t>#voa</t>
  </si>
  <si>
    <t>#espn</t>
  </si>
  <si>
    <t>#hln</t>
  </si>
  <si>
    <t>HLN TV</t>
  </si>
  <si>
    <t>#cbs</t>
  </si>
  <si>
    <t>#oneamerica</t>
  </si>
  <si>
    <t>#theblaze</t>
  </si>
  <si>
    <t>#bloomberg</t>
  </si>
  <si>
    <t>#abc</t>
  </si>
  <si>
    <t>#fox</t>
  </si>
  <si>
    <t>#nickelodeon #nicktv</t>
  </si>
  <si>
    <t>#adultswim</t>
  </si>
  <si>
    <t>#hallmark</t>
  </si>
  <si>
    <t>#usanetwork</t>
  </si>
  <si>
    <t>#cartoonnetwork</t>
  </si>
  <si>
    <t>#tnt</t>
  </si>
  <si>
    <t>#nationalactionnetwork</t>
  </si>
  <si>
    <t>#historychannel #historytv</t>
  </si>
  <si>
    <t>#disneychannel #disneytv</t>
  </si>
  <si>
    <t>#foxnetwork #foxtv #fox</t>
  </si>
  <si>
    <t>#hgtv</t>
  </si>
  <si>
    <t>#aetv</t>
  </si>
  <si>
    <t>#discovery</t>
  </si>
  <si>
    <t>#foodnetwork #foodtv</t>
  </si>
  <si>
    <t>#amctv #amcchannel #shareamc</t>
  </si>
  <si>
    <t>#idchannel #investigationdiscovery</t>
  </si>
  <si>
    <t>#fxtv</t>
  </si>
  <si>
    <t>#famchannel #familychannel</t>
  </si>
  <si>
    <t>#tvland</t>
  </si>
  <si>
    <t>#playstation #ps</t>
  </si>
  <si>
    <t>#dominos #pizzapics</t>
  </si>
  <si>
    <t>#nosenergy</t>
  </si>
  <si>
    <t>#ricoh</t>
  </si>
  <si>
    <t>#rayban</t>
  </si>
  <si>
    <t>#oakley</t>
  </si>
  <si>
    <t>#prada</t>
  </si>
  <si>
    <t>#coach</t>
  </si>
  <si>
    <t>#tiffany</t>
  </si>
  <si>
    <t>#versace</t>
  </si>
  <si>
    <t>#dolce</t>
  </si>
  <si>
    <t>Armani</t>
  </si>
  <si>
    <t>#bulgari #bvlgari</t>
  </si>
  <si>
    <t>#armani #emporioarmani #georgioarmani</t>
  </si>
  <si>
    <t>Dior</t>
  </si>
  <si>
    <t>#dior</t>
  </si>
  <si>
    <t>Michael Kors</t>
  </si>
  <si>
    <t>#michaelkors #kors</t>
  </si>
  <si>
    <t>Oliver Peoples</t>
  </si>
  <si>
    <t>#oliverpeoples</t>
  </si>
  <si>
    <t>#coors</t>
  </si>
  <si>
    <t>#michelob</t>
  </si>
  <si>
    <t>Shock Top</t>
  </si>
  <si>
    <t>#shocktop</t>
  </si>
  <si>
    <t>#corona</t>
  </si>
  <si>
    <t>#ps1 #ps2 #ps3 #ps4 #sonyplaystation #psn #teamplaystation #goplaystation #teamsony #gosony</t>
  </si>
  <si>
    <t>#nintendo #teamnintendo #gonintendo</t>
  </si>
  <si>
    <t>#xbox #teammicrosoft #teamxbox #goxbox #gomicrosoft</t>
  </si>
  <si>
    <t>#mcdonalds #mcdo #happymeal #imlovinit #bigmac #mcdstories #dollarmenu #mccafe #teammcdo</t>
  </si>
  <si>
    <t>#kfc #kentuckyfriedchicken #howdoyoukfc #doublicious #chickenlittles #famousbowl #teamkfc</t>
  </si>
  <si>
    <t>#burgerking #whopper #bigking #doublewhopper #triplewhopper #fourcheesewhopper</t>
  </si>
  <si>
    <t>#wendys #qualityisourrecipe #baconator</t>
  </si>
  <si>
    <t>#starbucks #frapuccino #fizzio #teamstarbucks</t>
  </si>
  <si>
    <t>#subway #italianbmt #veggiedelite #teamsubway</t>
  </si>
  <si>
    <t>#dunkindonuts #dunkind #ddperks #dunkaccino</t>
  </si>
  <si>
    <t>#pizzahut #yumbrands</t>
  </si>
  <si>
    <t>#chipotle #burritobowl</t>
  </si>
  <si>
    <t>#redbullenergy #redbull #givesyouwings #teamredbull</t>
  </si>
  <si>
    <t>#monsterenergy #monstergirls</t>
  </si>
  <si>
    <t>#fullthrottlenergy #fullthrottleenergy</t>
  </si>
  <si>
    <t>#facebook #fb #teamfb #teamfacebook</t>
  </si>
  <si>
    <t>#youtube #utube</t>
  </si>
  <si>
    <t>#googleplus #teamgoogle</t>
  </si>
  <si>
    <t>#twitter #tweet #teamtwitter</t>
  </si>
  <si>
    <t>#linkedin #teamlinkedin</t>
  </si>
  <si>
    <t>#instagram #insta #teaminstagram</t>
  </si>
  <si>
    <t>#pinterest #pinit #teampinterest</t>
  </si>
  <si>
    <t>#myspace #teammyspace</t>
  </si>
  <si>
    <t>#tumblr #teamtumblr</t>
  </si>
  <si>
    <t>#samsunggear #galaxygear #gearlive #gearfit #gear2 #samsungwatch</t>
  </si>
  <si>
    <t>#applewatch #iwatch #teamapple</t>
  </si>
  <si>
    <t>#nikefuel #nikewatch #nikesportwatch #fuelband #teamnike</t>
  </si>
  <si>
    <t>#garminwatch #forerunner #vivofit #vivosmart #teamgarmin</t>
  </si>
  <si>
    <t>#fitbit #teamfitbit</t>
  </si>
  <si>
    <t>#sonywatch #sonysmartwatch #teamsony</t>
  </si>
  <si>
    <t>#pebble #teampebble</t>
  </si>
  <si>
    <t>#nikon #teamnikon</t>
  </si>
  <si>
    <t>#canon #teamcanon</t>
  </si>
  <si>
    <t>#sony #teamsony</t>
  </si>
  <si>
    <t>#panasonic #teampanasonic</t>
  </si>
  <si>
    <t>#samsung #teamsamsung</t>
  </si>
  <si>
    <t>#hp #teamhp</t>
  </si>
  <si>
    <t>#fujifilm #teamfujifilm</t>
  </si>
  <si>
    <t>#nikeshoe #nikesneaker #nikes #nike #teamnike #gonike</t>
  </si>
  <si>
    <t>#jordans #jordansneaker #jordanshoe #nikejordan #teamjordan</t>
  </si>
  <si>
    <t>#adidassneaker #adidasshoe #adidas #teamadidas</t>
  </si>
  <si>
    <t>#asicsshoe #asicsneaker #asics #teamasics</t>
  </si>
  <si>
    <t>#skecherssneaker #skechers #teamskechers</t>
  </si>
  <si>
    <t>#underarmoursneaker #underarmourshoe #underarmour #teamunderarmour</t>
  </si>
  <si>
    <t>#newbalance #newbalance #teamnewbalance</t>
  </si>
  <si>
    <t>#reebokshoes #reeboksneakers #reeboks #reebok #teamreebok</t>
  </si>
  <si>
    <t>#filashoe #filasneaker #fila #teamfila</t>
  </si>
  <si>
    <t>#brooksrunning #brooksshoe #brookssneaker #brooks #teambrooks</t>
  </si>
  <si>
    <t>#pumashoes #pumasneakers #puma #teampuma</t>
  </si>
  <si>
    <t>#converse #allstars #converse #teamconverse</t>
  </si>
  <si>
    <t>#generalmotors #chevrolet #buick #gmc #cadillac #opel #vauxhall #chevy #teamchevy</t>
  </si>
  <si>
    <t>#ford #mustang #teamford</t>
  </si>
  <si>
    <t>#toyota #teamtoyota</t>
  </si>
  <si>
    <t>#chrysler #lancia #dodge #ramtrucks #teamchrysler</t>
  </si>
  <si>
    <t>#honda #teamhonda</t>
  </si>
  <si>
    <t>#nissan #teamnissan</t>
  </si>
  <si>
    <t>#hyundai #kia #teamhyundai #teamkia</t>
  </si>
  <si>
    <t>#subaru #teamsubaru</t>
  </si>
  <si>
    <t>#bmw #teambmw</t>
  </si>
  <si>
    <t>#volkswagen #teamvolkswagen</t>
  </si>
  <si>
    <t>#daimler #teamdaimler</t>
  </si>
  <si>
    <t>#mazda #teammazda</t>
  </si>
  <si>
    <t>#jaguar #landrover #teamjaguar #teamlandrover</t>
  </si>
  <si>
    <t>#mercedes #benz #teammercedes #teambenz</t>
  </si>
  <si>
    <t>#dodge #teamdodge</t>
  </si>
  <si>
    <t>#audi #teamaudi</t>
  </si>
  <si>
    <t>#apple #airportextreme</t>
  </si>
  <si>
    <t>#nexus #google #teamnexus</t>
  </si>
  <si>
    <t>#sony #xperia #teamxperia #teamsony</t>
  </si>
  <si>
    <t>#samsung #galaxytab #tabpro #teamgalaxy #teamsamsung</t>
  </si>
  <si>
    <t>#apple #ipad #teamipad #teamapple</t>
  </si>
  <si>
    <t>#bose #teambose</t>
  </si>
  <si>
    <t>#beatsbydre #beatsbydrdre #applebeats #teambeats #beatsarmy</t>
  </si>
  <si>
    <t>#nexus #google #teamnexus #teamgoogle</t>
  </si>
  <si>
    <t>#iPhone #apple #teamiphone #teamapple</t>
  </si>
  <si>
    <t>#nokia #microsoft #windowsphone #lumia #teamnokia</t>
  </si>
  <si>
    <t>#samsung #galaxys #teamsamsung #teamgalaxy</t>
  </si>
  <si>
    <t>#blackberry #teamblackberry</t>
  </si>
  <si>
    <t>#lg #teamlg</t>
  </si>
  <si>
    <t>#delhaizeamerica #delhaize</t>
  </si>
  <si>
    <t>#aholdusa #ahold</t>
  </si>
  <si>
    <t>#applestore #itunes #appstore</t>
  </si>
  <si>
    <t>#newyorkknicks #knicks #nyk #teamknicks #goknicks</t>
  </si>
  <si>
    <t>#losangeleslakers #lakers #lal #teamlakers #golakers</t>
  </si>
  <si>
    <t>#chicagobulls #bulls #teambulls #gobulls #teamchicago</t>
  </si>
  <si>
    <t>#bostonceltics #celtics #teamceltics #goceltics</t>
  </si>
  <si>
    <t>#brooklynnets #nets #teamnets #gonets</t>
  </si>
  <si>
    <t>#houstonrockets #rockets #teamrockets #gorockets</t>
  </si>
  <si>
    <t>#miamiheat #teamheat #goheat</t>
  </si>
  <si>
    <t>#dallasmavericks #mavs #mavericks #teammavericks #gomavericks #teammavs #gomavs</t>
  </si>
  <si>
    <t>#goldenstatewarriors #gswarriors #gsw #gowarriors #teamwarriors</t>
  </si>
  <si>
    <t>#sanantoniospurs #spurs #teamspurs #gospurs #teamspurs #gospurs</t>
  </si>
  <si>
    <t>#oklahomacitythunder #okcthunder #teamthunder #gothunder</t>
  </si>
  <si>
    <t>#portlandtrailblazers #trailblazers #blazers #teamtrailblazers #gotrailblazers</t>
  </si>
  <si>
    <t>#losangelesclippers #clippers #teamclippers #goclippers</t>
  </si>
  <si>
    <t>#phoenixsuns #suns #teamsuns #gosuns</t>
  </si>
  <si>
    <t>#sacramentokings #nbakings #gokings</t>
  </si>
  <si>
    <t>#utahjazz #teamjazz #gojazz</t>
  </si>
  <si>
    <t>#torontoraptors #raptors #teamraptors #goraptors</t>
  </si>
  <si>
    <t>#clevelandcavaliers #cavaliers #cavs #teamcavaliers #gocavaliers</t>
  </si>
  <si>
    <t>#denvernuggets #teamnuggets #gonuggets</t>
  </si>
  <si>
    <t>#washingtonwizards #wizards #washingtonwizzards #wizzards #teamwizards #gowizards</t>
  </si>
  <si>
    <t>#indianapacers #pacers #teampacers #gopacers</t>
  </si>
  <si>
    <t>#philadelphia76ers #76ers #team76ers #go76ers</t>
  </si>
  <si>
    <t>#memphisgrizzlies #grizzlies #teamgrizzlies #gogrizzlies</t>
  </si>
  <si>
    <t>#detroitpistons #pistons #teampistons #gopistons</t>
  </si>
  <si>
    <t>#minnesotatimberwolves #timberwolves #twolves #teamtwolves #gotwolves #gotimberwolves #teamtimberwolves</t>
  </si>
  <si>
    <t>#atlantahawks #atlhawks #hawks #teamhawks #gohawks</t>
  </si>
  <si>
    <t>#neworleanspelicans #pelicans #teampelicans #gopelicans</t>
  </si>
  <si>
    <t>#charlottehornets #hornets #teamhornets #gohornets</t>
  </si>
  <si>
    <t>#milwaukeebucks #bucks #teambucks #gobucks</t>
  </si>
  <si>
    <t>Smartwatches</t>
  </si>
  <si>
    <t>Banks</t>
  </si>
  <si>
    <t>Headphones</t>
  </si>
  <si>
    <t>News sources</t>
  </si>
  <si>
    <t>TV channels</t>
  </si>
  <si>
    <t>Q1</t>
  </si>
  <si>
    <t>Q2</t>
  </si>
  <si>
    <t>Q3</t>
  </si>
  <si>
    <t>PS4</t>
  </si>
  <si>
    <t>WiiU</t>
  </si>
  <si>
    <t>Social networks</t>
  </si>
  <si>
    <t>Units sold (million)</t>
  </si>
  <si>
    <t>Q4</t>
  </si>
  <si>
    <t>1. A measure of an airplane's carrying capacity available to generate revenue. ASM can be used to represent market share.</t>
  </si>
  <si>
    <r>
      <t>RPM (Revenue Passenger Miles)</t>
    </r>
    <r>
      <rPr>
        <b/>
        <vertAlign val="superscript"/>
        <sz val="12"/>
        <color theme="1"/>
        <rFont val="Calibri"/>
        <family val="2"/>
        <scheme val="minor"/>
      </rPr>
      <t>2</t>
    </r>
    <r>
      <rPr>
        <b/>
        <sz val="12"/>
        <color theme="1"/>
        <rFont val="Calibri"/>
        <family val="2"/>
        <scheme val="minor"/>
      </rPr>
      <t xml:space="preserve"> (billion)</t>
    </r>
  </si>
  <si>
    <t>2. RPMs are often compared to the available seat miles (ASM), which show the total number of passenger miles that could be generated in order to determine the amount of revenue that comes in compared to the maximum amount.</t>
  </si>
  <si>
    <t>Jan</t>
  </si>
  <si>
    <t>Feb</t>
  </si>
  <si>
    <t>Mar</t>
  </si>
  <si>
    <t>Apr</t>
  </si>
  <si>
    <t>May</t>
  </si>
  <si>
    <r>
      <t>ASM (Available Seat Miles)</t>
    </r>
    <r>
      <rPr>
        <b/>
        <vertAlign val="superscript"/>
        <sz val="12"/>
        <color rgb="FF000000"/>
        <rFont val="Calibri"/>
        <family val="2"/>
        <scheme val="minor"/>
      </rPr>
      <t>1</t>
    </r>
    <r>
      <rPr>
        <b/>
        <sz val="12"/>
        <color rgb="FF000000"/>
        <rFont val="Calibri"/>
        <family val="2"/>
        <scheme val="minor"/>
      </rPr>
      <t xml:space="preserve"> (billion)</t>
    </r>
  </si>
  <si>
    <t>Jun</t>
  </si>
  <si>
    <t>Jul</t>
  </si>
  <si>
    <t>Aug</t>
  </si>
  <si>
    <t>Sep</t>
  </si>
  <si>
    <t>3. Results can only be found per quarter.</t>
  </si>
  <si>
    <r>
      <t>Allegiant Air</t>
    </r>
    <r>
      <rPr>
        <b/>
        <vertAlign val="superscript"/>
        <sz val="12"/>
        <color rgb="FF000000"/>
        <rFont val="Calibri"/>
        <family val="2"/>
        <scheme val="minor"/>
      </rPr>
      <t>3</t>
    </r>
  </si>
  <si>
    <t>1. Revenues coming from sales by company-operated restaurants and franchised restaurants</t>
  </si>
  <si>
    <t>Fast food restaurants</t>
  </si>
  <si>
    <r>
      <t>Sales revenues</t>
    </r>
    <r>
      <rPr>
        <b/>
        <vertAlign val="superscript"/>
        <sz val="12"/>
        <color theme="1"/>
        <rFont val="Calibri"/>
        <family val="2"/>
        <scheme val="minor"/>
      </rPr>
      <t>1</t>
    </r>
    <r>
      <rPr>
        <b/>
        <sz val="12"/>
        <color theme="1"/>
        <rFont val="Calibri"/>
        <family val="2"/>
        <scheme val="minor"/>
      </rPr>
      <t xml:space="preserve"> (in millions)</t>
    </r>
  </si>
  <si>
    <t>N.A.</t>
  </si>
  <si>
    <t>2. Private company, financials are undisclosed</t>
  </si>
  <si>
    <r>
      <t>Subway</t>
    </r>
    <r>
      <rPr>
        <b/>
        <vertAlign val="superscript"/>
        <sz val="12"/>
        <color theme="1"/>
        <rFont val="Calibri"/>
        <family val="2"/>
        <scheme val="minor"/>
      </rPr>
      <t>2</t>
    </r>
  </si>
  <si>
    <r>
      <t>Chick-fil-A</t>
    </r>
    <r>
      <rPr>
        <b/>
        <vertAlign val="superscript"/>
        <sz val="12"/>
        <color theme="1"/>
        <rFont val="Calibri"/>
        <family val="2"/>
        <scheme val="minor"/>
      </rPr>
      <t>2</t>
    </r>
  </si>
  <si>
    <r>
      <t>Arby's</t>
    </r>
    <r>
      <rPr>
        <b/>
        <vertAlign val="superscript"/>
        <sz val="12"/>
        <color theme="1"/>
        <rFont val="Calibri"/>
        <family val="2"/>
        <scheme val="minor"/>
      </rPr>
      <t>2</t>
    </r>
  </si>
  <si>
    <t>TOTAL</t>
  </si>
  <si>
    <t>Market share</t>
  </si>
  <si>
    <t>Sales revenues (thousands)</t>
  </si>
  <si>
    <t>Ended May 31</t>
  </si>
  <si>
    <t>Ended Aug 2</t>
  </si>
  <si>
    <t>Ended May 3</t>
  </si>
  <si>
    <t>Ended Aug 31</t>
  </si>
  <si>
    <t>Walgreens</t>
  </si>
  <si>
    <r>
      <t>Costco</t>
    </r>
    <r>
      <rPr>
        <b/>
        <vertAlign val="superscript"/>
        <sz val="12"/>
        <color rgb="FF000000"/>
        <rFont val="Calibri"/>
        <family val="2"/>
        <scheme val="minor"/>
      </rPr>
      <t>1</t>
    </r>
  </si>
  <si>
    <t>1. Costco sales results available per month as well</t>
  </si>
  <si>
    <t>Ended May 1</t>
  </si>
  <si>
    <t>Ended July 31</t>
  </si>
  <si>
    <r>
      <t>Safeway</t>
    </r>
    <r>
      <rPr>
        <b/>
        <vertAlign val="superscript"/>
        <sz val="12"/>
        <color rgb="FF000000"/>
        <rFont val="Calibri"/>
        <family val="2"/>
        <scheme val="minor"/>
      </rPr>
      <t>2</t>
    </r>
  </si>
  <si>
    <t>2. Sales results for 2015 not available yet (23 nov 2015)</t>
  </si>
  <si>
    <t>Ended Oct 31</t>
  </si>
  <si>
    <t>Ended Oct 30</t>
  </si>
  <si>
    <t>Ended May 2</t>
  </si>
  <si>
    <t>Ended Aug 1</t>
  </si>
  <si>
    <t>Ended May 30</t>
  </si>
  <si>
    <t>Ended Aug 29</t>
  </si>
  <si>
    <t>Quarter ending</t>
  </si>
  <si>
    <r>
      <t>Delhaize America</t>
    </r>
    <r>
      <rPr>
        <b/>
        <vertAlign val="superscript"/>
        <sz val="12"/>
        <color rgb="FF000000"/>
        <rFont val="Calibri"/>
        <family val="2"/>
        <scheme val="minor"/>
      </rPr>
      <t>3</t>
    </r>
  </si>
  <si>
    <t>3. Only yearly results available</t>
  </si>
  <si>
    <r>
      <t>Wakefern / Shoprite</t>
    </r>
    <r>
      <rPr>
        <b/>
        <vertAlign val="superscript"/>
        <sz val="12"/>
        <color rgb="FF000000"/>
        <rFont val="Calibri"/>
        <family val="2"/>
        <scheme val="minor"/>
      </rPr>
      <t>3</t>
    </r>
  </si>
  <si>
    <t>Ended Sep 26</t>
  </si>
  <si>
    <t>Ended Sep 5</t>
  </si>
  <si>
    <t>Ended Mar 21</t>
  </si>
  <si>
    <t>Ended Mar 28</t>
  </si>
  <si>
    <t>Ended Jun 27</t>
  </si>
  <si>
    <t>Ended Jun 13</t>
  </si>
  <si>
    <r>
      <t>Net income</t>
    </r>
    <r>
      <rPr>
        <b/>
        <vertAlign val="superscript"/>
        <sz val="12"/>
        <color theme="1"/>
        <rFont val="Calibri"/>
        <family val="2"/>
        <scheme val="minor"/>
      </rPr>
      <t>1</t>
    </r>
    <r>
      <rPr>
        <b/>
        <sz val="12"/>
        <color theme="1"/>
        <rFont val="Calibri"/>
        <family val="2"/>
        <scheme val="minor"/>
      </rPr>
      <t xml:space="preserve"> (in millions)</t>
    </r>
  </si>
  <si>
    <r>
      <t>TD Bank</t>
    </r>
    <r>
      <rPr>
        <b/>
        <vertAlign val="superscript"/>
        <sz val="12"/>
        <color rgb="FF000000"/>
        <rFont val="Calibri"/>
        <family val="2"/>
        <scheme val="minor"/>
      </rPr>
      <t>1</t>
    </r>
  </si>
  <si>
    <t>Revenue (in millions)</t>
  </si>
  <si>
    <t>Revenue (in million dollars)</t>
  </si>
  <si>
    <t>1: As found in the historical exchange rates on oanda.com</t>
  </si>
  <si>
    <r>
      <t>Exchange rate (end of period)</t>
    </r>
    <r>
      <rPr>
        <b/>
        <vertAlign val="superscript"/>
        <sz val="12"/>
        <color theme="1"/>
        <rFont val="Calibri"/>
        <family val="2"/>
        <scheme val="minor"/>
      </rPr>
      <t>1</t>
    </r>
  </si>
  <si>
    <r>
      <t>Market share</t>
    </r>
    <r>
      <rPr>
        <b/>
        <vertAlign val="superscript"/>
        <sz val="12"/>
        <color theme="1"/>
        <rFont val="Calibri"/>
        <family val="2"/>
        <scheme val="minor"/>
      </rPr>
      <t>2</t>
    </r>
  </si>
  <si>
    <t>2: Based on the revenue in dollars</t>
  </si>
  <si>
    <t>Total</t>
  </si>
  <si>
    <t>Monthly active users (in millions)</t>
  </si>
  <si>
    <t>Revenue</t>
  </si>
  <si>
    <t>Revenu (in millions)</t>
  </si>
  <si>
    <t>Lenovo + Motorola</t>
  </si>
  <si>
    <t>Phones</t>
  </si>
  <si>
    <t>Units sold (in millions)</t>
  </si>
  <si>
    <t>LG Electronics</t>
  </si>
  <si>
    <t>Others</t>
  </si>
  <si>
    <t>Unit shipments (in millions)</t>
  </si>
  <si>
    <t>GM US market share includes cars, trucks and crossovers</t>
  </si>
  <si>
    <t>Units sold (global) (in thousands)</t>
  </si>
  <si>
    <t>Units sold for Chrysler does not include luxury brands Ferrari and Maserati</t>
  </si>
  <si>
    <t>Units sold (North-America) (in thousands)</t>
  </si>
  <si>
    <t>Kia</t>
  </si>
  <si>
    <t>Hyundai</t>
  </si>
  <si>
    <t>Data on Honda does not include motorcycles + North-American market represents the  U.S.A. only</t>
  </si>
  <si>
    <t>Industry total is found in KIAs quarterly business results</t>
  </si>
  <si>
    <t>Mini</t>
  </si>
  <si>
    <t>Rolls Royce</t>
  </si>
  <si>
    <t>BMW GROUP</t>
  </si>
  <si>
    <t>Daimler only trucks and busses, Mercedes-Benz results in Daimler reports</t>
  </si>
  <si>
    <t>KIA North-American market is US only (! Canada is available)</t>
  </si>
  <si>
    <t>Fiat Chrysler Automobiles: Fiat, Ram, Chrysler, Dodge, Jeep</t>
  </si>
  <si>
    <t>Revenues (in million dollars)</t>
  </si>
  <si>
    <t>Market share (based on RPM)</t>
  </si>
  <si>
    <t>PLF (Passenger Load Factor)</t>
  </si>
  <si>
    <t>Xbox One</t>
  </si>
  <si>
    <t>Market share (in 3 consoles market)</t>
  </si>
  <si>
    <r>
      <t>US Market share of visits</t>
    </r>
    <r>
      <rPr>
        <b/>
        <vertAlign val="superscript"/>
        <sz val="12"/>
        <color theme="1"/>
        <rFont val="Calibri"/>
        <family val="2"/>
        <scheme val="minor"/>
      </rPr>
      <t>1</t>
    </r>
  </si>
  <si>
    <t>1. USA market share numbers by browser-based visits across PC and mobile combined</t>
  </si>
  <si>
    <t>Sales</t>
  </si>
  <si>
    <t>(billions of yen)</t>
  </si>
  <si>
    <t>imaging solutions</t>
  </si>
  <si>
    <t>visual and imaging business</t>
  </si>
  <si>
    <t>imaging products and solutions</t>
  </si>
  <si>
    <t>imaging system</t>
  </si>
  <si>
    <t>imaging products</t>
  </si>
  <si>
    <t>imaging systems business</t>
  </si>
  <si>
    <t>other = digital cameras</t>
  </si>
  <si>
    <t>(trillions of KRW)</t>
  </si>
  <si>
    <t>IM - mobile = digital imaging + networks business</t>
  </si>
  <si>
    <t>Exchange rate (at end of period)</t>
  </si>
  <si>
    <t>Sales (billions of JPY)</t>
  </si>
  <si>
    <t>Market share (based on sales)</t>
  </si>
  <si>
    <t>Sales (millions of dollars)</t>
  </si>
  <si>
    <t>(Q1 ends Feb 28th, Q2 ends May 31st, Q3 ends Aug 31st)</t>
  </si>
  <si>
    <t>(in millions of yen, total Asics brand)</t>
  </si>
  <si>
    <t>Nike (Jordan, Converse)</t>
  </si>
  <si>
    <t>Adidas (Reebok)</t>
  </si>
  <si>
    <t>(total Skechers brand, but consists of mainly footwear)</t>
  </si>
  <si>
    <t>(in millions of euros)</t>
  </si>
  <si>
    <t>DOL/EUR</t>
  </si>
  <si>
    <t>JPY/KRW</t>
  </si>
  <si>
    <t>DOL/YEN</t>
  </si>
  <si>
    <t>Exchange rates (end of period)</t>
  </si>
  <si>
    <t>Net sales (billions of dollars)</t>
  </si>
  <si>
    <t>Ended January 31</t>
  </si>
  <si>
    <t>Ended February 1</t>
  </si>
  <si>
    <t>Ended April 30</t>
  </si>
  <si>
    <t>Ended October 31</t>
  </si>
  <si>
    <t>Ended August 1</t>
  </si>
  <si>
    <t>Ended February 28</t>
  </si>
  <si>
    <t>Ended November 30</t>
  </si>
  <si>
    <t>Ended November 1</t>
  </si>
  <si>
    <t>Ended January 30</t>
  </si>
  <si>
    <t>NOT AVAILABLE YET</t>
  </si>
  <si>
    <t>IN EURO</t>
  </si>
  <si>
    <t>Ended December 29</t>
  </si>
  <si>
    <t>Ended April 19</t>
  </si>
  <si>
    <t>Ended July 12</t>
  </si>
  <si>
    <t>Ended October 4</t>
  </si>
  <si>
    <t>Ended November 28</t>
  </si>
  <si>
    <t>Ended October 30</t>
  </si>
  <si>
    <t>NOT USED</t>
  </si>
  <si>
    <t>Sales (dollars in millions)</t>
  </si>
  <si>
    <t>Includes subscription, licensing and other revenues</t>
  </si>
  <si>
    <t>not relevant anymore: 7,6 million euros in fiscal year 2014-2015</t>
  </si>
  <si>
    <t>error</t>
  </si>
  <si>
    <t>try again later</t>
  </si>
  <si>
    <t>in millions of yen</t>
  </si>
  <si>
    <t>in millions of euros</t>
  </si>
  <si>
    <t>segment niet genoeg opgesplitst "more personal computing" is gaming maar ook windows, …</t>
  </si>
  <si>
    <t>includes Rockstar Games</t>
  </si>
  <si>
    <t>bestaat niet meer</t>
  </si>
  <si>
    <t>sega sammy, includes pachinko machines</t>
  </si>
  <si>
    <t>Revenues</t>
  </si>
  <si>
    <t>viacom</t>
  </si>
  <si>
    <t>nbc universal w/o theme park</t>
  </si>
  <si>
    <t>sony pictures, in billions of yen</t>
  </si>
  <si>
    <t>Film &amp; television studios</t>
  </si>
  <si>
    <r>
      <t>Revenues</t>
    </r>
    <r>
      <rPr>
        <b/>
        <vertAlign val="superscript"/>
        <sz val="12"/>
        <color theme="1"/>
        <rFont val="Calibri"/>
        <family val="2"/>
        <scheme val="minor"/>
      </rPr>
      <t>1</t>
    </r>
    <r>
      <rPr>
        <b/>
        <sz val="12"/>
        <color theme="1"/>
        <rFont val="Calibri"/>
        <family val="2"/>
        <scheme val="minor"/>
      </rPr>
      <t xml:space="preserve"> (dollars in millions)</t>
    </r>
  </si>
  <si>
    <t>1. Total revenues minus theme park revenues (so incl. cable network and television revenues)</t>
  </si>
  <si>
    <t>hoort bij marriot</t>
  </si>
  <si>
    <t>Mobile phones</t>
  </si>
  <si>
    <t>Oil and gas companies</t>
  </si>
  <si>
    <t>Playstation 4</t>
  </si>
  <si>
    <t>USD/CAD</t>
  </si>
  <si>
    <t>Kentucky Fried Chicken</t>
  </si>
  <si>
    <t>PLF</t>
  </si>
  <si>
    <t>ASM (dollars in billion)</t>
  </si>
  <si>
    <t>RPM (dollars in billion)</t>
  </si>
  <si>
    <t>Keywords</t>
  </si>
  <si>
    <t>market70</t>
  </si>
  <si>
    <t>mark118</t>
  </si>
  <si>
    <t>reeboks</t>
  </si>
  <si>
    <t>mark132</t>
  </si>
  <si>
    <t>americanairlines</t>
  </si>
  <si>
    <t>southwestairlines</t>
  </si>
  <si>
    <t>jetblueairways,jetblue</t>
  </si>
  <si>
    <t>deltaairlines,deltaair</t>
  </si>
  <si>
    <t>unitedairlines,unitedair</t>
  </si>
  <si>
    <t>alaskairlines</t>
  </si>
  <si>
    <t>spiritairlines</t>
  </si>
  <si>
    <t>hawaiianairlines</t>
  </si>
  <si>
    <t>allegiantair</t>
  </si>
  <si>
    <t>virginamerica</t>
  </si>
  <si>
    <t>panasonic</t>
  </si>
  <si>
    <t>samsung</t>
  </si>
  <si>
    <t>fujifilm</t>
  </si>
  <si>
    <t>olympus</t>
  </si>
  <si>
    <t>ricoh</t>
  </si>
  <si>
    <t>teamnikon</t>
  </si>
  <si>
    <t>teamcanon</t>
  </si>
  <si>
    <t>teampanasonic</t>
  </si>
  <si>
    <t>teamsony</t>
  </si>
  <si>
    <t>teamsamsung</t>
  </si>
  <si>
    <t>bankofamerica</t>
  </si>
  <si>
    <t>wellsfargo</t>
  </si>
  <si>
    <t>jpmorgan</t>
  </si>
  <si>
    <t>citibank</t>
  </si>
  <si>
    <t>usbank</t>
  </si>
  <si>
    <t>pncbank</t>
  </si>
  <si>
    <t>capitalone</t>
  </si>
  <si>
    <t>tdbank</t>
  </si>
  <si>
    <t>bbtbank</t>
  </si>
  <si>
    <t>suntrustbank</t>
  </si>
  <si>
    <t>bnymellon</t>
  </si>
  <si>
    <t>regionsbank</t>
  </si>
  <si>
    <t>charlesschwab</t>
  </si>
  <si>
    <t>53bank,fiththird</t>
  </si>
  <si>
    <t>facebook,fb</t>
  </si>
  <si>
    <t>youtube</t>
  </si>
  <si>
    <t>googleplus</t>
  </si>
  <si>
    <t>twitter,tweet</t>
  </si>
  <si>
    <t>linkedin</t>
  </si>
  <si>
    <t>instagram,insta</t>
  </si>
  <si>
    <t>pinterest</t>
  </si>
  <si>
    <t>tumblr</t>
  </si>
  <si>
    <t>reddit</t>
  </si>
  <si>
    <t>mcdonalds,mcdo,happymeal,imlovinit,bigmac,mcdstories,dollarmenu</t>
  </si>
  <si>
    <t>kfc,kentuckyfriedchicken</t>
  </si>
  <si>
    <t>burgerking,whopper</t>
  </si>
  <si>
    <t>wendys</t>
  </si>
  <si>
    <t>starbucks</t>
  </si>
  <si>
    <t>mccafe,teammcdo</t>
  </si>
  <si>
    <t>bigking,doublewhopper,triplewhopper,fourcheesewhopper</t>
  </si>
  <si>
    <t>qualityisourrecipe,baconator</t>
  </si>
  <si>
    <t>tacobell,tbell</t>
  </si>
  <si>
    <t>dunkind</t>
  </si>
  <si>
    <t>pizzahut</t>
  </si>
  <si>
    <t>panera</t>
  </si>
  <si>
    <t>dominos,pizzapics</t>
  </si>
  <si>
    <t>chipotle</t>
  </si>
  <si>
    <t>frapuccino,fizzio,teamstarbucks</t>
  </si>
  <si>
    <t>ddperks,dunkaccino</t>
  </si>
  <si>
    <t>yumbrands</t>
  </si>
  <si>
    <t>burritobowl</t>
  </si>
  <si>
    <t>teamplaystation,goplaystation,teamsony,gosony</t>
  </si>
  <si>
    <t>teammicrosoft,teamxbox,goxbox,gomicrosoft</t>
  </si>
  <si>
    <t>teamnintendo,gonintendo</t>
  </si>
  <si>
    <t>wii,wiiu</t>
  </si>
  <si>
    <t>xbox,xone,xbone</t>
  </si>
  <si>
    <t>playstation,ps,ps4,sonyplaystation</t>
  </si>
  <si>
    <t>nike,teamnike,gonike,nikejordan,teamjordan,converse,teamconverse</t>
  </si>
  <si>
    <t>adidas,teamadidas,reebok,teamreebok</t>
  </si>
  <si>
    <t>asics,teamasics</t>
  </si>
  <si>
    <t>skechers,teamskechers</t>
  </si>
  <si>
    <t>underarmour,teamunderarmour</t>
  </si>
  <si>
    <t>puma,teampuma</t>
  </si>
  <si>
    <t>pumashoes,pumasneakers</t>
  </si>
  <si>
    <t>underarmourshoe,underarmoursneaker</t>
  </si>
  <si>
    <t>jordans,jordansneakers,jordanshoe,allstars</t>
  </si>
  <si>
    <t>walmart</t>
  </si>
  <si>
    <t>kroger</t>
  </si>
  <si>
    <t>costco</t>
  </si>
  <si>
    <t>target</t>
  </si>
  <si>
    <t>thehomedepot</t>
  </si>
  <si>
    <t>walgreens</t>
  </si>
  <si>
    <t>cvscaremark,cvs,caremark</t>
  </si>
  <si>
    <t>lowes</t>
  </si>
  <si>
    <t>amazon,amazon.com</t>
  </si>
  <si>
    <t>mcdonalds</t>
  </si>
  <si>
    <t>bestbuy</t>
  </si>
  <si>
    <t>publix</t>
  </si>
  <si>
    <t>macys</t>
  </si>
  <si>
    <t>applestore,itunes</t>
  </si>
  <si>
    <t>sears</t>
  </si>
  <si>
    <t>aholdusa</t>
  </si>
  <si>
    <t>riteaid</t>
  </si>
  <si>
    <t>tjx</t>
  </si>
  <si>
    <t>kohls</t>
  </si>
  <si>
    <t>dollargeneral</t>
  </si>
  <si>
    <t>universalmusicgroup,umg</t>
  </si>
  <si>
    <t>sonymusic,columbiamusic,columbiarecords,sonybmg,sonyatv</t>
  </si>
  <si>
    <t>warnermusic,wmg</t>
  </si>
  <si>
    <t>exxon</t>
  </si>
  <si>
    <t>chevron</t>
  </si>
  <si>
    <t>conocophilips</t>
  </si>
  <si>
    <t>occidentalpetroleum</t>
  </si>
  <si>
    <t>eogresources</t>
  </si>
  <si>
    <t>philips66</t>
  </si>
  <si>
    <t>anadarkopetroleum</t>
  </si>
  <si>
    <t>apache</t>
  </si>
  <si>
    <t>iPhone,apple</t>
  </si>
  <si>
    <t>lg</t>
  </si>
  <si>
    <t>lenovo</t>
  </si>
  <si>
    <t>huawei</t>
  </si>
  <si>
    <t>samsung,galaxys</t>
  </si>
  <si>
    <t>zte</t>
  </si>
  <si>
    <t>teamsamsung,teamgalaxy</t>
  </si>
  <si>
    <t>teamiphone,teamapple</t>
  </si>
  <si>
    <t>teamnokia</t>
  </si>
  <si>
    <t>teamlg</t>
  </si>
  <si>
    <t>xiaomi,miphone</t>
  </si>
  <si>
    <t>nokia,microsoft,windowsphone,lumia</t>
  </si>
  <si>
    <t>apple,ipad</t>
  </si>
  <si>
    <t>samsung,galaxytab,tabpro</t>
  </si>
  <si>
    <t>asus,fonepad,transformerpad,vivotab,memopad</t>
  </si>
  <si>
    <t>lenovo,thinkpad</t>
  </si>
  <si>
    <t>lg,gpad</t>
  </si>
  <si>
    <t>huawei,mediapad</t>
  </si>
  <si>
    <t>teamipad,teamapple</t>
  </si>
  <si>
    <t>teamgalaxy,teamsamsung</t>
  </si>
  <si>
    <t>21stcenturyfox,20thcenturyfox</t>
  </si>
  <si>
    <t>lionsgate</t>
  </si>
  <si>
    <t>paramount,viacom</t>
  </si>
  <si>
    <t>warnerbros,newlinecinema</t>
  </si>
  <si>
    <t>universal,nbcuniversal</t>
  </si>
  <si>
    <t>sonycolumbia,columbiapictures,sonypictures,metrogoldwynnmayer</t>
  </si>
  <si>
    <t>disney,waltdisney</t>
  </si>
  <si>
    <t>howdoyoukfc,doublicious,chickenlittles,famousbowl,teamkfc,yumbrands</t>
  </si>
  <si>
    <t>generalmotors,chevrolet,buick,gmc,cadillac,opel,vauxhall</t>
  </si>
  <si>
    <t>chevy,teamchevy</t>
  </si>
  <si>
    <t>ford,mustang</t>
  </si>
  <si>
    <t>teamford</t>
  </si>
  <si>
    <t>toyota</t>
  </si>
  <si>
    <t>teamtoyota</t>
  </si>
  <si>
    <t>chrysler,lancia,dodge,ramtrucks</t>
  </si>
  <si>
    <t>teamchrysler</t>
  </si>
  <si>
    <t>honda</t>
  </si>
  <si>
    <t>teamhonda</t>
  </si>
  <si>
    <t>nissan</t>
  </si>
  <si>
    <t>teamnissan</t>
  </si>
  <si>
    <t>teamhyundai</t>
  </si>
  <si>
    <t>hyundai</t>
  </si>
  <si>
    <t>kia</t>
  </si>
  <si>
    <t>teamkia</t>
  </si>
  <si>
    <t>subaru</t>
  </si>
  <si>
    <t>teamsubaru</t>
  </si>
  <si>
    <t>bmw</t>
  </si>
  <si>
    <t>teambmw</t>
  </si>
  <si>
    <t>volkswagen</t>
  </si>
  <si>
    <t>teamvolkswagen</t>
  </si>
  <si>
    <t>mazda</t>
  </si>
  <si>
    <t>teammazda</t>
  </si>
  <si>
    <t>jaguar,landrover</t>
  </si>
  <si>
    <t>teamjaguar,teamlandrover</t>
  </si>
  <si>
    <t>mercedes,benz</t>
  </si>
  <si>
    <t>teammercedes,teambenz</t>
  </si>
  <si>
    <t>audi</t>
  </si>
  <si>
    <t>teamaudi</t>
  </si>
  <si>
    <t>Retail sales and food services excl motor vehicle and parts</t>
  </si>
</sst>
</file>

<file path=xl/styles.xml><?xml version="1.0" encoding="utf-8"?>
<styleSheet xmlns="http://schemas.openxmlformats.org/spreadsheetml/2006/main">
  <numFmts count="3">
    <numFmt numFmtId="164" formatCode="0.0"/>
    <numFmt numFmtId="165" formatCode="_-[$$-409]* #,##0.00_ ;_-[$$-409]* \-#,##0.00\ ;_-[$$-409]* &quot;-&quot;??_ ;_-@_ "/>
    <numFmt numFmtId="166" formatCode="[$$-409]#,##0.00"/>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sz val="10"/>
      <color theme="1"/>
      <name val="Calibri"/>
      <family val="2"/>
      <scheme val="minor"/>
    </font>
    <font>
      <b/>
      <vertAlign val="superscript"/>
      <sz val="12"/>
      <color rgb="FF000000"/>
      <name val="Calibri"/>
      <family val="2"/>
      <scheme val="minor"/>
    </font>
    <font>
      <b/>
      <vertAlign val="superscript"/>
      <sz val="12"/>
      <color theme="1"/>
      <name val="Calibri"/>
      <family val="2"/>
      <scheme val="minor"/>
    </font>
    <font>
      <sz val="9"/>
      <color indexed="81"/>
      <name val="Calibri"/>
      <family val="2"/>
    </font>
    <font>
      <b/>
      <sz val="9"/>
      <color indexed="81"/>
      <name val="Calibri"/>
      <family val="2"/>
    </font>
    <font>
      <sz val="8"/>
      <name val="Calibri"/>
      <family val="2"/>
      <scheme val="minor"/>
    </font>
    <font>
      <b/>
      <sz val="10"/>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6" tint="0.39997558519241921"/>
        <bgColor indexed="64"/>
      </patternFill>
    </fill>
  </fills>
  <borders count="1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56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54">
    <xf numFmtId="0" fontId="0" fillId="0" borderId="0" xfId="0"/>
    <xf numFmtId="0" fontId="2" fillId="0" borderId="0" xfId="0" applyFont="1"/>
    <xf numFmtId="0" fontId="0" fillId="0" borderId="0" xfId="0" applyFont="1"/>
    <xf numFmtId="0" fontId="5" fillId="0" borderId="0" xfId="0" applyFont="1"/>
    <xf numFmtId="0" fontId="0" fillId="0" borderId="0" xfId="0" applyFill="1"/>
    <xf numFmtId="0" fontId="6" fillId="0" borderId="0" xfId="0" applyFont="1"/>
    <xf numFmtId="0" fontId="0" fillId="0" borderId="4" xfId="0" applyBorder="1"/>
    <xf numFmtId="0" fontId="2" fillId="2" borderId="1" xfId="0" applyFont="1" applyFill="1" applyBorder="1"/>
    <xf numFmtId="0" fontId="2" fillId="2" borderId="0" xfId="0" applyFont="1" applyFill="1"/>
    <xf numFmtId="0" fontId="2" fillId="2" borderId="3" xfId="0" applyFont="1" applyFill="1" applyBorder="1"/>
    <xf numFmtId="0" fontId="2" fillId="2" borderId="2" xfId="0" applyFont="1" applyFill="1" applyBorder="1"/>
    <xf numFmtId="0" fontId="0" fillId="0" borderId="6" xfId="0" applyBorder="1"/>
    <xf numFmtId="0" fontId="0" fillId="0" borderId="1" xfId="0" applyBorder="1"/>
    <xf numFmtId="0" fontId="7" fillId="0" borderId="0" xfId="0" applyFont="1"/>
    <xf numFmtId="0" fontId="0" fillId="0" borderId="2" xfId="0" applyBorder="1"/>
    <xf numFmtId="0" fontId="0" fillId="0" borderId="3" xfId="0" applyBorder="1"/>
    <xf numFmtId="10" fontId="0" fillId="0" borderId="1" xfId="299" applyNumberFormat="1" applyFont="1" applyBorder="1"/>
    <xf numFmtId="10" fontId="0" fillId="0" borderId="3" xfId="299" applyNumberFormat="1" applyFont="1" applyBorder="1"/>
    <xf numFmtId="10" fontId="0" fillId="0" borderId="0" xfId="299" applyNumberFormat="1" applyFont="1" applyBorder="1"/>
    <xf numFmtId="10" fontId="0" fillId="0" borderId="2" xfId="299" applyNumberFormat="1" applyFont="1" applyBorder="1"/>
    <xf numFmtId="0" fontId="0" fillId="0" borderId="5" xfId="0" applyBorder="1"/>
    <xf numFmtId="0" fontId="5" fillId="0" borderId="2" xfId="0" applyFont="1" applyBorder="1"/>
    <xf numFmtId="0" fontId="5" fillId="0" borderId="0" xfId="0" applyFont="1" applyBorder="1"/>
    <xf numFmtId="0" fontId="0" fillId="0" borderId="0" xfId="0" applyBorder="1"/>
    <xf numFmtId="164" fontId="5" fillId="0" borderId="0" xfId="0" applyNumberFormat="1" applyFont="1"/>
    <xf numFmtId="164" fontId="5" fillId="0" borderId="0" xfId="0" applyNumberFormat="1" applyFont="1" applyBorder="1"/>
    <xf numFmtId="164" fontId="5" fillId="0" borderId="0" xfId="0" applyNumberFormat="1" applyFont="1" applyFill="1" applyBorder="1"/>
    <xf numFmtId="164" fontId="0" fillId="0" borderId="1" xfId="0" applyNumberFormat="1" applyBorder="1"/>
    <xf numFmtId="164" fontId="0" fillId="0" borderId="0" xfId="0" applyNumberFormat="1"/>
    <xf numFmtId="164" fontId="0" fillId="0" borderId="0" xfId="0" applyNumberFormat="1" applyBorder="1"/>
    <xf numFmtId="164" fontId="0" fillId="0" borderId="0" xfId="0" applyNumberFormat="1" applyFill="1" applyBorder="1"/>
    <xf numFmtId="0" fontId="6" fillId="3" borderId="3" xfId="0" applyFont="1" applyFill="1" applyBorder="1"/>
    <xf numFmtId="165" fontId="0" fillId="0" borderId="0" xfId="0" applyNumberFormat="1"/>
    <xf numFmtId="165" fontId="0" fillId="0" borderId="1" xfId="0" applyNumberFormat="1" applyBorder="1"/>
    <xf numFmtId="165" fontId="0" fillId="0" borderId="2" xfId="0" applyNumberFormat="1" applyBorder="1"/>
    <xf numFmtId="165" fontId="0" fillId="0" borderId="3" xfId="0" applyNumberFormat="1" applyBorder="1"/>
    <xf numFmtId="0" fontId="2" fillId="3" borderId="1" xfId="0" applyFont="1" applyFill="1" applyBorder="1"/>
    <xf numFmtId="0" fontId="0" fillId="2" borderId="0" xfId="0" applyFill="1"/>
    <xf numFmtId="0" fontId="0" fillId="2" borderId="1" xfId="0" applyFill="1" applyBorder="1"/>
    <xf numFmtId="10" fontId="0" fillId="0" borderId="0" xfId="299" applyNumberFormat="1" applyFont="1"/>
    <xf numFmtId="10" fontId="0" fillId="0" borderId="5" xfId="299" applyNumberFormat="1" applyFont="1" applyBorder="1"/>
    <xf numFmtId="10" fontId="0" fillId="0" borderId="6" xfId="299" applyNumberFormat="1" applyFont="1" applyBorder="1"/>
    <xf numFmtId="0" fontId="2" fillId="2" borderId="8" xfId="0" applyFont="1" applyFill="1" applyBorder="1"/>
    <xf numFmtId="165" fontId="0" fillId="0" borderId="9" xfId="0" applyNumberFormat="1" applyBorder="1"/>
    <xf numFmtId="165" fontId="0" fillId="0" borderId="8" xfId="0" applyNumberFormat="1" applyBorder="1"/>
    <xf numFmtId="10" fontId="0" fillId="0" borderId="9" xfId="299" applyNumberFormat="1" applyFont="1" applyBorder="1"/>
    <xf numFmtId="10" fontId="0" fillId="0" borderId="8" xfId="299" applyNumberFormat="1" applyFont="1" applyBorder="1"/>
    <xf numFmtId="166" fontId="0" fillId="0" borderId="0" xfId="0" applyNumberFormat="1"/>
    <xf numFmtId="166" fontId="0" fillId="0" borderId="1" xfId="0" applyNumberFormat="1" applyBorder="1"/>
    <xf numFmtId="166" fontId="0" fillId="0" borderId="2" xfId="0" applyNumberFormat="1" applyBorder="1"/>
    <xf numFmtId="166" fontId="0" fillId="0" borderId="3" xfId="0" applyNumberFormat="1" applyBorder="1"/>
    <xf numFmtId="166" fontId="0" fillId="0" borderId="9" xfId="0" applyNumberFormat="1" applyBorder="1"/>
    <xf numFmtId="166" fontId="0" fillId="0" borderId="8" xfId="0" applyNumberFormat="1" applyBorder="1"/>
    <xf numFmtId="0" fontId="0" fillId="0" borderId="8" xfId="0" applyBorder="1"/>
    <xf numFmtId="10" fontId="0" fillId="0" borderId="10" xfId="299" applyNumberFormat="1" applyFont="1" applyBorder="1"/>
    <xf numFmtId="0" fontId="2" fillId="4" borderId="1" xfId="0" applyFont="1" applyFill="1" applyBorder="1"/>
    <xf numFmtId="0" fontId="2" fillId="4" borderId="3" xfId="0" applyFont="1" applyFill="1" applyBorder="1"/>
    <xf numFmtId="0" fontId="6" fillId="4" borderId="1" xfId="0" applyFont="1" applyFill="1" applyBorder="1"/>
    <xf numFmtId="0" fontId="6" fillId="4" borderId="3" xfId="0" applyFont="1" applyFill="1" applyBorder="1"/>
    <xf numFmtId="0" fontId="2" fillId="4" borderId="8" xfId="0" applyFont="1" applyFill="1" applyBorder="1"/>
    <xf numFmtId="0" fontId="2" fillId="4" borderId="0" xfId="0" applyFont="1" applyFill="1"/>
    <xf numFmtId="0" fontId="2" fillId="4" borderId="2" xfId="0" applyFont="1" applyFill="1" applyBorder="1"/>
    <xf numFmtId="0" fontId="2" fillId="4" borderId="5" xfId="0" applyFont="1" applyFill="1" applyBorder="1"/>
    <xf numFmtId="10" fontId="0" fillId="3" borderId="0" xfId="299" applyNumberFormat="1" applyFont="1" applyFill="1"/>
    <xf numFmtId="0" fontId="6" fillId="4" borderId="8" xfId="0" applyFont="1" applyFill="1" applyBorder="1"/>
    <xf numFmtId="0" fontId="0" fillId="0" borderId="9" xfId="0" applyBorder="1"/>
    <xf numFmtId="0" fontId="2" fillId="4" borderId="4" xfId="0" applyFont="1" applyFill="1" applyBorder="1"/>
    <xf numFmtId="0" fontId="2" fillId="4" borderId="0" xfId="0" applyFont="1" applyFill="1" applyBorder="1"/>
    <xf numFmtId="0" fontId="0" fillId="4" borderId="0" xfId="0" applyFill="1"/>
    <xf numFmtId="0" fontId="0" fillId="4" borderId="1" xfId="0" applyFill="1" applyBorder="1"/>
    <xf numFmtId="0" fontId="0" fillId="0" borderId="1" xfId="0" applyFill="1" applyBorder="1"/>
    <xf numFmtId="0" fontId="0" fillId="2" borderId="2" xfId="0" applyFill="1" applyBorder="1"/>
    <xf numFmtId="0" fontId="0" fillId="2" borderId="3" xfId="0" applyFill="1" applyBorder="1"/>
    <xf numFmtId="0" fontId="6" fillId="4" borderId="6" xfId="0" applyFont="1" applyFill="1" applyBorder="1"/>
    <xf numFmtId="0" fontId="0" fillId="0" borderId="10" xfId="0" applyBorder="1"/>
    <xf numFmtId="0" fontId="0" fillId="2" borderId="10" xfId="0" applyFill="1" applyBorder="1"/>
    <xf numFmtId="0" fontId="0" fillId="2" borderId="9" xfId="0" applyFill="1" applyBorder="1"/>
    <xf numFmtId="0" fontId="0" fillId="2" borderId="8" xfId="0" applyFill="1" applyBorder="1"/>
    <xf numFmtId="0" fontId="0" fillId="0" borderId="0" xfId="299" applyNumberFormat="1" applyFont="1" applyBorder="1"/>
    <xf numFmtId="0" fontId="0" fillId="0" borderId="1" xfId="299" applyNumberFormat="1" applyFont="1" applyBorder="1"/>
    <xf numFmtId="0" fontId="0" fillId="0" borderId="2" xfId="299" applyNumberFormat="1" applyFont="1" applyBorder="1"/>
    <xf numFmtId="0" fontId="0" fillId="0" borderId="3" xfId="299" applyNumberFormat="1" applyFont="1" applyBorder="1"/>
    <xf numFmtId="0" fontId="0" fillId="0" borderId="0" xfId="299" applyNumberFormat="1" applyFont="1" applyFill="1" applyBorder="1"/>
    <xf numFmtId="10" fontId="0" fillId="0" borderId="0" xfId="299" applyNumberFormat="1" applyFont="1" applyFill="1"/>
    <xf numFmtId="10" fontId="0" fillId="0" borderId="1" xfId="299" applyNumberFormat="1" applyFont="1" applyFill="1" applyBorder="1"/>
    <xf numFmtId="166" fontId="0" fillId="0" borderId="5" xfId="0" applyNumberFormat="1" applyBorder="1"/>
    <xf numFmtId="1" fontId="0" fillId="0" borderId="0" xfId="0" applyNumberFormat="1"/>
    <xf numFmtId="1" fontId="0" fillId="0" borderId="1" xfId="0" applyNumberFormat="1" applyBorder="1"/>
    <xf numFmtId="0" fontId="0" fillId="4" borderId="0" xfId="0" applyFill="1" applyBorder="1"/>
    <xf numFmtId="0" fontId="6" fillId="0" borderId="1" xfId="0" applyFont="1" applyBorder="1"/>
    <xf numFmtId="0" fontId="2" fillId="0" borderId="0" xfId="0" applyFont="1" applyBorder="1"/>
    <xf numFmtId="0" fontId="6" fillId="0" borderId="3" xfId="0" applyFont="1" applyBorder="1"/>
    <xf numFmtId="0" fontId="2" fillId="0" borderId="2" xfId="0" applyFont="1" applyBorder="1"/>
    <xf numFmtId="0" fontId="2" fillId="0" borderId="1" xfId="0" applyFont="1" applyBorder="1"/>
    <xf numFmtId="0" fontId="2" fillId="0" borderId="3" xfId="0" applyFont="1" applyBorder="1"/>
    <xf numFmtId="0" fontId="0" fillId="0" borderId="0" xfId="0" applyFill="1" applyBorder="1"/>
    <xf numFmtId="0" fontId="2" fillId="0" borderId="5" xfId="0" applyFont="1" applyFill="1" applyBorder="1"/>
    <xf numFmtId="0" fontId="2" fillId="0" borderId="2" xfId="0" applyFont="1" applyFill="1" applyBorder="1"/>
    <xf numFmtId="10" fontId="0" fillId="0" borderId="0" xfId="299" applyNumberFormat="1" applyFont="1" applyFill="1" applyBorder="1"/>
    <xf numFmtId="0" fontId="6" fillId="0" borderId="0" xfId="0" applyFont="1" applyBorder="1"/>
    <xf numFmtId="0" fontId="0" fillId="0" borderId="0" xfId="0" applyNumberFormat="1"/>
    <xf numFmtId="0" fontId="0" fillId="0" borderId="1" xfId="0" applyNumberFormat="1" applyBorder="1"/>
    <xf numFmtId="0" fontId="0" fillId="0" borderId="0" xfId="0" applyNumberFormat="1" applyFill="1" applyBorder="1"/>
    <xf numFmtId="0" fontId="0" fillId="0" borderId="2" xfId="0" applyNumberFormat="1" applyBorder="1"/>
    <xf numFmtId="0" fontId="0" fillId="0" borderId="3" xfId="0" applyNumberFormat="1" applyBorder="1"/>
    <xf numFmtId="2" fontId="0" fillId="0" borderId="0" xfId="299" applyNumberFormat="1" applyFont="1" applyFill="1" applyBorder="1"/>
    <xf numFmtId="0" fontId="0" fillId="0" borderId="3" xfId="0" applyFill="1" applyBorder="1"/>
    <xf numFmtId="0" fontId="6" fillId="4" borderId="2" xfId="0" applyFont="1" applyFill="1" applyBorder="1"/>
    <xf numFmtId="164" fontId="5" fillId="0" borderId="2" xfId="0" applyNumberFormat="1" applyFont="1" applyBorder="1"/>
    <xf numFmtId="164" fontId="0" fillId="0" borderId="2" xfId="0" applyNumberFormat="1" applyFill="1" applyBorder="1"/>
    <xf numFmtId="164" fontId="0" fillId="0" borderId="3" xfId="0" applyNumberFormat="1" applyBorder="1"/>
    <xf numFmtId="0" fontId="6" fillId="4" borderId="11" xfId="0" applyFont="1" applyFill="1" applyBorder="1"/>
    <xf numFmtId="0" fontId="2" fillId="4" borderId="7" xfId="0" applyFont="1" applyFill="1" applyBorder="1"/>
    <xf numFmtId="0" fontId="2" fillId="4" borderId="11" xfId="0" applyFont="1" applyFill="1" applyBorder="1"/>
    <xf numFmtId="0" fontId="2" fillId="4" borderId="6" xfId="0" applyFont="1" applyFill="1" applyBorder="1"/>
    <xf numFmtId="2" fontId="0" fillId="0" borderId="0" xfId="0" applyNumberFormat="1" applyFont="1"/>
    <xf numFmtId="2" fontId="0" fillId="0" borderId="5" xfId="0" applyNumberFormat="1" applyFont="1" applyBorder="1"/>
    <xf numFmtId="2" fontId="0" fillId="0" borderId="2" xfId="0" applyNumberFormat="1" applyFont="1" applyBorder="1"/>
    <xf numFmtId="2" fontId="0" fillId="0" borderId="6" xfId="0" applyNumberFormat="1" applyFont="1" applyBorder="1"/>
    <xf numFmtId="2" fontId="0" fillId="0" borderId="1" xfId="0" applyNumberFormat="1" applyFont="1" applyBorder="1"/>
    <xf numFmtId="2" fontId="0" fillId="0" borderId="3" xfId="0" applyNumberFormat="1" applyFont="1" applyBorder="1"/>
    <xf numFmtId="2" fontId="0" fillId="0" borderId="0" xfId="0" applyNumberFormat="1"/>
    <xf numFmtId="2" fontId="0" fillId="0" borderId="2" xfId="0" applyNumberFormat="1" applyBorder="1"/>
    <xf numFmtId="2" fontId="0" fillId="0" borderId="1" xfId="0" applyNumberFormat="1" applyBorder="1"/>
    <xf numFmtId="2" fontId="0" fillId="0" borderId="3" xfId="0" applyNumberFormat="1" applyBorder="1"/>
    <xf numFmtId="0" fontId="0" fillId="0" borderId="7" xfId="0" applyBorder="1"/>
    <xf numFmtId="0" fontId="0" fillId="0" borderId="11" xfId="0" applyBorder="1"/>
    <xf numFmtId="10" fontId="0" fillId="0" borderId="7" xfId="299" applyNumberFormat="1" applyFont="1" applyBorder="1"/>
    <xf numFmtId="10" fontId="0" fillId="0" borderId="7" xfId="299" applyNumberFormat="1" applyFont="1" applyFill="1" applyBorder="1"/>
    <xf numFmtId="10" fontId="0" fillId="0" borderId="11" xfId="299" applyNumberFormat="1" applyFont="1" applyBorder="1"/>
    <xf numFmtId="10" fontId="0" fillId="0" borderId="11" xfId="299" applyNumberFormat="1" applyFont="1" applyFill="1" applyBorder="1"/>
    <xf numFmtId="10" fontId="0" fillId="0" borderId="6" xfId="299" applyNumberFormat="1" applyFont="1" applyFill="1" applyBorder="1"/>
    <xf numFmtId="10" fontId="0" fillId="0" borderId="4" xfId="299" applyNumberFormat="1" applyFont="1" applyFill="1" applyBorder="1"/>
    <xf numFmtId="10" fontId="0" fillId="0" borderId="5" xfId="299" applyNumberFormat="1" applyFont="1" applyFill="1" applyBorder="1"/>
    <xf numFmtId="10" fontId="0" fillId="0" borderId="2" xfId="299" applyNumberFormat="1" applyFont="1" applyFill="1" applyBorder="1"/>
    <xf numFmtId="10" fontId="0" fillId="0" borderId="3" xfId="299" applyNumberFormat="1" applyFont="1" applyFill="1" applyBorder="1"/>
    <xf numFmtId="164" fontId="0" fillId="0" borderId="2" xfId="0" applyNumberFormat="1" applyBorder="1"/>
    <xf numFmtId="0" fontId="0" fillId="4" borderId="11" xfId="0" applyFill="1" applyBorder="1"/>
    <xf numFmtId="0" fontId="0" fillId="4" borderId="6" xfId="0" applyFill="1" applyBorder="1"/>
    <xf numFmtId="10" fontId="0" fillId="0" borderId="4" xfId="299" applyNumberFormat="1" applyFont="1" applyBorder="1"/>
    <xf numFmtId="0" fontId="6" fillId="4" borderId="13" xfId="0" applyFont="1" applyFill="1" applyBorder="1"/>
    <xf numFmtId="164" fontId="0" fillId="0" borderId="11" xfId="0" applyNumberFormat="1" applyBorder="1"/>
    <xf numFmtId="164" fontId="0" fillId="0" borderId="6" xfId="0" applyNumberFormat="1" applyBorder="1"/>
    <xf numFmtId="0" fontId="2" fillId="4" borderId="15" xfId="0" applyFont="1" applyFill="1" applyBorder="1"/>
    <xf numFmtId="0" fontId="6" fillId="4" borderId="15" xfId="0" applyFont="1" applyFill="1" applyBorder="1"/>
    <xf numFmtId="0" fontId="6" fillId="4" borderId="14" xfId="0" applyFont="1" applyFill="1" applyBorder="1"/>
    <xf numFmtId="0" fontId="0" fillId="4" borderId="14" xfId="0" applyFill="1" applyBorder="1"/>
    <xf numFmtId="0" fontId="6" fillId="4" borderId="5" xfId="0" applyFont="1" applyFill="1" applyBorder="1"/>
    <xf numFmtId="0" fontId="6" fillId="5" borderId="15" xfId="0" applyFont="1" applyFill="1" applyBorder="1"/>
    <xf numFmtId="0" fontId="2" fillId="4" borderId="13" xfId="0" applyFont="1" applyFill="1" applyBorder="1"/>
    <xf numFmtId="0" fontId="2" fillId="4" borderId="14" xfId="0" applyFont="1" applyFill="1" applyBorder="1"/>
    <xf numFmtId="2" fontId="0" fillId="0" borderId="4" xfId="0" applyNumberFormat="1" applyBorder="1"/>
    <xf numFmtId="2" fontId="0" fillId="0" borderId="0" xfId="0" applyNumberFormat="1" applyBorder="1"/>
    <xf numFmtId="2" fontId="0" fillId="0" borderId="5" xfId="0" applyNumberFormat="1" applyBorder="1"/>
    <xf numFmtId="1" fontId="0" fillId="0" borderId="7" xfId="0" applyNumberFormat="1" applyBorder="1"/>
    <xf numFmtId="1" fontId="0" fillId="0" borderId="11" xfId="0" applyNumberFormat="1" applyBorder="1"/>
    <xf numFmtId="1" fontId="0" fillId="0" borderId="4" xfId="0" applyNumberFormat="1" applyBorder="1"/>
    <xf numFmtId="1" fontId="0" fillId="0" borderId="0" xfId="0" applyNumberFormat="1" applyBorder="1"/>
    <xf numFmtId="1" fontId="0" fillId="0" borderId="5" xfId="0" applyNumberFormat="1" applyBorder="1"/>
    <xf numFmtId="1" fontId="0" fillId="0" borderId="2" xfId="0" applyNumberFormat="1" applyBorder="1"/>
    <xf numFmtId="0" fontId="6" fillId="4" borderId="4" xfId="0" applyFont="1" applyFill="1" applyBorder="1"/>
    <xf numFmtId="2" fontId="5" fillId="0" borderId="0" xfId="0" applyNumberFormat="1" applyFont="1" applyFill="1" applyBorder="1"/>
    <xf numFmtId="2" fontId="5" fillId="0" borderId="2" xfId="0" applyNumberFormat="1" applyFont="1" applyFill="1" applyBorder="1"/>
    <xf numFmtId="164" fontId="0" fillId="0" borderId="0" xfId="0" applyNumberFormat="1" applyBorder="1" applyAlignment="1">
      <alignment horizontal="right"/>
    </xf>
    <xf numFmtId="164" fontId="0" fillId="5" borderId="0" xfId="0" applyNumberFormat="1" applyFill="1" applyBorder="1"/>
    <xf numFmtId="164" fontId="0" fillId="5" borderId="1" xfId="0" applyNumberFormat="1" applyFill="1" applyBorder="1"/>
    <xf numFmtId="0" fontId="5" fillId="5" borderId="0" xfId="0" applyFont="1" applyFill="1"/>
    <xf numFmtId="0" fontId="5" fillId="6" borderId="0" xfId="0" applyFont="1" applyFill="1"/>
    <xf numFmtId="165" fontId="0" fillId="3" borderId="0" xfId="0" applyNumberFormat="1" applyFill="1"/>
    <xf numFmtId="165" fontId="0" fillId="3" borderId="1" xfId="0" applyNumberFormat="1" applyFill="1" applyBorder="1"/>
    <xf numFmtId="166" fontId="0" fillId="0" borderId="0" xfId="0" applyNumberFormat="1" applyFill="1" applyBorder="1"/>
    <xf numFmtId="166" fontId="0" fillId="0" borderId="1" xfId="0" applyNumberFormat="1" applyFill="1" applyBorder="1"/>
    <xf numFmtId="0" fontId="0" fillId="0" borderId="15" xfId="0" applyBorder="1"/>
    <xf numFmtId="0" fontId="0" fillId="0" borderId="14" xfId="0" applyBorder="1"/>
    <xf numFmtId="0" fontId="13" fillId="4" borderId="11" xfId="0" applyFont="1" applyFill="1" applyBorder="1"/>
    <xf numFmtId="0" fontId="14" fillId="4" borderId="7" xfId="0" applyFont="1" applyFill="1" applyBorder="1"/>
    <xf numFmtId="0" fontId="14" fillId="4" borderId="11" xfId="0" applyFont="1" applyFill="1" applyBorder="1"/>
    <xf numFmtId="0" fontId="14" fillId="4" borderId="6" xfId="0" applyFont="1" applyFill="1" applyBorder="1"/>
    <xf numFmtId="0" fontId="13" fillId="4" borderId="2" xfId="0" applyFont="1" applyFill="1" applyBorder="1"/>
    <xf numFmtId="0" fontId="14" fillId="4" borderId="5" xfId="0" applyFont="1" applyFill="1" applyBorder="1"/>
    <xf numFmtId="0" fontId="14" fillId="4" borderId="2" xfId="0" applyFont="1" applyFill="1" applyBorder="1"/>
    <xf numFmtId="0" fontId="14" fillId="4" borderId="3" xfId="0" applyFont="1" applyFill="1" applyBorder="1"/>
    <xf numFmtId="0" fontId="14" fillId="4" borderId="4" xfId="0" applyFont="1" applyFill="1" applyBorder="1"/>
    <xf numFmtId="0" fontId="14" fillId="4" borderId="0" xfId="0" applyFont="1" applyFill="1" applyBorder="1"/>
    <xf numFmtId="0" fontId="14" fillId="4" borderId="1" xfId="0" applyFont="1" applyFill="1" applyBorder="1"/>
    <xf numFmtId="2" fontId="7" fillId="0" borderId="0" xfId="0" applyNumberFormat="1" applyFont="1"/>
    <xf numFmtId="2" fontId="7" fillId="0" borderId="6" xfId="0" applyNumberFormat="1" applyFont="1" applyBorder="1"/>
    <xf numFmtId="2" fontId="7" fillId="0" borderId="1" xfId="0" applyNumberFormat="1" applyFont="1" applyBorder="1"/>
    <xf numFmtId="10" fontId="7" fillId="0" borderId="0" xfId="299" applyNumberFormat="1" applyFont="1"/>
    <xf numFmtId="10" fontId="7" fillId="0" borderId="11" xfId="299" applyNumberFormat="1" applyFont="1" applyBorder="1"/>
    <xf numFmtId="10" fontId="7" fillId="0" borderId="7" xfId="299" applyNumberFormat="1" applyFont="1" applyBorder="1"/>
    <xf numFmtId="10" fontId="7" fillId="0" borderId="6" xfId="299" applyNumberFormat="1" applyFont="1" applyBorder="1"/>
    <xf numFmtId="10" fontId="7" fillId="0" borderId="0" xfId="299" applyNumberFormat="1" applyFont="1" applyBorder="1"/>
    <xf numFmtId="10" fontId="7" fillId="0" borderId="4" xfId="299" applyNumberFormat="1" applyFont="1" applyBorder="1"/>
    <xf numFmtId="10" fontId="7" fillId="0" borderId="1" xfId="299" applyNumberFormat="1" applyFont="1" applyBorder="1"/>
    <xf numFmtId="2" fontId="7" fillId="0" borderId="5" xfId="0" applyNumberFormat="1" applyFont="1" applyBorder="1"/>
    <xf numFmtId="2" fontId="7" fillId="0" borderId="2" xfId="0" applyNumberFormat="1" applyFont="1" applyBorder="1"/>
    <xf numFmtId="2" fontId="7" fillId="0" borderId="3" xfId="0" applyNumberFormat="1" applyFont="1" applyBorder="1"/>
    <xf numFmtId="10" fontId="7" fillId="0" borderId="5" xfId="299" applyNumberFormat="1" applyFont="1" applyBorder="1"/>
    <xf numFmtId="10" fontId="7" fillId="0" borderId="2" xfId="299" applyNumberFormat="1" applyFont="1" applyBorder="1"/>
    <xf numFmtId="10" fontId="7" fillId="0" borderId="3" xfId="299" applyNumberFormat="1" applyFont="1" applyBorder="1"/>
    <xf numFmtId="0" fontId="13" fillId="4" borderId="13" xfId="0" applyFont="1" applyFill="1" applyBorder="1"/>
    <xf numFmtId="0" fontId="13" fillId="4" borderId="14" xfId="0" applyFont="1" applyFill="1" applyBorder="1"/>
    <xf numFmtId="0" fontId="13" fillId="4" borderId="15" xfId="0" applyFont="1" applyFill="1" applyBorder="1"/>
    <xf numFmtId="0" fontId="2" fillId="0" borderId="0" xfId="0" applyFont="1" applyFill="1" applyBorder="1"/>
    <xf numFmtId="0" fontId="2" fillId="0" borderId="4" xfId="0" applyFont="1" applyFill="1" applyBorder="1"/>
    <xf numFmtId="0" fontId="0" fillId="4" borderId="2" xfId="0" applyFill="1" applyBorder="1"/>
    <xf numFmtId="0" fontId="0" fillId="4" borderId="3" xfId="0" applyFill="1" applyBorder="1"/>
    <xf numFmtId="0" fontId="6" fillId="0" borderId="1" xfId="0" applyFont="1" applyFill="1" applyBorder="1"/>
    <xf numFmtId="0" fontId="6" fillId="0" borderId="3" xfId="0" applyFont="1" applyFill="1" applyBorder="1"/>
    <xf numFmtId="0" fontId="6" fillId="0" borderId="0" xfId="0" applyFont="1" applyFill="1" applyBorder="1"/>
    <xf numFmtId="0" fontId="2" fillId="0" borderId="0" xfId="0" applyFont="1" applyFill="1"/>
    <xf numFmtId="0" fontId="2" fillId="0" borderId="1" xfId="0" applyFont="1" applyFill="1" applyBorder="1"/>
    <xf numFmtId="0" fontId="6" fillId="0" borderId="2" xfId="0" applyFont="1" applyFill="1" applyBorder="1"/>
    <xf numFmtId="0" fontId="2" fillId="0" borderId="3" xfId="0" applyFont="1" applyFill="1" applyBorder="1"/>
    <xf numFmtId="0" fontId="6" fillId="0" borderId="13" xfId="0" applyFont="1" applyFill="1" applyBorder="1"/>
    <xf numFmtId="0" fontId="6" fillId="0" borderId="14" xfId="0" applyFont="1" applyFill="1" applyBorder="1"/>
    <xf numFmtId="0" fontId="6" fillId="0" borderId="15" xfId="0" applyFont="1" applyFill="1" applyBorder="1"/>
    <xf numFmtId="0" fontId="2" fillId="0" borderId="11" xfId="0" applyFont="1" applyFill="1" applyBorder="1"/>
    <xf numFmtId="0" fontId="2" fillId="0" borderId="6" xfId="0" applyFont="1" applyFill="1" applyBorder="1"/>
    <xf numFmtId="0" fontId="2" fillId="0" borderId="7" xfId="0" applyFont="1" applyFill="1" applyBorder="1"/>
    <xf numFmtId="0" fontId="2" fillId="0" borderId="13" xfId="0" applyFont="1" applyFill="1" applyBorder="1"/>
    <xf numFmtId="0" fontId="0" fillId="0" borderId="7" xfId="0" applyFill="1" applyBorder="1"/>
    <xf numFmtId="0" fontId="0" fillId="0" borderId="11" xfId="0" applyFill="1" applyBorder="1"/>
    <xf numFmtId="0" fontId="0" fillId="0" borderId="6" xfId="0" applyFill="1" applyBorder="1"/>
    <xf numFmtId="0" fontId="2" fillId="0" borderId="14" xfId="0" applyFont="1" applyFill="1" applyBorder="1"/>
    <xf numFmtId="0" fontId="0" fillId="0" borderId="5" xfId="0" applyFill="1" applyBorder="1"/>
    <xf numFmtId="0" fontId="0" fillId="0" borderId="2" xfId="0" applyFill="1" applyBorder="1"/>
    <xf numFmtId="164" fontId="0" fillId="0" borderId="0" xfId="0" applyNumberFormat="1" applyFill="1"/>
    <xf numFmtId="164" fontId="0" fillId="0" borderId="1" xfId="0" applyNumberFormat="1" applyFill="1" applyBorder="1"/>
    <xf numFmtId="0" fontId="2" fillId="0" borderId="12" xfId="0" applyFont="1" applyFill="1" applyBorder="1"/>
    <xf numFmtId="0" fontId="0" fillId="0" borderId="10" xfId="0" applyFill="1" applyBorder="1"/>
    <xf numFmtId="0" fontId="0" fillId="0" borderId="9" xfId="0" applyFill="1" applyBorder="1"/>
    <xf numFmtId="0" fontId="0" fillId="0" borderId="8" xfId="0" applyFill="1" applyBorder="1"/>
    <xf numFmtId="10" fontId="0" fillId="3" borderId="0" xfId="299" applyNumberFormat="1" applyFont="1" applyFill="1" applyBorder="1"/>
    <xf numFmtId="0" fontId="0" fillId="0" borderId="13" xfId="0" applyBorder="1"/>
    <xf numFmtId="2" fontId="0" fillId="0" borderId="0" xfId="0" applyNumberFormat="1" applyFill="1" applyBorder="1"/>
    <xf numFmtId="2" fontId="0" fillId="0" borderId="1" xfId="0" applyNumberFormat="1" applyFill="1" applyBorder="1"/>
    <xf numFmtId="2" fontId="0" fillId="0" borderId="2" xfId="0" applyNumberFormat="1" applyFill="1" applyBorder="1"/>
    <xf numFmtId="2" fontId="0" fillId="0" borderId="3" xfId="0" applyNumberFormat="1" applyFill="1" applyBorder="1"/>
    <xf numFmtId="2" fontId="0" fillId="0" borderId="4" xfId="0" applyNumberFormat="1" applyFill="1" applyBorder="1"/>
    <xf numFmtId="2" fontId="0" fillId="0" borderId="0" xfId="0" applyNumberFormat="1" applyFill="1"/>
    <xf numFmtId="2" fontId="0" fillId="0" borderId="5" xfId="0" applyNumberFormat="1" applyFill="1" applyBorder="1"/>
    <xf numFmtId="0" fontId="0" fillId="0" borderId="0" xfId="0" applyNumberFormat="1" applyBorder="1"/>
    <xf numFmtId="10" fontId="0" fillId="0" borderId="0" xfId="0" applyNumberFormat="1"/>
    <xf numFmtId="1" fontId="0" fillId="0" borderId="5" xfId="0" applyNumberFormat="1" applyFill="1" applyBorder="1"/>
    <xf numFmtId="1" fontId="0" fillId="0" borderId="2" xfId="0" applyNumberFormat="1" applyFill="1" applyBorder="1"/>
    <xf numFmtId="1" fontId="0" fillId="0" borderId="3" xfId="0" applyNumberFormat="1" applyFill="1" applyBorder="1"/>
    <xf numFmtId="4" fontId="0" fillId="0" borderId="0" xfId="0" applyNumberFormat="1"/>
    <xf numFmtId="164" fontId="0" fillId="0" borderId="0" xfId="0" applyNumberFormat="1" applyAlignment="1">
      <alignment horizontal="center"/>
    </xf>
    <xf numFmtId="164" fontId="5" fillId="0" borderId="4" xfId="0" applyNumberFormat="1" applyFont="1" applyBorder="1" applyAlignment="1">
      <alignment horizontal="center"/>
    </xf>
    <xf numFmtId="164" fontId="5" fillId="0" borderId="0" xfId="0" applyNumberFormat="1" applyFont="1" applyAlignment="1">
      <alignment horizontal="center"/>
    </xf>
    <xf numFmtId="164" fontId="0" fillId="0" borderId="1" xfId="0" applyNumberFormat="1" applyBorder="1" applyAlignment="1">
      <alignment horizontal="center"/>
    </xf>
    <xf numFmtId="164" fontId="0" fillId="0" borderId="4" xfId="0" applyNumberFormat="1" applyBorder="1" applyAlignment="1">
      <alignment horizontal="center"/>
    </xf>
  </cellXfs>
  <cellStyles count="564">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4" builtinId="9" hidden="1"/>
    <cellStyle name="Gevolgde hyperlink" xfId="226" builtinId="9" hidden="1"/>
    <cellStyle name="Gevolgde hyperlink" xfId="228" builtinId="9" hidden="1"/>
    <cellStyle name="Gevolgde hyperlink" xfId="230" builtinId="9" hidden="1"/>
    <cellStyle name="Gevolgde hyperlink" xfId="232" builtinId="9" hidden="1"/>
    <cellStyle name="Gevolgde hyperlink" xfId="234" builtinId="9" hidden="1"/>
    <cellStyle name="Gevolgde hyperlink" xfId="236" builtinId="9" hidden="1"/>
    <cellStyle name="Gevolgde hyperlink" xfId="238" builtinId="9" hidden="1"/>
    <cellStyle name="Gevolgde hyperlink" xfId="240" builtinId="9" hidden="1"/>
    <cellStyle name="Gevolgde hyperlink" xfId="242" builtinId="9" hidden="1"/>
    <cellStyle name="Gevolgde hyperlink" xfId="244" builtinId="9" hidden="1"/>
    <cellStyle name="Gevolgde hyperlink" xfId="246" builtinId="9" hidden="1"/>
    <cellStyle name="Gevolgde hyperlink" xfId="248" builtinId="9" hidden="1"/>
    <cellStyle name="Gevolgde hyperlink" xfId="250" builtinId="9" hidden="1"/>
    <cellStyle name="Gevolgde hyperlink" xfId="252" builtinId="9" hidden="1"/>
    <cellStyle name="Gevolgde hyperlink" xfId="254" builtinId="9" hidden="1"/>
    <cellStyle name="Gevolgde hyperlink" xfId="256" builtinId="9" hidden="1"/>
    <cellStyle name="Gevolgde hyperlink" xfId="258" builtinId="9" hidden="1"/>
    <cellStyle name="Gevolgde hyperlink" xfId="260" builtinId="9" hidden="1"/>
    <cellStyle name="Gevolgde hyperlink" xfId="262" builtinId="9" hidden="1"/>
    <cellStyle name="Gevolgde hyperlink" xfId="264" builtinId="9" hidden="1"/>
    <cellStyle name="Gevolgde hyperlink" xfId="266" builtinId="9" hidden="1"/>
    <cellStyle name="Gevolgde hyperlink" xfId="268" builtinId="9" hidden="1"/>
    <cellStyle name="Gevolgde hyperlink" xfId="270" builtinId="9" hidden="1"/>
    <cellStyle name="Gevolgde hyperlink" xfId="272" builtinId="9" hidden="1"/>
    <cellStyle name="Gevolgde hyperlink" xfId="274" builtinId="9" hidden="1"/>
    <cellStyle name="Gevolgde hyperlink" xfId="276" builtinId="9" hidden="1"/>
    <cellStyle name="Gevolgde hyperlink" xfId="278" builtinId="9" hidden="1"/>
    <cellStyle name="Gevolgde hyperlink" xfId="280" builtinId="9" hidden="1"/>
    <cellStyle name="Gevolgde hyperlink" xfId="282" builtinId="9" hidden="1"/>
    <cellStyle name="Gevolgde hyperlink" xfId="284" builtinId="9" hidden="1"/>
    <cellStyle name="Gevolgde hyperlink" xfId="286" builtinId="9" hidden="1"/>
    <cellStyle name="Gevolgde hyperlink" xfId="288" builtinId="9" hidden="1"/>
    <cellStyle name="Gevolgde hyperlink" xfId="290" builtinId="9" hidden="1"/>
    <cellStyle name="Gevolgde hyperlink" xfId="292" builtinId="9" hidden="1"/>
    <cellStyle name="Gevolgde hyperlink" xfId="294" builtinId="9" hidden="1"/>
    <cellStyle name="Gevolgde hyperlink" xfId="296" builtinId="9" hidden="1"/>
    <cellStyle name="Gevolgde hyperlink" xfId="298" builtinId="9" hidden="1"/>
    <cellStyle name="Gevolgde hyperlink" xfId="301" builtinId="9" hidden="1"/>
    <cellStyle name="Gevolgde hyperlink" xfId="303" builtinId="9" hidden="1"/>
    <cellStyle name="Gevolgde hyperlink" xfId="305" builtinId="9" hidden="1"/>
    <cellStyle name="Gevolgde hyperlink" xfId="307" builtinId="9" hidden="1"/>
    <cellStyle name="Gevolgde hyperlink" xfId="309" builtinId="9" hidden="1"/>
    <cellStyle name="Gevolgde hyperlink" xfId="311" builtinId="9" hidden="1"/>
    <cellStyle name="Gevolgde hyperlink" xfId="313" builtinId="9" hidden="1"/>
    <cellStyle name="Gevolgde hyperlink" xfId="315" builtinId="9" hidden="1"/>
    <cellStyle name="Gevolgde hyperlink" xfId="317" builtinId="9" hidden="1"/>
    <cellStyle name="Gevolgde hyperlink" xfId="319" builtinId="9" hidden="1"/>
    <cellStyle name="Gevolgde hyperlink" xfId="321" builtinId="9" hidden="1"/>
    <cellStyle name="Gevolgde hyperlink" xfId="323" builtinId="9" hidden="1"/>
    <cellStyle name="Gevolgde hyperlink" xfId="325" builtinId="9" hidden="1"/>
    <cellStyle name="Gevolgde hyperlink" xfId="327" builtinId="9" hidden="1"/>
    <cellStyle name="Gevolgde hyperlink" xfId="329" builtinId="9" hidden="1"/>
    <cellStyle name="Gevolgde hyperlink" xfId="331" builtinId="9" hidden="1"/>
    <cellStyle name="Gevolgde hyperlink" xfId="333" builtinId="9" hidden="1"/>
    <cellStyle name="Gevolgde hyperlink" xfId="335" builtinId="9" hidden="1"/>
    <cellStyle name="Gevolgde hyperlink" xfId="337" builtinId="9" hidden="1"/>
    <cellStyle name="Gevolgde hyperlink" xfId="339" builtinId="9" hidden="1"/>
    <cellStyle name="Gevolgde hyperlink" xfId="341" builtinId="9" hidden="1"/>
    <cellStyle name="Gevolgde hyperlink" xfId="343" builtinId="9" hidden="1"/>
    <cellStyle name="Gevolgde hyperlink" xfId="345" builtinId="9" hidden="1"/>
    <cellStyle name="Gevolgde hyperlink" xfId="347" builtinId="9" hidden="1"/>
    <cellStyle name="Gevolgde hyperlink" xfId="349" builtinId="9" hidden="1"/>
    <cellStyle name="Gevolgde hyperlink" xfId="351" builtinId="9" hidden="1"/>
    <cellStyle name="Gevolgde hyperlink" xfId="353" builtinId="9" hidden="1"/>
    <cellStyle name="Gevolgde hyperlink" xfId="355" builtinId="9" hidden="1"/>
    <cellStyle name="Gevolgde hyperlink" xfId="357" builtinId="9" hidden="1"/>
    <cellStyle name="Gevolgde hyperlink" xfId="359" builtinId="9" hidden="1"/>
    <cellStyle name="Gevolgde hyperlink" xfId="361" builtinId="9" hidden="1"/>
    <cellStyle name="Gevolgde hyperlink" xfId="363" builtinId="9" hidden="1"/>
    <cellStyle name="Gevolgde hyperlink" xfId="365" builtinId="9" hidden="1"/>
    <cellStyle name="Gevolgde hyperlink" xfId="367" builtinId="9" hidden="1"/>
    <cellStyle name="Gevolgde hyperlink" xfId="369" builtinId="9" hidden="1"/>
    <cellStyle name="Gevolgde hyperlink" xfId="371" builtinId="9" hidden="1"/>
    <cellStyle name="Gevolgde hyperlink" xfId="373" builtinId="9" hidden="1"/>
    <cellStyle name="Gevolgde hyperlink" xfId="375" builtinId="9" hidden="1"/>
    <cellStyle name="Gevolgde hyperlink" xfId="377" builtinId="9" hidden="1"/>
    <cellStyle name="Gevolgde hyperlink" xfId="379" builtinId="9" hidden="1"/>
    <cellStyle name="Gevolgde hyperlink" xfId="381" builtinId="9" hidden="1"/>
    <cellStyle name="Gevolgde hyperlink" xfId="383" builtinId="9" hidden="1"/>
    <cellStyle name="Gevolgde hyperlink" xfId="385" builtinId="9" hidden="1"/>
    <cellStyle name="Gevolgde hyperlink" xfId="387" builtinId="9" hidden="1"/>
    <cellStyle name="Gevolgde hyperlink" xfId="389" builtinId="9" hidden="1"/>
    <cellStyle name="Gevolgde hyperlink" xfId="391" builtinId="9" hidden="1"/>
    <cellStyle name="Gevolgde hyperlink" xfId="393" builtinId="9" hidden="1"/>
    <cellStyle name="Gevolgde hyperlink" xfId="395" builtinId="9" hidden="1"/>
    <cellStyle name="Gevolgde hyperlink" xfId="397" builtinId="9" hidden="1"/>
    <cellStyle name="Gevolgde hyperlink" xfId="399" builtinId="9" hidden="1"/>
    <cellStyle name="Gevolgde hyperlink" xfId="401" builtinId="9" hidden="1"/>
    <cellStyle name="Gevolgde hyperlink" xfId="403" builtinId="9" hidden="1"/>
    <cellStyle name="Gevolgde hyperlink" xfId="405" builtinId="9" hidden="1"/>
    <cellStyle name="Gevolgde hyperlink" xfId="407" builtinId="9" hidden="1"/>
    <cellStyle name="Gevolgde hyperlink" xfId="409" builtinId="9" hidden="1"/>
    <cellStyle name="Gevolgde hyperlink" xfId="411" builtinId="9" hidden="1"/>
    <cellStyle name="Gevolgde hyperlink" xfId="413" builtinId="9" hidden="1"/>
    <cellStyle name="Gevolgde hyperlink" xfId="415" builtinId="9" hidden="1"/>
    <cellStyle name="Gevolgde hyperlink" xfId="417" builtinId="9" hidden="1"/>
    <cellStyle name="Gevolgde hyperlink" xfId="419" builtinId="9" hidden="1"/>
    <cellStyle name="Gevolgde hyperlink" xfId="421" builtinId="9" hidden="1"/>
    <cellStyle name="Gevolgde hyperlink" xfId="423" builtinId="9" hidden="1"/>
    <cellStyle name="Gevolgde hyperlink" xfId="425" builtinId="9" hidden="1"/>
    <cellStyle name="Gevolgde hyperlink" xfId="427" builtinId="9" hidden="1"/>
    <cellStyle name="Gevolgde hyperlink" xfId="429" builtinId="9" hidden="1"/>
    <cellStyle name="Gevolgde hyperlink" xfId="431" builtinId="9" hidden="1"/>
    <cellStyle name="Gevolgde hyperlink" xfId="433" builtinId="9" hidden="1"/>
    <cellStyle name="Gevolgde hyperlink" xfId="435" builtinId="9" hidden="1"/>
    <cellStyle name="Gevolgde hyperlink" xfId="437" builtinId="9" hidden="1"/>
    <cellStyle name="Gevolgde hyperlink" xfId="439" builtinId="9" hidden="1"/>
    <cellStyle name="Gevolgde hyperlink" xfId="441" builtinId="9" hidden="1"/>
    <cellStyle name="Gevolgde hyperlink" xfId="443" builtinId="9" hidden="1"/>
    <cellStyle name="Gevolgde hyperlink" xfId="445"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7" builtinId="9" hidden="1"/>
    <cellStyle name="Gevolgde hyperlink" xfId="539" builtinId="9" hidden="1"/>
    <cellStyle name="Gevolgde hyperlink" xfId="541" builtinId="9" hidden="1"/>
    <cellStyle name="Gevolgde hyperlink" xfId="543" builtinId="9" hidden="1"/>
    <cellStyle name="Gevolgde hyperlink" xfId="545" builtinId="9" hidden="1"/>
    <cellStyle name="Gevolgde hyperlink" xfId="547" builtinId="9" hidden="1"/>
    <cellStyle name="Gevolgde hyperlink" xfId="549" builtinId="9" hidden="1"/>
    <cellStyle name="Gevolgde hyperlink" xfId="551" builtinId="9" hidden="1"/>
    <cellStyle name="Gevolgde hyperlink" xfId="553" builtinId="9" hidden="1"/>
    <cellStyle name="Gevolgde hyperlink" xfId="555" builtinId="9" hidden="1"/>
    <cellStyle name="Gevolgde hyperlink" xfId="557" builtinId="9" hidden="1"/>
    <cellStyle name="Gevolgde hyperlink" xfId="559" builtinId="9" hidden="1"/>
    <cellStyle name="Gevolgde hyperlink" xfId="561" builtinId="9" hidden="1"/>
    <cellStyle name="Gevolgde hyperlink" xfId="56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Procent" xfId="299" builtinId="5"/>
    <cellStyle name="Standa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I24"/>
  <sheetViews>
    <sheetView workbookViewId="0">
      <selection activeCell="E23" sqref="E23"/>
    </sheetView>
  </sheetViews>
  <sheetFormatPr defaultColWidth="11.19921875" defaultRowHeight="15.6"/>
  <cols>
    <col min="1" max="1" width="18.5" style="1" bestFit="1" customWidth="1"/>
    <col min="8" max="8" width="40.796875" bestFit="1" customWidth="1"/>
    <col min="9" max="9" width="29.296875" customWidth="1"/>
  </cols>
  <sheetData>
    <row r="1" spans="1:9" s="1" customFormat="1">
      <c r="A1" s="55" t="s">
        <v>13</v>
      </c>
      <c r="B1" s="67" t="s">
        <v>755</v>
      </c>
      <c r="C1" s="67"/>
      <c r="D1" s="55"/>
      <c r="E1" s="67" t="s">
        <v>846</v>
      </c>
      <c r="F1" s="67"/>
      <c r="G1" s="55"/>
      <c r="H1" s="112" t="s">
        <v>920</v>
      </c>
      <c r="I1" s="114"/>
    </row>
    <row r="2" spans="1:9" s="1" customFormat="1">
      <c r="A2" s="56"/>
      <c r="B2" s="61" t="s">
        <v>749</v>
      </c>
      <c r="C2" s="61" t="s">
        <v>750</v>
      </c>
      <c r="D2" s="56" t="s">
        <v>751</v>
      </c>
      <c r="E2" s="67" t="s">
        <v>749</v>
      </c>
      <c r="F2" s="67" t="s">
        <v>750</v>
      </c>
      <c r="G2" s="55" t="s">
        <v>751</v>
      </c>
      <c r="H2" s="62" t="s">
        <v>921</v>
      </c>
      <c r="I2" s="56" t="s">
        <v>922</v>
      </c>
    </row>
    <row r="3" spans="1:9">
      <c r="A3" s="55" t="s">
        <v>752</v>
      </c>
      <c r="B3">
        <v>2.4</v>
      </c>
      <c r="C3">
        <v>3</v>
      </c>
      <c r="D3" s="23">
        <v>4</v>
      </c>
      <c r="E3" s="128">
        <f t="shared" ref="E3:G5" si="0">B3/SUM(B$3:B$5)</f>
        <v>0.64864864864864868</v>
      </c>
      <c r="F3" s="130">
        <f t="shared" si="0"/>
        <v>0.63829787234042545</v>
      </c>
      <c r="G3" s="131">
        <f t="shared" si="0"/>
        <v>0.60882800608828014</v>
      </c>
      <c r="H3" s="6" t="s">
        <v>986</v>
      </c>
      <c r="I3" s="12" t="s">
        <v>991</v>
      </c>
    </row>
    <row r="4" spans="1:9">
      <c r="A4" s="55" t="s">
        <v>845</v>
      </c>
      <c r="B4">
        <v>0.95</v>
      </c>
      <c r="C4">
        <v>1.23</v>
      </c>
      <c r="D4" s="23">
        <v>1.85</v>
      </c>
      <c r="E4" s="132">
        <f t="shared" si="0"/>
        <v>0.25675675675675674</v>
      </c>
      <c r="F4" s="98">
        <f t="shared" si="0"/>
        <v>0.26170212765957446</v>
      </c>
      <c r="G4" s="84">
        <f t="shared" si="0"/>
        <v>0.28158295281582957</v>
      </c>
      <c r="H4" s="6" t="s">
        <v>987</v>
      </c>
      <c r="I4" s="12" t="s">
        <v>990</v>
      </c>
    </row>
    <row r="5" spans="1:9">
      <c r="A5" s="56" t="s">
        <v>753</v>
      </c>
      <c r="B5" s="14">
        <v>0.35</v>
      </c>
      <c r="C5" s="14">
        <v>0.47</v>
      </c>
      <c r="D5" s="14">
        <v>0.72</v>
      </c>
      <c r="E5" s="133">
        <f t="shared" si="0"/>
        <v>9.45945945945946E-2</v>
      </c>
      <c r="F5" s="134">
        <f t="shared" si="0"/>
        <v>9.9999999999999992E-2</v>
      </c>
      <c r="G5" s="135">
        <f t="shared" si="0"/>
        <v>0.10958904109589042</v>
      </c>
      <c r="H5" s="20" t="s">
        <v>988</v>
      </c>
      <c r="I5" s="15" t="s">
        <v>989</v>
      </c>
    </row>
    <row r="9" spans="1:9">
      <c r="A9"/>
    </row>
    <row r="10" spans="1:9">
      <c r="A10"/>
    </row>
    <row r="11" spans="1:9">
      <c r="A11"/>
    </row>
    <row r="12" spans="1:9">
      <c r="A12"/>
    </row>
    <row r="13" spans="1:9">
      <c r="A13"/>
    </row>
    <row r="14" spans="1:9">
      <c r="A14"/>
    </row>
    <row r="15" spans="1:9">
      <c r="A15"/>
    </row>
    <row r="16" spans="1:9">
      <c r="A16"/>
    </row>
    <row r="17" spans="1:1">
      <c r="A17"/>
    </row>
    <row r="18" spans="1:1">
      <c r="A18"/>
    </row>
    <row r="19" spans="1:1">
      <c r="A19"/>
    </row>
    <row r="20" spans="1:1">
      <c r="A20"/>
    </row>
    <row r="21" spans="1:1">
      <c r="A21"/>
    </row>
    <row r="22" spans="1:1">
      <c r="A22"/>
    </row>
    <row r="23" spans="1:1">
      <c r="A23"/>
    </row>
    <row r="24" spans="1:1">
      <c r="A2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O59"/>
  <sheetViews>
    <sheetView topLeftCell="A33" workbookViewId="0">
      <selection activeCell="A60" sqref="A60"/>
    </sheetView>
  </sheetViews>
  <sheetFormatPr defaultColWidth="11.19921875" defaultRowHeight="15.6"/>
  <cols>
    <col min="1" max="1" width="23.69921875" customWidth="1"/>
    <col min="2" max="2" width="14.19921875" customWidth="1"/>
    <col min="3" max="4" width="15.296875" bestFit="1" customWidth="1"/>
    <col min="5" max="5" width="12.796875" bestFit="1" customWidth="1"/>
    <col min="6" max="6" width="17.69921875" bestFit="1" customWidth="1"/>
    <col min="7" max="7" width="14.5" bestFit="1" customWidth="1"/>
    <col min="8" max="8" width="22.69921875" bestFit="1" customWidth="1"/>
    <col min="9" max="9" width="17.796875" bestFit="1" customWidth="1"/>
  </cols>
  <sheetData>
    <row r="1" spans="1:15">
      <c r="A1" s="212" t="s">
        <v>132</v>
      </c>
      <c r="B1" s="204"/>
      <c r="C1" s="205" t="s">
        <v>874</v>
      </c>
      <c r="D1" s="211"/>
      <c r="E1" s="212"/>
      <c r="F1" s="204" t="s">
        <v>800</v>
      </c>
      <c r="G1" s="211"/>
      <c r="H1" s="211"/>
      <c r="I1" s="212"/>
      <c r="L1" s="4"/>
      <c r="M1" s="220" t="s">
        <v>873</v>
      </c>
      <c r="N1" s="218"/>
      <c r="O1" s="219"/>
    </row>
    <row r="2" spans="1:15">
      <c r="A2" s="214"/>
      <c r="B2" s="97" t="s">
        <v>756</v>
      </c>
      <c r="C2" s="96" t="s">
        <v>749</v>
      </c>
      <c r="D2" s="97" t="s">
        <v>750</v>
      </c>
      <c r="E2" s="214" t="s">
        <v>751</v>
      </c>
      <c r="F2" s="97" t="s">
        <v>756</v>
      </c>
      <c r="G2" s="97" t="s">
        <v>749</v>
      </c>
      <c r="H2" s="97" t="s">
        <v>750</v>
      </c>
      <c r="I2" s="214" t="s">
        <v>751</v>
      </c>
      <c r="L2" s="4"/>
      <c r="M2" s="96" t="s">
        <v>749</v>
      </c>
      <c r="N2" s="97" t="s">
        <v>750</v>
      </c>
      <c r="O2" s="214" t="s">
        <v>751</v>
      </c>
    </row>
    <row r="3" spans="1:15">
      <c r="A3" s="208" t="s">
        <v>133</v>
      </c>
      <c r="B3" s="161">
        <f>482.229-351.579</f>
        <v>130.64999999999998</v>
      </c>
      <c r="C3" s="240">
        <v>114.002</v>
      </c>
      <c r="D3" s="241">
        <v>119.33</v>
      </c>
      <c r="E3" s="237">
        <v>116.598</v>
      </c>
      <c r="F3" s="236" t="s">
        <v>875</v>
      </c>
      <c r="G3" s="4" t="s">
        <v>877</v>
      </c>
      <c r="H3" s="4" t="s">
        <v>791</v>
      </c>
      <c r="I3" s="70" t="s">
        <v>878</v>
      </c>
      <c r="L3" s="230" t="s">
        <v>870</v>
      </c>
      <c r="M3" s="231">
        <v>1.0773999999999999</v>
      </c>
      <c r="N3" s="232">
        <v>1.1182000000000001</v>
      </c>
      <c r="O3" s="233">
        <v>1.1216999999999999</v>
      </c>
    </row>
    <row r="4" spans="1:15">
      <c r="A4" s="208" t="s">
        <v>134</v>
      </c>
      <c r="B4" s="161">
        <v>25.207000000000001</v>
      </c>
      <c r="C4" s="240">
        <v>33.051000000000002</v>
      </c>
      <c r="D4" s="241">
        <v>25.539000000000001</v>
      </c>
      <c r="E4" s="237">
        <v>25.1</v>
      </c>
      <c r="F4" s="236" t="s">
        <v>875</v>
      </c>
      <c r="G4" s="4" t="s">
        <v>877</v>
      </c>
      <c r="H4" s="4" t="s">
        <v>791</v>
      </c>
      <c r="I4" s="70" t="s">
        <v>878</v>
      </c>
    </row>
    <row r="5" spans="1:15" ht="17.399999999999999">
      <c r="A5" s="208" t="s">
        <v>788</v>
      </c>
      <c r="B5" s="161"/>
      <c r="C5" s="240">
        <f>8.75+8.98+11.01</f>
        <v>28.740000000000002</v>
      </c>
      <c r="D5" s="241">
        <f>8.16+8.18+10.4</f>
        <v>26.740000000000002</v>
      </c>
      <c r="E5" s="237">
        <f>10.75+8.7+8.64</f>
        <v>28.09</v>
      </c>
      <c r="F5" s="236"/>
      <c r="G5" s="4"/>
      <c r="H5" s="4"/>
      <c r="I5" s="70"/>
    </row>
    <row r="6" spans="1:15">
      <c r="A6" s="208" t="s">
        <v>136</v>
      </c>
      <c r="B6" s="161">
        <v>21.751000000000001</v>
      </c>
      <c r="C6" s="240">
        <v>17.119</v>
      </c>
      <c r="D6" s="241">
        <v>17.427</v>
      </c>
      <c r="E6" s="237">
        <v>17.613</v>
      </c>
      <c r="F6" s="236" t="s">
        <v>875</v>
      </c>
      <c r="G6" s="4" t="s">
        <v>796</v>
      </c>
      <c r="H6" s="4" t="s">
        <v>879</v>
      </c>
      <c r="I6" s="70" t="s">
        <v>878</v>
      </c>
    </row>
    <row r="7" spans="1:15">
      <c r="A7" s="208" t="s">
        <v>137</v>
      </c>
      <c r="B7" s="161">
        <v>19.161999999999999</v>
      </c>
      <c r="C7" s="240">
        <v>20.890999999999998</v>
      </c>
      <c r="D7" s="241">
        <v>24.829000000000001</v>
      </c>
      <c r="E7" s="237">
        <v>21.818999999999999</v>
      </c>
      <c r="F7" s="236" t="s">
        <v>876</v>
      </c>
      <c r="G7" s="4" t="s">
        <v>785</v>
      </c>
      <c r="H7" s="4" t="s">
        <v>784</v>
      </c>
      <c r="I7" s="70" t="s">
        <v>882</v>
      </c>
    </row>
    <row r="8" spans="1:15">
      <c r="A8" s="208" t="s">
        <v>787</v>
      </c>
      <c r="B8" s="161">
        <v>26.573</v>
      </c>
      <c r="C8" s="240">
        <v>28.795000000000002</v>
      </c>
      <c r="D8" s="241">
        <v>28.521999999999998</v>
      </c>
      <c r="E8" s="237">
        <v>29.033000000000001</v>
      </c>
      <c r="F8" s="236" t="s">
        <v>880</v>
      </c>
      <c r="G8" s="4" t="s">
        <v>783</v>
      </c>
      <c r="H8" s="4" t="s">
        <v>786</v>
      </c>
      <c r="I8" s="70" t="s">
        <v>881</v>
      </c>
    </row>
    <row r="9" spans="1:15">
      <c r="A9" s="208" t="s">
        <v>139</v>
      </c>
      <c r="B9" s="161"/>
      <c r="C9" s="240">
        <v>36.332000000000001</v>
      </c>
      <c r="D9" s="241">
        <v>37.168999999999997</v>
      </c>
      <c r="E9" s="237">
        <v>38.643999999999998</v>
      </c>
      <c r="F9" s="236"/>
      <c r="G9" s="4"/>
      <c r="H9" s="4"/>
      <c r="I9" s="70"/>
    </row>
    <row r="10" spans="1:15">
      <c r="A10" s="208" t="s">
        <v>140</v>
      </c>
      <c r="B10" s="161">
        <v>12.54</v>
      </c>
      <c r="C10" s="240">
        <v>14.129</v>
      </c>
      <c r="D10" s="241">
        <v>17.347999999999999</v>
      </c>
      <c r="E10" s="237">
        <v>14.36</v>
      </c>
      <c r="F10" s="236" t="s">
        <v>883</v>
      </c>
      <c r="G10" s="4" t="s">
        <v>790</v>
      </c>
      <c r="H10" s="4" t="s">
        <v>791</v>
      </c>
      <c r="I10" s="70" t="s">
        <v>795</v>
      </c>
    </row>
    <row r="11" spans="1:15">
      <c r="A11" s="208" t="s">
        <v>141</v>
      </c>
      <c r="B11" s="161"/>
      <c r="C11" s="240">
        <v>22.716999999999999</v>
      </c>
      <c r="D11" s="241">
        <v>23.184999999999999</v>
      </c>
      <c r="E11" s="237">
        <v>25.358000000000001</v>
      </c>
      <c r="F11" s="236"/>
      <c r="G11" s="4"/>
      <c r="H11" s="4"/>
      <c r="I11" s="70"/>
    </row>
    <row r="12" spans="1:15" ht="17.399999999999999">
      <c r="A12" s="208" t="s">
        <v>792</v>
      </c>
      <c r="B12" s="161"/>
      <c r="C12" s="240"/>
      <c r="D12" s="241"/>
      <c r="E12" s="237"/>
      <c r="F12" s="236"/>
      <c r="G12" s="4"/>
      <c r="H12" s="4"/>
      <c r="I12" s="70"/>
      <c r="J12" t="s">
        <v>884</v>
      </c>
    </row>
    <row r="13" spans="1:15">
      <c r="A13" s="208" t="s">
        <v>143</v>
      </c>
      <c r="B13" s="161"/>
      <c r="C13" s="240">
        <f>'Fast food restaurants'!B3/1000</f>
        <v>5.9588999999999999</v>
      </c>
      <c r="D13" s="241">
        <f>'Fast food restaurants'!C3/1000</f>
        <v>6.4977</v>
      </c>
      <c r="E13" s="237">
        <f>'Fast food restaurants'!D3/1000</f>
        <v>6.6151</v>
      </c>
      <c r="F13" s="236"/>
      <c r="G13" s="4"/>
      <c r="H13" s="4"/>
      <c r="I13" s="70"/>
    </row>
    <row r="14" spans="1:15">
      <c r="A14" s="208" t="s">
        <v>144</v>
      </c>
      <c r="B14" s="161">
        <v>14.209</v>
      </c>
      <c r="C14" s="240">
        <v>8.5579999999999998</v>
      </c>
      <c r="D14" s="241">
        <v>8.5280000000000005</v>
      </c>
      <c r="E14" s="237">
        <v>8.8190000000000008</v>
      </c>
      <c r="F14" s="236" t="s">
        <v>875</v>
      </c>
      <c r="G14" s="4" t="s">
        <v>796</v>
      </c>
      <c r="H14" s="4" t="s">
        <v>786</v>
      </c>
      <c r="I14" s="70" t="s">
        <v>794</v>
      </c>
    </row>
    <row r="15" spans="1:15">
      <c r="A15" s="208" t="s">
        <v>145</v>
      </c>
      <c r="B15" s="161"/>
      <c r="C15" s="240">
        <v>8.3000000000000007</v>
      </c>
      <c r="D15" s="241">
        <v>8</v>
      </c>
      <c r="E15" s="237">
        <v>7.8</v>
      </c>
      <c r="F15" s="236"/>
      <c r="G15" s="4"/>
      <c r="H15" s="4"/>
      <c r="I15" s="70"/>
    </row>
    <row r="16" spans="1:15">
      <c r="A16" s="208" t="s">
        <v>146</v>
      </c>
      <c r="B16" s="161">
        <v>9.3640000000000008</v>
      </c>
      <c r="C16" s="240">
        <v>6.2320000000000002</v>
      </c>
      <c r="D16" s="241">
        <v>6.1040000000000001</v>
      </c>
      <c r="E16" s="237">
        <v>5.8739999999999997</v>
      </c>
      <c r="F16" s="236" t="s">
        <v>875</v>
      </c>
      <c r="G16" s="4" t="s">
        <v>796</v>
      </c>
      <c r="H16" s="4" t="s">
        <v>797</v>
      </c>
      <c r="I16" s="70" t="s">
        <v>794</v>
      </c>
    </row>
    <row r="17" spans="1:10">
      <c r="A17" s="208" t="s">
        <v>149</v>
      </c>
      <c r="B17" s="161"/>
      <c r="C17" s="240">
        <v>58.01</v>
      </c>
      <c r="D17" s="241">
        <v>49.604999999999997</v>
      </c>
      <c r="E17" s="237">
        <v>51.500999999999998</v>
      </c>
      <c r="F17" s="236"/>
      <c r="G17" s="4" t="s">
        <v>807</v>
      </c>
      <c r="H17" s="4" t="s">
        <v>808</v>
      </c>
      <c r="I17" s="70" t="s">
        <v>804</v>
      </c>
    </row>
    <row r="18" spans="1:10">
      <c r="A18" s="208" t="s">
        <v>147</v>
      </c>
      <c r="B18" s="161">
        <v>8.0990000000000002</v>
      </c>
      <c r="C18" s="240">
        <v>5.8819999999999997</v>
      </c>
      <c r="D18" s="241">
        <v>6.2110000000000003</v>
      </c>
      <c r="E18" s="237">
        <v>5.75</v>
      </c>
      <c r="F18" s="236" t="s">
        <v>875</v>
      </c>
      <c r="G18" s="4" t="s">
        <v>796</v>
      </c>
      <c r="H18" s="4" t="s">
        <v>797</v>
      </c>
      <c r="I18" s="70" t="s">
        <v>878</v>
      </c>
    </row>
    <row r="19" spans="1:10">
      <c r="A19" s="208" t="s">
        <v>148</v>
      </c>
      <c r="B19" s="161"/>
      <c r="C19" s="240">
        <v>11.289</v>
      </c>
      <c r="D19" s="241">
        <v>8.6880000000000006</v>
      </c>
      <c r="E19" s="237">
        <v>8.44</v>
      </c>
      <c r="F19" s="236" t="s">
        <v>886</v>
      </c>
      <c r="G19" s="4" t="s">
        <v>887</v>
      </c>
      <c r="H19" s="4" t="s">
        <v>888</v>
      </c>
      <c r="I19" s="70" t="s">
        <v>889</v>
      </c>
      <c r="J19" t="s">
        <v>885</v>
      </c>
    </row>
    <row r="20" spans="1:10">
      <c r="A20" s="208" t="s">
        <v>150</v>
      </c>
      <c r="B20" s="161">
        <v>6.8479289999999997</v>
      </c>
      <c r="C20" s="240">
        <v>6.6475609999999996</v>
      </c>
      <c r="D20" s="241">
        <v>7.6647759999999998</v>
      </c>
      <c r="E20" s="237">
        <v>8.1541840000000008</v>
      </c>
      <c r="F20" s="236" t="s">
        <v>880</v>
      </c>
      <c r="G20" s="4" t="s">
        <v>798</v>
      </c>
      <c r="H20" s="4" t="s">
        <v>799</v>
      </c>
      <c r="I20" s="70" t="s">
        <v>890</v>
      </c>
    </row>
    <row r="21" spans="1:10">
      <c r="A21" s="208" t="s">
        <v>151</v>
      </c>
      <c r="B21" s="161">
        <v>8.3039529999999999</v>
      </c>
      <c r="C21" s="240">
        <v>6.8656370000000004</v>
      </c>
      <c r="D21" s="241">
        <v>7.3637309999999996</v>
      </c>
      <c r="E21" s="237">
        <v>7.753495</v>
      </c>
      <c r="F21" s="236" t="s">
        <v>875</v>
      </c>
      <c r="G21" s="4" t="s">
        <v>796</v>
      </c>
      <c r="H21" s="4" t="s">
        <v>797</v>
      </c>
      <c r="I21" s="70" t="s">
        <v>878</v>
      </c>
    </row>
    <row r="22" spans="1:10">
      <c r="A22" s="208" t="s">
        <v>152</v>
      </c>
      <c r="B22" s="161"/>
      <c r="C22" s="240"/>
      <c r="D22" s="241"/>
      <c r="E22" s="237"/>
      <c r="F22" s="236"/>
      <c r="G22" s="4"/>
      <c r="H22" s="4"/>
      <c r="I22" s="70"/>
    </row>
    <row r="23" spans="1:10">
      <c r="A23" s="208" t="s">
        <v>153</v>
      </c>
      <c r="B23" s="161"/>
      <c r="C23" s="240"/>
      <c r="D23" s="241"/>
      <c r="E23" s="237"/>
      <c r="F23" s="236"/>
      <c r="G23" s="4"/>
      <c r="H23" s="4"/>
      <c r="I23" s="70"/>
    </row>
    <row r="24" spans="1:10">
      <c r="A24" s="208" t="s">
        <v>379</v>
      </c>
      <c r="B24" s="161">
        <f>19.023-4.374-4.242-4.07</f>
        <v>6.3369999999999997</v>
      </c>
      <c r="C24" s="240">
        <v>4.1230000000000002</v>
      </c>
      <c r="D24" s="241">
        <v>4.2670000000000003</v>
      </c>
      <c r="E24" s="237">
        <v>4.4269999999999996</v>
      </c>
      <c r="F24" s="236" t="s">
        <v>875</v>
      </c>
      <c r="G24" s="4" t="s">
        <v>796</v>
      </c>
      <c r="H24" s="4" t="s">
        <v>797</v>
      </c>
      <c r="I24" s="70" t="s">
        <v>878</v>
      </c>
    </row>
    <row r="25" spans="1:10" ht="17.399999999999999">
      <c r="A25" s="208" t="s">
        <v>801</v>
      </c>
      <c r="B25" s="161"/>
      <c r="C25" s="240"/>
      <c r="D25" s="241"/>
      <c r="E25" s="237"/>
      <c r="F25" s="236"/>
      <c r="G25" s="4"/>
      <c r="H25" s="4"/>
      <c r="I25" s="70"/>
    </row>
    <row r="26" spans="1:10">
      <c r="A26" s="208" t="s">
        <v>381</v>
      </c>
      <c r="B26" s="161"/>
      <c r="C26" s="240">
        <v>2.1789999999999998</v>
      </c>
      <c r="D26" s="241">
        <v>2.6589999999999998</v>
      </c>
      <c r="E26" s="237">
        <v>2.968</v>
      </c>
      <c r="F26" s="236"/>
      <c r="G26" s="4" t="s">
        <v>806</v>
      </c>
      <c r="H26" s="4" t="s">
        <v>809</v>
      </c>
      <c r="I26" s="70" t="s">
        <v>805</v>
      </c>
      <c r="J26" s="95" t="s">
        <v>892</v>
      </c>
    </row>
    <row r="27" spans="1:10">
      <c r="A27" s="208" t="s">
        <v>383</v>
      </c>
      <c r="B27" s="161">
        <v>4.9390590000000003</v>
      </c>
      <c r="C27" s="240">
        <v>4.9186719999999999</v>
      </c>
      <c r="D27" s="241">
        <v>5.095904</v>
      </c>
      <c r="E27" s="237">
        <v>5.0670479999999998</v>
      </c>
      <c r="F27" s="236" t="s">
        <v>883</v>
      </c>
      <c r="G27" s="4" t="s">
        <v>790</v>
      </c>
      <c r="H27" s="4" t="s">
        <v>791</v>
      </c>
      <c r="I27" s="70" t="s">
        <v>891</v>
      </c>
    </row>
    <row r="28" spans="1:10" ht="17.399999999999999">
      <c r="A28" s="209" t="s">
        <v>803</v>
      </c>
      <c r="B28" s="162"/>
      <c r="C28" s="242"/>
      <c r="D28" s="238"/>
      <c r="E28" s="239"/>
      <c r="F28" s="238"/>
      <c r="G28" s="227"/>
      <c r="H28" s="227"/>
      <c r="I28" s="106"/>
    </row>
    <row r="29" spans="1:10">
      <c r="G29" s="23"/>
      <c r="H29" s="23"/>
      <c r="I29" s="23"/>
    </row>
    <row r="30" spans="1:10">
      <c r="C30" s="13" t="s">
        <v>789</v>
      </c>
    </row>
    <row r="31" spans="1:10">
      <c r="C31" s="13" t="s">
        <v>793</v>
      </c>
    </row>
    <row r="32" spans="1:10">
      <c r="C32" s="13" t="s">
        <v>802</v>
      </c>
    </row>
    <row r="34" spans="1:8">
      <c r="A34" s="114" t="s">
        <v>132</v>
      </c>
      <c r="B34" s="112" t="s">
        <v>874</v>
      </c>
      <c r="C34" s="113"/>
      <c r="D34" s="114"/>
      <c r="E34" s="112" t="s">
        <v>781</v>
      </c>
      <c r="F34" s="113"/>
      <c r="G34" s="114"/>
      <c r="H34" s="149" t="s">
        <v>920</v>
      </c>
    </row>
    <row r="35" spans="1:8">
      <c r="A35" s="56"/>
      <c r="B35" s="62" t="s">
        <v>749</v>
      </c>
      <c r="C35" s="61" t="s">
        <v>750</v>
      </c>
      <c r="D35" s="56" t="s">
        <v>751</v>
      </c>
      <c r="E35" s="66" t="s">
        <v>749</v>
      </c>
      <c r="F35" s="67" t="s">
        <v>750</v>
      </c>
      <c r="G35" s="55" t="s">
        <v>751</v>
      </c>
      <c r="H35" s="150" t="s">
        <v>924</v>
      </c>
    </row>
    <row r="36" spans="1:8">
      <c r="A36" s="57" t="s">
        <v>133</v>
      </c>
      <c r="B36" s="151">
        <f>1/3*B3+2/3*C3</f>
        <v>119.5513333333333</v>
      </c>
      <c r="C36" s="121">
        <f t="shared" ref="C36:D37" si="0">1/3*C3+2/3*D3</f>
        <v>117.55399999999999</v>
      </c>
      <c r="D36" s="152">
        <f t="shared" si="0"/>
        <v>117.50866666666667</v>
      </c>
      <c r="E36" s="127">
        <f>B36/SUM(B$36:B$57)</f>
        <v>0.12356037320225365</v>
      </c>
      <c r="F36" s="129">
        <f t="shared" ref="F36:G36" si="1">C36/SUM(C$36:C$57)</f>
        <v>0.11119203644288395</v>
      </c>
      <c r="G36" s="41">
        <f t="shared" si="1"/>
        <v>0.11146630140035615</v>
      </c>
      <c r="H36" s="12" t="s">
        <v>1001</v>
      </c>
    </row>
    <row r="37" spans="1:8">
      <c r="A37" s="57" t="s">
        <v>134</v>
      </c>
      <c r="B37" s="151">
        <f>1/3*B4+2/3*C4</f>
        <v>30.43633333333333</v>
      </c>
      <c r="C37" s="121">
        <f t="shared" si="0"/>
        <v>28.042999999999999</v>
      </c>
      <c r="D37" s="123">
        <f t="shared" si="0"/>
        <v>25.246333333333332</v>
      </c>
      <c r="E37" s="139">
        <f t="shared" ref="E37:E57" si="2">B37/SUM(B$36:B$57)</f>
        <v>3.1456986724599699E-2</v>
      </c>
      <c r="F37" s="18">
        <f t="shared" ref="F37:F57" si="3">C37/SUM(C$36:C$57)</f>
        <v>2.652532689630123E-2</v>
      </c>
      <c r="G37" s="16">
        <f t="shared" ref="G37:G57" si="4">D37/SUM(D$36:D$57)</f>
        <v>2.3948151914359717E-2</v>
      </c>
      <c r="H37" s="172" t="s">
        <v>1002</v>
      </c>
    </row>
    <row r="38" spans="1:8" ht="17.399999999999999">
      <c r="A38" s="57" t="s">
        <v>788</v>
      </c>
      <c r="B38" s="151">
        <f>C5</f>
        <v>28.740000000000002</v>
      </c>
      <c r="C38" s="121">
        <f t="shared" ref="C38:D38" si="5">D5</f>
        <v>26.740000000000002</v>
      </c>
      <c r="D38" s="123">
        <f t="shared" si="5"/>
        <v>28.09</v>
      </c>
      <c r="E38" s="139">
        <f t="shared" si="2"/>
        <v>2.9703768471837238E-2</v>
      </c>
      <c r="F38" s="18">
        <f t="shared" si="3"/>
        <v>2.5292844603184216E-2</v>
      </c>
      <c r="G38" s="16">
        <f t="shared" si="4"/>
        <v>2.6645595556095188E-2</v>
      </c>
      <c r="H38" s="172" t="s">
        <v>1003</v>
      </c>
    </row>
    <row r="39" spans="1:8">
      <c r="A39" s="57" t="s">
        <v>136</v>
      </c>
      <c r="B39" s="151">
        <f>1/3*B6+2/3*C6</f>
        <v>18.663</v>
      </c>
      <c r="C39" s="121">
        <f t="shared" ref="C39:D40" si="6">1/3*C6+2/3*D6</f>
        <v>17.324333333333332</v>
      </c>
      <c r="D39" s="123">
        <f t="shared" si="6"/>
        <v>17.550999999999998</v>
      </c>
      <c r="E39" s="139">
        <f t="shared" si="2"/>
        <v>1.9288845893872593E-2</v>
      </c>
      <c r="F39" s="18">
        <f t="shared" si="3"/>
        <v>1.6386749096999415E-2</v>
      </c>
      <c r="G39" s="16">
        <f t="shared" si="4"/>
        <v>1.6648517180670227E-2</v>
      </c>
      <c r="H39" s="172" t="s">
        <v>1004</v>
      </c>
    </row>
    <row r="40" spans="1:8">
      <c r="A40" s="57" t="s">
        <v>137</v>
      </c>
      <c r="B40" s="151">
        <f>1/3*B7+2/3*C7</f>
        <v>20.314666666666664</v>
      </c>
      <c r="C40" s="121">
        <f t="shared" si="6"/>
        <v>23.516333333333332</v>
      </c>
      <c r="D40" s="123">
        <f t="shared" si="6"/>
        <v>22.822333333333333</v>
      </c>
      <c r="E40" s="139">
        <f t="shared" si="2"/>
        <v>2.0995899625929577E-2</v>
      </c>
      <c r="F40" s="18">
        <f t="shared" si="3"/>
        <v>2.2243641160683659E-2</v>
      </c>
      <c r="G40" s="16">
        <f t="shared" si="4"/>
        <v>2.1648795430629753E-2</v>
      </c>
      <c r="H40" s="172" t="s">
        <v>1005</v>
      </c>
    </row>
    <row r="41" spans="1:8">
      <c r="A41" s="57" t="s">
        <v>787</v>
      </c>
      <c r="B41" s="151">
        <f>2/3*B8+1/3*C8</f>
        <v>27.313666666666666</v>
      </c>
      <c r="C41" s="121">
        <f t="shared" ref="C41:D41" si="7">2/3*C8+1/3*D8</f>
        <v>28.703999999999997</v>
      </c>
      <c r="D41" s="123">
        <f t="shared" si="7"/>
        <v>28.69233333333333</v>
      </c>
      <c r="E41" s="139">
        <f t="shared" si="2"/>
        <v>2.822960441139892E-2</v>
      </c>
      <c r="F41" s="18">
        <f t="shared" si="3"/>
        <v>2.7150553907621527E-2</v>
      </c>
      <c r="G41" s="16">
        <f t="shared" si="4"/>
        <v>2.7216956552533589E-2</v>
      </c>
      <c r="H41" s="172" t="s">
        <v>1006</v>
      </c>
    </row>
    <row r="42" spans="1:8">
      <c r="A42" s="57" t="s">
        <v>139</v>
      </c>
      <c r="B42" s="151">
        <f>C9</f>
        <v>36.332000000000001</v>
      </c>
      <c r="C42" s="121">
        <f t="shared" ref="C42:D42" si="8">D9</f>
        <v>37.168999999999997</v>
      </c>
      <c r="D42" s="123">
        <f t="shared" si="8"/>
        <v>38.643999999999998</v>
      </c>
      <c r="E42" s="139">
        <f t="shared" si="2"/>
        <v>3.7550358946374061E-2</v>
      </c>
      <c r="F42" s="18">
        <f t="shared" si="3"/>
        <v>3.5157432350626551E-2</v>
      </c>
      <c r="G42" s="16">
        <f t="shared" si="4"/>
        <v>3.665690262263234E-2</v>
      </c>
      <c r="H42" s="172" t="s">
        <v>1007</v>
      </c>
    </row>
    <row r="43" spans="1:8">
      <c r="A43" s="57" t="s">
        <v>140</v>
      </c>
      <c r="B43" s="151">
        <f>1/3*B10+2/3*C10</f>
        <v>13.599333333333332</v>
      </c>
      <c r="C43" s="121">
        <f t="shared" ref="C43:D43" si="9">1/3*C10+2/3*D10</f>
        <v>16.274999999999999</v>
      </c>
      <c r="D43" s="123">
        <f t="shared" si="9"/>
        <v>15.355999999999998</v>
      </c>
      <c r="E43" s="139">
        <f t="shared" si="2"/>
        <v>1.4055373998074872E-2</v>
      </c>
      <c r="F43" s="18">
        <f t="shared" si="3"/>
        <v>1.5394205157697197E-2</v>
      </c>
      <c r="G43" s="16">
        <f t="shared" si="4"/>
        <v>1.4566385381253032E-2</v>
      </c>
      <c r="H43" s="172" t="s">
        <v>1008</v>
      </c>
    </row>
    <row r="44" spans="1:8">
      <c r="A44" s="57" t="s">
        <v>141</v>
      </c>
      <c r="B44" s="151">
        <f>C11</f>
        <v>22.716999999999999</v>
      </c>
      <c r="C44" s="121">
        <f t="shared" ref="C44:D44" si="10">D11</f>
        <v>23.184999999999999</v>
      </c>
      <c r="D44" s="123">
        <f t="shared" si="10"/>
        <v>25.358000000000001</v>
      </c>
      <c r="E44" s="139">
        <f t="shared" si="2"/>
        <v>2.3478792914917411E-2</v>
      </c>
      <c r="F44" s="18">
        <f t="shared" si="3"/>
        <v>2.1930239421272476E-2</v>
      </c>
      <c r="G44" s="16">
        <f t="shared" si="4"/>
        <v>2.4054076614861582E-2</v>
      </c>
      <c r="H44" s="172" t="s">
        <v>1009</v>
      </c>
    </row>
    <row r="45" spans="1:8" ht="17.399999999999999" hidden="1">
      <c r="A45" s="57" t="s">
        <v>792</v>
      </c>
      <c r="B45" s="151"/>
      <c r="C45" s="121"/>
      <c r="D45" s="123"/>
      <c r="E45" s="139">
        <f t="shared" si="2"/>
        <v>0</v>
      </c>
      <c r="F45" s="18">
        <f t="shared" si="3"/>
        <v>0</v>
      </c>
      <c r="G45" s="16">
        <f t="shared" si="4"/>
        <v>0</v>
      </c>
      <c r="H45" s="172"/>
    </row>
    <row r="46" spans="1:8">
      <c r="A46" s="57" t="s">
        <v>143</v>
      </c>
      <c r="B46" s="151">
        <f>C13</f>
        <v>5.9588999999999999</v>
      </c>
      <c r="C46" s="121">
        <f t="shared" ref="C46:D46" si="11">D13</f>
        <v>6.4977</v>
      </c>
      <c r="D46" s="123">
        <f t="shared" si="11"/>
        <v>6.6151</v>
      </c>
      <c r="E46" s="139">
        <f t="shared" si="2"/>
        <v>6.1587260245939768E-3</v>
      </c>
      <c r="F46" s="18">
        <f t="shared" si="3"/>
        <v>6.1460477329136152E-3</v>
      </c>
      <c r="G46" s="16">
        <f t="shared" si="4"/>
        <v>6.274947638416707E-3</v>
      </c>
      <c r="H46" s="172" t="s">
        <v>1010</v>
      </c>
    </row>
    <row r="47" spans="1:8">
      <c r="A47" s="57" t="s">
        <v>144</v>
      </c>
      <c r="B47" s="151">
        <f>1/3*B14+2/3*C14</f>
        <v>10.441666666666666</v>
      </c>
      <c r="C47" s="121">
        <f t="shared" ref="C47:D47" si="12">1/3*C14+2/3*D14</f>
        <v>8.5380000000000003</v>
      </c>
      <c r="D47" s="123">
        <f t="shared" si="12"/>
        <v>8.7219999999999995</v>
      </c>
      <c r="E47" s="139">
        <f t="shared" si="2"/>
        <v>1.0791817993276517E-2</v>
      </c>
      <c r="F47" s="18">
        <f t="shared" si="3"/>
        <v>8.0759277195956176E-3</v>
      </c>
      <c r="G47" s="16">
        <f t="shared" si="4"/>
        <v>8.273509592034968E-3</v>
      </c>
      <c r="H47" s="172" t="s">
        <v>1011</v>
      </c>
    </row>
    <row r="48" spans="1:8">
      <c r="A48" s="57" t="s">
        <v>145</v>
      </c>
      <c r="B48" s="151">
        <f>C15</f>
        <v>8.3000000000000007</v>
      </c>
      <c r="C48" s="121">
        <f t="shared" ref="C48:D48" si="13">D15</f>
        <v>8</v>
      </c>
      <c r="D48" s="123">
        <f t="shared" si="13"/>
        <v>7.8</v>
      </c>
      <c r="E48" s="139">
        <f t="shared" si="2"/>
        <v>8.5783325788534818E-3</v>
      </c>
      <c r="F48" s="18">
        <f t="shared" si="3"/>
        <v>7.5670440099279623E-3</v>
      </c>
      <c r="G48" s="16">
        <f t="shared" si="4"/>
        <v>7.3989193783389985E-3</v>
      </c>
      <c r="H48" s="172" t="s">
        <v>1012</v>
      </c>
    </row>
    <row r="49" spans="1:8">
      <c r="A49" s="57" t="s">
        <v>146</v>
      </c>
      <c r="B49" s="151">
        <f>1/3*B16+2/3*C16</f>
        <v>7.2759999999999998</v>
      </c>
      <c r="C49" s="121">
        <f t="shared" ref="C49:D49" si="14">1/3*C16+2/3*D16</f>
        <v>6.1466666666666665</v>
      </c>
      <c r="D49" s="123">
        <f t="shared" si="14"/>
        <v>5.9506666666666659</v>
      </c>
      <c r="E49" s="139">
        <f t="shared" si="2"/>
        <v>7.5199937161130031E-3</v>
      </c>
      <c r="F49" s="18">
        <f t="shared" si="3"/>
        <v>5.814012147627984E-3</v>
      </c>
      <c r="G49" s="16">
        <f t="shared" si="4"/>
        <v>5.6446798607738373E-3</v>
      </c>
      <c r="H49" s="172" t="s">
        <v>1013</v>
      </c>
    </row>
    <row r="50" spans="1:8">
      <c r="A50" s="57" t="s">
        <v>149</v>
      </c>
      <c r="B50" s="151">
        <f>C17</f>
        <v>58.01</v>
      </c>
      <c r="C50" s="121">
        <f t="shared" ref="C50:D50" si="15">D17</f>
        <v>49.604999999999997</v>
      </c>
      <c r="D50" s="123">
        <f t="shared" si="15"/>
        <v>51.500999999999998</v>
      </c>
      <c r="E50" s="139">
        <f t="shared" si="2"/>
        <v>5.9955309987866315E-2</v>
      </c>
      <c r="F50" s="18">
        <f t="shared" si="3"/>
        <v>4.6920402264059573E-2</v>
      </c>
      <c r="G50" s="16">
        <f t="shared" si="4"/>
        <v>4.8852788064594456E-2</v>
      </c>
      <c r="H50" s="172" t="s">
        <v>1014</v>
      </c>
    </row>
    <row r="51" spans="1:8">
      <c r="A51" s="57" t="s">
        <v>147</v>
      </c>
      <c r="B51" s="151">
        <f>1/3*B18+2/3*C18</f>
        <v>6.6209999999999996</v>
      </c>
      <c r="C51" s="121">
        <f t="shared" ref="C51:D51" si="16">1/3*C18+2/3*D18</f>
        <v>6.1013333333333328</v>
      </c>
      <c r="D51" s="123">
        <f t="shared" si="16"/>
        <v>5.9036666666666662</v>
      </c>
      <c r="E51" s="139">
        <f t="shared" si="2"/>
        <v>6.8430289162155298E-3</v>
      </c>
      <c r="F51" s="18">
        <f t="shared" si="3"/>
        <v>5.7711322315717253E-3</v>
      </c>
      <c r="G51" s="16">
        <f t="shared" si="4"/>
        <v>5.6000966286223076E-3</v>
      </c>
      <c r="H51" s="172" t="s">
        <v>1015</v>
      </c>
    </row>
    <row r="52" spans="1:8">
      <c r="A52" s="57" t="s">
        <v>148</v>
      </c>
      <c r="B52" s="151">
        <f>(109-19)/109*C19*M3</f>
        <v>10.042652972477063</v>
      </c>
      <c r="C52" s="121">
        <f>(19/109*C19+(84-12)/84*D19)*N3</f>
        <v>10.527477824115335</v>
      </c>
      <c r="D52" s="123">
        <f>(12/84*D19+E19)*O3</f>
        <v>10.85933794285714</v>
      </c>
      <c r="E52" s="139">
        <f t="shared" si="2"/>
        <v>1.0379423755652982E-2</v>
      </c>
      <c r="F52" s="18">
        <f t="shared" si="3"/>
        <v>9.9577360010776762E-3</v>
      </c>
      <c r="G52" s="16">
        <f t="shared" si="4"/>
        <v>1.0300944351453544E-2</v>
      </c>
      <c r="H52" s="172" t="s">
        <v>1016</v>
      </c>
    </row>
    <row r="53" spans="1:8">
      <c r="A53" s="57" t="s">
        <v>150</v>
      </c>
      <c r="B53" s="151">
        <f>2/3*B20+1/3*C20</f>
        <v>6.7811396666666663</v>
      </c>
      <c r="C53" s="121">
        <f t="shared" ref="C53:D53" si="17">2/3*C20+1/3*D20</f>
        <v>6.986632666666666</v>
      </c>
      <c r="D53" s="123">
        <f t="shared" si="17"/>
        <v>7.8279119999999995</v>
      </c>
      <c r="E53" s="139">
        <f t="shared" si="2"/>
        <v>7.0085387137737709E-3</v>
      </c>
      <c r="F53" s="18">
        <f t="shared" si="3"/>
        <v>6.6085196087333781E-3</v>
      </c>
      <c r="G53" s="16">
        <f t="shared" si="4"/>
        <v>7.425396126760562E-3</v>
      </c>
      <c r="H53" s="172" t="s">
        <v>1017</v>
      </c>
    </row>
    <row r="54" spans="1:8">
      <c r="A54" s="57" t="s">
        <v>151</v>
      </c>
      <c r="B54" s="151">
        <f>1/3*B21+2/3*C21</f>
        <v>7.3450756666666663</v>
      </c>
      <c r="C54" s="121">
        <f t="shared" ref="C54:D54" si="18">1/3*C21+2/3*D21</f>
        <v>7.1976996666666659</v>
      </c>
      <c r="D54" s="123">
        <f t="shared" si="18"/>
        <v>7.6235736666666662</v>
      </c>
      <c r="E54" s="139">
        <f t="shared" si="2"/>
        <v>7.5913857693386284E-3</v>
      </c>
      <c r="F54" s="18">
        <f t="shared" si="3"/>
        <v>6.8081637684888107E-3</v>
      </c>
      <c r="G54" s="16">
        <f t="shared" si="4"/>
        <v>7.2315649916019093E-3</v>
      </c>
      <c r="H54" s="172" t="s">
        <v>1018</v>
      </c>
    </row>
    <row r="55" spans="1:8">
      <c r="A55" s="57" t="s">
        <v>379</v>
      </c>
      <c r="B55" s="151">
        <f>1/3*B24+2/3*C24</f>
        <v>4.8609999999999998</v>
      </c>
      <c r="C55" s="121">
        <f t="shared" ref="C55:D55" si="19">1/3*C24+2/3*D24</f>
        <v>4.2190000000000003</v>
      </c>
      <c r="D55" s="123">
        <f t="shared" si="19"/>
        <v>4.3736666666666668</v>
      </c>
      <c r="E55" s="139">
        <f t="shared" si="2"/>
        <v>5.0240089958803339E-3</v>
      </c>
      <c r="F55" s="18">
        <f t="shared" si="3"/>
        <v>3.9906698347357593E-3</v>
      </c>
      <c r="G55" s="16">
        <f t="shared" si="4"/>
        <v>4.1487701351788893E-3</v>
      </c>
      <c r="H55" s="172" t="s">
        <v>1019</v>
      </c>
    </row>
    <row r="56" spans="1:8">
      <c r="A56" s="57" t="s">
        <v>383</v>
      </c>
      <c r="B56" s="151">
        <f>1/3*B27+2/3*C27</f>
        <v>4.9254676666666661</v>
      </c>
      <c r="C56" s="152">
        <f t="shared" ref="C56:D56" si="20">1/3*C27+2/3*D27</f>
        <v>5.0368266666666663</v>
      </c>
      <c r="D56" s="123">
        <f t="shared" si="20"/>
        <v>5.0766666666666662</v>
      </c>
      <c r="E56" s="139">
        <f t="shared" si="2"/>
        <v>5.0906385242236269E-3</v>
      </c>
      <c r="F56" s="18">
        <f t="shared" si="3"/>
        <v>4.7642361321306777E-3</v>
      </c>
      <c r="G56" s="16">
        <f t="shared" si="4"/>
        <v>4.8156214586368776E-3</v>
      </c>
      <c r="H56" s="172" t="s">
        <v>1020</v>
      </c>
    </row>
    <row r="57" spans="1:8">
      <c r="A57" s="107" t="s">
        <v>826</v>
      </c>
      <c r="B57" s="153">
        <f>B59-SUM(B36:B56)</f>
        <v>519.32376402752288</v>
      </c>
      <c r="C57" s="122">
        <f t="shared" ref="C57:D57" si="21">C59-SUM(C36:C56)</f>
        <v>619.84899650921784</v>
      </c>
      <c r="D57" s="124">
        <f t="shared" si="21"/>
        <v>612.68574305714299</v>
      </c>
      <c r="E57" s="19">
        <f t="shared" si="2"/>
        <v>0.5367387908349539</v>
      </c>
      <c r="F57" s="19">
        <f t="shared" si="3"/>
        <v>0.58630307951186689</v>
      </c>
      <c r="G57" s="17">
        <f t="shared" si="4"/>
        <v>0.58118107912019534</v>
      </c>
      <c r="H57" s="173"/>
    </row>
    <row r="58" spans="1:8">
      <c r="A58" s="210"/>
    </row>
    <row r="59" spans="1:8">
      <c r="A59" t="s">
        <v>1090</v>
      </c>
      <c r="B59" s="248">
        <v>967.55399999999997</v>
      </c>
      <c r="C59" s="248">
        <v>1057.2159999999999</v>
      </c>
      <c r="D59" s="248">
        <v>1054.2080000000001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N8"/>
  <sheetViews>
    <sheetView workbookViewId="0">
      <selection activeCell="F27" sqref="F27"/>
    </sheetView>
  </sheetViews>
  <sheetFormatPr defaultColWidth="11.19921875" defaultRowHeight="15.6"/>
  <cols>
    <col min="1" max="1" width="23.19921875" customWidth="1"/>
    <col min="14" max="14" width="51.296875" bestFit="1" customWidth="1"/>
  </cols>
  <sheetData>
    <row r="1" spans="1:14" ht="17.399999999999999">
      <c r="A1" s="55" t="s">
        <v>554</v>
      </c>
      <c r="B1" s="66" t="s">
        <v>812</v>
      </c>
      <c r="C1" s="67"/>
      <c r="D1" s="55"/>
      <c r="E1" s="60" t="s">
        <v>815</v>
      </c>
      <c r="F1" s="68"/>
      <c r="G1" s="69"/>
      <c r="H1" s="60" t="s">
        <v>813</v>
      </c>
      <c r="I1" s="68"/>
      <c r="J1" s="69"/>
      <c r="K1" s="60" t="s">
        <v>816</v>
      </c>
      <c r="L1" s="60"/>
      <c r="M1" s="55"/>
      <c r="N1" s="149" t="s">
        <v>920</v>
      </c>
    </row>
    <row r="2" spans="1:14">
      <c r="A2" s="56"/>
      <c r="B2" s="61" t="s">
        <v>749</v>
      </c>
      <c r="C2" s="61" t="s">
        <v>750</v>
      </c>
      <c r="D2" s="56" t="s">
        <v>751</v>
      </c>
      <c r="E2" s="61" t="s">
        <v>749</v>
      </c>
      <c r="F2" s="61" t="s">
        <v>750</v>
      </c>
      <c r="G2" s="56" t="s">
        <v>751</v>
      </c>
      <c r="H2" s="61" t="s">
        <v>749</v>
      </c>
      <c r="I2" s="61" t="s">
        <v>750</v>
      </c>
      <c r="J2" s="56" t="s">
        <v>751</v>
      </c>
      <c r="K2" s="62" t="s">
        <v>749</v>
      </c>
      <c r="L2" s="61" t="s">
        <v>750</v>
      </c>
      <c r="M2" s="56" t="s">
        <v>751</v>
      </c>
      <c r="N2" s="150" t="s">
        <v>924</v>
      </c>
    </row>
    <row r="3" spans="1:14">
      <c r="A3" s="57" t="s">
        <v>267</v>
      </c>
      <c r="B3">
        <v>1097</v>
      </c>
      <c r="C3">
        <v>1214</v>
      </c>
      <c r="D3" s="12">
        <v>1181</v>
      </c>
      <c r="E3">
        <v>1.1268</v>
      </c>
      <c r="F3">
        <v>1.1063000000000001</v>
      </c>
      <c r="G3" s="12">
        <v>1.1123000000000001</v>
      </c>
      <c r="H3">
        <f t="shared" ref="H3:J4" si="0">B3*E3</f>
        <v>1236.0996</v>
      </c>
      <c r="I3">
        <f t="shared" si="0"/>
        <v>1343.0482000000002</v>
      </c>
      <c r="J3" s="11">
        <f t="shared" si="0"/>
        <v>1313.6263000000001</v>
      </c>
      <c r="K3" s="39">
        <f>H3/H$6</f>
        <v>0.39420343136004282</v>
      </c>
      <c r="L3" s="39">
        <f t="shared" ref="L3:M6" si="1">I3/I$6</f>
        <v>0.43036923714455033</v>
      </c>
      <c r="M3" s="16">
        <f t="shared" si="1"/>
        <v>0.40861374496735653</v>
      </c>
      <c r="N3" s="172" t="s">
        <v>1021</v>
      </c>
    </row>
    <row r="4" spans="1:14">
      <c r="A4" s="57" t="s">
        <v>268</v>
      </c>
      <c r="B4">
        <f>(544.6-163.6-116.8-116.9)*10^3</f>
        <v>147299.99999999997</v>
      </c>
      <c r="C4">
        <v>130200</v>
      </c>
      <c r="D4" s="12">
        <v>138700</v>
      </c>
      <c r="E4" s="4">
        <f>0.0083</f>
        <v>8.3000000000000001E-3</v>
      </c>
      <c r="F4" s="4">
        <v>8.2000000000000007E-3</v>
      </c>
      <c r="G4" s="70">
        <v>8.3000000000000001E-3</v>
      </c>
      <c r="H4">
        <f t="shared" si="0"/>
        <v>1222.5899999999997</v>
      </c>
      <c r="I4">
        <f t="shared" si="0"/>
        <v>1067.6400000000001</v>
      </c>
      <c r="J4" s="12">
        <f t="shared" si="0"/>
        <v>1151.21</v>
      </c>
      <c r="K4" s="39">
        <f>H4/H$6</f>
        <v>0.38989509675957718</v>
      </c>
      <c r="L4" s="39">
        <f t="shared" si="1"/>
        <v>0.34211684461139052</v>
      </c>
      <c r="M4" s="16">
        <f t="shared" si="1"/>
        <v>0.35809288329859906</v>
      </c>
      <c r="N4" s="172" t="s">
        <v>1022</v>
      </c>
    </row>
    <row r="5" spans="1:14">
      <c r="A5" s="58" t="s">
        <v>269</v>
      </c>
      <c r="B5" s="14">
        <v>677</v>
      </c>
      <c r="C5" s="14">
        <v>710</v>
      </c>
      <c r="D5" s="106">
        <v>750</v>
      </c>
      <c r="E5" s="71"/>
      <c r="F5" s="71"/>
      <c r="G5" s="72"/>
      <c r="H5" s="14">
        <f>B5</f>
        <v>677</v>
      </c>
      <c r="I5" s="14">
        <f>C5</f>
        <v>710</v>
      </c>
      <c r="J5" s="15">
        <f>D5</f>
        <v>750</v>
      </c>
      <c r="K5" s="40">
        <f>H5/H$6</f>
        <v>0.21590147188038003</v>
      </c>
      <c r="L5" s="19">
        <f t="shared" si="1"/>
        <v>0.22751391824405909</v>
      </c>
      <c r="M5" s="17">
        <f t="shared" si="1"/>
        <v>0.23329337173404444</v>
      </c>
      <c r="N5" s="173" t="s">
        <v>1023</v>
      </c>
    </row>
    <row r="6" spans="1:14">
      <c r="A6" s="64" t="s">
        <v>818</v>
      </c>
      <c r="B6" s="75"/>
      <c r="C6" s="76"/>
      <c r="D6" s="77"/>
      <c r="E6" s="76"/>
      <c r="F6" s="76"/>
      <c r="G6" s="76"/>
      <c r="H6" s="74">
        <f>SUM(H3:H5)</f>
        <v>3135.6895999999997</v>
      </c>
      <c r="I6" s="65">
        <f>SUM(I3:I5)</f>
        <v>3120.6882000000005</v>
      </c>
      <c r="J6" s="53">
        <f>SUM(J3:J5)</f>
        <v>3214.8362999999999</v>
      </c>
      <c r="K6" s="54">
        <f>H6/H$6</f>
        <v>1</v>
      </c>
      <c r="L6" s="45">
        <f t="shared" si="1"/>
        <v>1</v>
      </c>
      <c r="M6" s="46">
        <f t="shared" si="1"/>
        <v>1</v>
      </c>
    </row>
    <row r="7" spans="1:14">
      <c r="B7" s="13" t="s">
        <v>814</v>
      </c>
    </row>
    <row r="8" spans="1:14">
      <c r="B8" s="13" t="s">
        <v>817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H10"/>
  <sheetViews>
    <sheetView workbookViewId="0">
      <selection activeCell="H15" sqref="H15"/>
    </sheetView>
  </sheetViews>
  <sheetFormatPr defaultColWidth="11.19921875" defaultRowHeight="15.6"/>
  <cols>
    <col min="1" max="1" width="19" bestFit="1" customWidth="1"/>
    <col min="8" max="8" width="18.19921875" bestFit="1" customWidth="1"/>
  </cols>
  <sheetData>
    <row r="1" spans="1:8">
      <c r="A1" s="55" t="s">
        <v>555</v>
      </c>
      <c r="B1" s="60" t="s">
        <v>842</v>
      </c>
      <c r="C1" s="60"/>
      <c r="D1" s="55"/>
      <c r="E1" s="60" t="s">
        <v>781</v>
      </c>
      <c r="F1" s="60"/>
      <c r="G1" s="55"/>
      <c r="H1" s="143" t="s">
        <v>920</v>
      </c>
    </row>
    <row r="2" spans="1:8">
      <c r="A2" s="56"/>
      <c r="B2" s="61" t="s">
        <v>749</v>
      </c>
      <c r="C2" s="61" t="s">
        <v>750</v>
      </c>
      <c r="D2" s="56" t="s">
        <v>751</v>
      </c>
      <c r="E2" s="62" t="s">
        <v>749</v>
      </c>
      <c r="F2" s="61" t="s">
        <v>750</v>
      </c>
      <c r="G2" s="56" t="s">
        <v>751</v>
      </c>
      <c r="H2" s="150" t="s">
        <v>924</v>
      </c>
    </row>
    <row r="3" spans="1:8">
      <c r="A3" s="73" t="s">
        <v>246</v>
      </c>
      <c r="B3" s="86">
        <v>67618</v>
      </c>
      <c r="C3" s="86">
        <v>74113</v>
      </c>
      <c r="D3" s="87">
        <v>67344</v>
      </c>
      <c r="E3" s="39">
        <f>B3/SUM(B$3:B$10)</f>
        <v>0.56149237495380966</v>
      </c>
      <c r="F3" s="39">
        <f t="shared" ref="F3:G3" si="0">C3/SUM(C$3:C$10)</f>
        <v>0.55173692199689262</v>
      </c>
      <c r="G3" s="39">
        <f t="shared" si="0"/>
        <v>0.56605200913833076</v>
      </c>
      <c r="H3" s="172" t="s">
        <v>1024</v>
      </c>
    </row>
    <row r="4" spans="1:8">
      <c r="A4" s="57" t="s">
        <v>247</v>
      </c>
      <c r="B4" s="86">
        <v>34558</v>
      </c>
      <c r="C4" s="86">
        <v>40357</v>
      </c>
      <c r="D4" s="87">
        <v>34315</v>
      </c>
      <c r="E4" s="39">
        <f t="shared" ref="E4:E10" si="1">B4/SUM(B$3:B$10)</f>
        <v>0.28696580043263265</v>
      </c>
      <c r="F4" s="39">
        <f t="shared" ref="F4:F10" si="2">C4/SUM(C$3:C$10)</f>
        <v>0.30043915319888004</v>
      </c>
      <c r="G4" s="16">
        <f t="shared" ref="G4:G10" si="3">D4/SUM(D$3:D$10)</f>
        <v>0.28843066484886287</v>
      </c>
      <c r="H4" s="172" t="s">
        <v>1025</v>
      </c>
    </row>
    <row r="5" spans="1:8">
      <c r="A5" s="57" t="s">
        <v>248</v>
      </c>
      <c r="B5" s="86">
        <v>7716</v>
      </c>
      <c r="C5" s="86">
        <v>8293</v>
      </c>
      <c r="D5" s="87">
        <v>7262</v>
      </c>
      <c r="E5" s="39">
        <f t="shared" si="1"/>
        <v>6.4072808499860912E-2</v>
      </c>
      <c r="F5" s="39">
        <f t="shared" si="2"/>
        <v>6.1737539893409125E-2</v>
      </c>
      <c r="G5" s="16">
        <f t="shared" si="3"/>
        <v>6.1039880172881887E-2</v>
      </c>
      <c r="H5" s="172" t="s">
        <v>1026</v>
      </c>
    </row>
    <row r="6" spans="1:8">
      <c r="A6" s="57" t="s">
        <v>249</v>
      </c>
      <c r="B6" s="86">
        <v>3089</v>
      </c>
      <c r="C6" s="86">
        <v>3469</v>
      </c>
      <c r="D6" s="87">
        <v>3116</v>
      </c>
      <c r="E6" s="39">
        <f t="shared" si="1"/>
        <v>2.5650713511673192E-2</v>
      </c>
      <c r="F6" s="39">
        <f t="shared" si="2"/>
        <v>2.5825096574247707E-2</v>
      </c>
      <c r="G6" s="16">
        <f t="shared" si="3"/>
        <v>2.6191168633806109E-2</v>
      </c>
      <c r="H6" s="172" t="s">
        <v>1027</v>
      </c>
    </row>
    <row r="7" spans="1:8">
      <c r="A7" s="57" t="s">
        <v>250</v>
      </c>
      <c r="B7" s="86">
        <v>2318.5</v>
      </c>
      <c r="C7" s="86">
        <v>2469.6999999999998</v>
      </c>
      <c r="D7" s="87">
        <v>2172.4</v>
      </c>
      <c r="E7" s="39">
        <f t="shared" si="1"/>
        <v>1.9252566939726219E-2</v>
      </c>
      <c r="F7" s="39">
        <f t="shared" si="2"/>
        <v>1.8385771406578138E-2</v>
      </c>
      <c r="G7" s="16">
        <f t="shared" si="3"/>
        <v>1.8259850686803719E-2</v>
      </c>
      <c r="H7" s="172" t="s">
        <v>1028</v>
      </c>
    </row>
    <row r="8" spans="1:8">
      <c r="A8" s="57" t="s">
        <v>251</v>
      </c>
      <c r="B8" s="86">
        <v>987</v>
      </c>
      <c r="C8" s="86">
        <v>1012</v>
      </c>
      <c r="D8" s="87">
        <v>1578</v>
      </c>
      <c r="E8" s="39">
        <f t="shared" si="1"/>
        <v>8.1959385678282426E-3</v>
      </c>
      <c r="F8" s="39">
        <f t="shared" si="2"/>
        <v>7.5338707792270629E-3</v>
      </c>
      <c r="G8" s="16">
        <f t="shared" si="3"/>
        <v>1.3263691946131593E-2</v>
      </c>
      <c r="H8" s="172" t="s">
        <v>1029</v>
      </c>
    </row>
    <row r="9" spans="1:8">
      <c r="A9" s="57" t="s">
        <v>252</v>
      </c>
      <c r="B9" s="86">
        <v>2321</v>
      </c>
      <c r="C9" s="86">
        <v>2636</v>
      </c>
      <c r="D9" s="87">
        <v>1688</v>
      </c>
      <c r="E9" s="39">
        <f t="shared" si="1"/>
        <v>1.9273326662542403E-2</v>
      </c>
      <c r="F9" s="39">
        <f t="shared" si="2"/>
        <v>1.9623797800437291E-2</v>
      </c>
      <c r="G9" s="16">
        <f t="shared" si="3"/>
        <v>1.4188283906888546E-2</v>
      </c>
      <c r="H9" s="172" t="s">
        <v>1030</v>
      </c>
    </row>
    <row r="10" spans="1:8">
      <c r="A10" s="58" t="s">
        <v>253</v>
      </c>
      <c r="B10" s="245">
        <v>1818</v>
      </c>
      <c r="C10" s="246">
        <v>1977</v>
      </c>
      <c r="D10" s="247">
        <v>1496</v>
      </c>
      <c r="E10" s="134">
        <f t="shared" si="1"/>
        <v>1.5096470431926794E-2</v>
      </c>
      <c r="F10" s="134">
        <f t="shared" si="2"/>
        <v>1.4717848350327968E-2</v>
      </c>
      <c r="G10" s="135">
        <f t="shared" si="3"/>
        <v>1.257445066629459E-2</v>
      </c>
      <c r="H10" s="173" t="s">
        <v>1031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J28"/>
  <sheetViews>
    <sheetView topLeftCell="A17" workbookViewId="0">
      <selection activeCell="A30" sqref="A30"/>
    </sheetView>
  </sheetViews>
  <sheetFormatPr defaultColWidth="11.19921875" defaultRowHeight="15.6"/>
  <cols>
    <col min="1" max="1" width="19" bestFit="1" customWidth="1"/>
    <col min="8" max="8" width="32" bestFit="1" customWidth="1"/>
    <col min="9" max="9" width="22.5" bestFit="1" customWidth="1"/>
  </cols>
  <sheetData>
    <row r="1" spans="1:10" hidden="1"/>
    <row r="2" spans="1:10" hidden="1">
      <c r="A2" s="89" t="s">
        <v>10</v>
      </c>
      <c r="B2" s="90" t="s">
        <v>824</v>
      </c>
      <c r="C2" s="90"/>
      <c r="D2" s="93"/>
      <c r="E2" s="90" t="s">
        <v>821</v>
      </c>
      <c r="F2" s="90"/>
      <c r="G2" s="93"/>
      <c r="H2" s="1" t="s">
        <v>781</v>
      </c>
    </row>
    <row r="3" spans="1:10" hidden="1">
      <c r="A3" s="91"/>
      <c r="B3" s="92" t="s">
        <v>749</v>
      </c>
      <c r="C3" s="92" t="s">
        <v>750</v>
      </c>
      <c r="D3" s="94" t="s">
        <v>751</v>
      </c>
      <c r="E3" s="92" t="s">
        <v>749</v>
      </c>
      <c r="F3" s="92" t="s">
        <v>750</v>
      </c>
      <c r="G3" s="94" t="s">
        <v>751</v>
      </c>
      <c r="H3" s="96" t="s">
        <v>749</v>
      </c>
      <c r="I3" s="97" t="s">
        <v>750</v>
      </c>
      <c r="J3" s="97" t="s">
        <v>751</v>
      </c>
    </row>
    <row r="4" spans="1:10" hidden="1">
      <c r="A4" s="89" t="s">
        <v>14</v>
      </c>
      <c r="B4" s="28">
        <f>61170/1000</f>
        <v>61.17</v>
      </c>
      <c r="C4" s="28">
        <f>47534/1000</f>
        <v>47.533999999999999</v>
      </c>
      <c r="D4" s="27">
        <f>48046/1000</f>
        <v>48.045999999999999</v>
      </c>
      <c r="E4" s="95">
        <v>40282</v>
      </c>
      <c r="F4">
        <v>31368</v>
      </c>
      <c r="G4" s="12">
        <v>32209</v>
      </c>
      <c r="J4">
        <v>0.13600000000000001</v>
      </c>
    </row>
    <row r="5" spans="1:10" hidden="1">
      <c r="A5" s="89" t="s">
        <v>15</v>
      </c>
      <c r="D5" s="12"/>
      <c r="E5">
        <f>(1323.3-429-308.4-314.3)*10^3*0.0083</f>
        <v>2254.2799999999997</v>
      </c>
      <c r="F5">
        <v>2299</v>
      </c>
      <c r="G5" s="12">
        <v>2327</v>
      </c>
    </row>
    <row r="6" spans="1:10" hidden="1">
      <c r="A6" s="89" t="s">
        <v>16</v>
      </c>
      <c r="D6" s="12"/>
      <c r="G6" s="12"/>
    </row>
    <row r="7" spans="1:10" hidden="1">
      <c r="A7" s="89" t="s">
        <v>17</v>
      </c>
      <c r="B7">
        <v>81.123000000000005</v>
      </c>
      <c r="C7">
        <v>72.072500000000005</v>
      </c>
      <c r="D7" s="12">
        <v>83.568700000000007</v>
      </c>
      <c r="G7" s="12"/>
      <c r="J7">
        <v>0.23699999999999999</v>
      </c>
    </row>
    <row r="8" spans="1:10" hidden="1">
      <c r="A8" s="89" t="s">
        <v>402</v>
      </c>
      <c r="D8" s="12"/>
      <c r="E8">
        <v>658</v>
      </c>
      <c r="F8">
        <v>490</v>
      </c>
      <c r="G8" s="12"/>
    </row>
    <row r="9" spans="1:10" hidden="1">
      <c r="A9" s="89" t="s">
        <v>27</v>
      </c>
      <c r="B9">
        <v>15.428000000000001</v>
      </c>
      <c r="D9" s="12"/>
      <c r="E9">
        <v>3596.5</v>
      </c>
      <c r="F9">
        <v>3648.4</v>
      </c>
      <c r="G9" s="12">
        <v>3377.4</v>
      </c>
    </row>
    <row r="10" spans="1:10" hidden="1">
      <c r="A10" s="89" t="s">
        <v>822</v>
      </c>
      <c r="B10">
        <v>18.888000000000002</v>
      </c>
      <c r="C10">
        <v>16.405899999999999</v>
      </c>
      <c r="D10" s="12">
        <v>18.8</v>
      </c>
      <c r="E10">
        <f>2.8*10^3</f>
        <v>2800</v>
      </c>
      <c r="F10">
        <f>2.1*10^3</f>
        <v>2100</v>
      </c>
      <c r="G10" s="12">
        <f>2.7*10^3</f>
        <v>2700</v>
      </c>
    </row>
    <row r="11" spans="1:10" hidden="1">
      <c r="A11" s="89" t="s">
        <v>168</v>
      </c>
      <c r="D11" s="12"/>
      <c r="G11" s="12"/>
    </row>
    <row r="12" spans="1:10" hidden="1">
      <c r="A12" s="89" t="s">
        <v>169</v>
      </c>
      <c r="B12">
        <v>18.102</v>
      </c>
      <c r="C12">
        <v>25.825800000000001</v>
      </c>
      <c r="D12" s="12">
        <v>27.2623</v>
      </c>
      <c r="G12" s="12"/>
      <c r="J12">
        <v>7.4999999999999997E-2</v>
      </c>
    </row>
    <row r="13" spans="1:10" hidden="1">
      <c r="A13" s="89" t="s">
        <v>170</v>
      </c>
      <c r="D13" s="12"/>
      <c r="G13" s="12"/>
    </row>
    <row r="14" spans="1:10" hidden="1">
      <c r="A14" s="89" t="s">
        <v>171</v>
      </c>
      <c r="C14">
        <v>16.064900000000002</v>
      </c>
      <c r="D14" s="12">
        <v>17.197199999999999</v>
      </c>
      <c r="G14" s="12"/>
      <c r="J14">
        <v>0.05</v>
      </c>
    </row>
    <row r="15" spans="1:10" hidden="1">
      <c r="A15" s="89" t="s">
        <v>172</v>
      </c>
      <c r="B15">
        <v>7.8</v>
      </c>
      <c r="D15" s="12"/>
      <c r="E15">
        <f>1.8*10^3</f>
        <v>1800</v>
      </c>
      <c r="F15">
        <f>1.2*10^3</f>
        <v>1200</v>
      </c>
      <c r="G15" s="12">
        <f>1.4*10^3</f>
        <v>1400</v>
      </c>
    </row>
    <row r="16" spans="1:10" hidden="1">
      <c r="A16" s="89" t="s">
        <v>245</v>
      </c>
      <c r="D16" s="12"/>
      <c r="G16" s="12"/>
    </row>
    <row r="18" spans="1:10">
      <c r="A18" s="140" t="s">
        <v>823</v>
      </c>
      <c r="B18" s="113" t="s">
        <v>824</v>
      </c>
      <c r="C18" s="137"/>
      <c r="D18" s="138"/>
      <c r="E18" s="113" t="s">
        <v>781</v>
      </c>
      <c r="F18" s="113"/>
      <c r="G18" s="114"/>
      <c r="H18" s="112" t="s">
        <v>920</v>
      </c>
      <c r="I18" s="138"/>
    </row>
    <row r="19" spans="1:10">
      <c r="A19" s="146"/>
      <c r="B19" s="61" t="s">
        <v>749</v>
      </c>
      <c r="C19" s="61" t="s">
        <v>750</v>
      </c>
      <c r="D19" s="56" t="s">
        <v>751</v>
      </c>
      <c r="E19" s="61" t="s">
        <v>749</v>
      </c>
      <c r="F19" s="61" t="s">
        <v>750</v>
      </c>
      <c r="G19" s="56" t="s">
        <v>751</v>
      </c>
      <c r="H19" s="62" t="s">
        <v>924</v>
      </c>
      <c r="I19" s="56" t="s">
        <v>921</v>
      </c>
      <c r="J19" s="23"/>
    </row>
    <row r="20" spans="1:10">
      <c r="A20" s="140" t="s">
        <v>17</v>
      </c>
      <c r="B20" s="141">
        <v>97.986000000000004</v>
      </c>
      <c r="C20" s="141">
        <v>88.739000000000004</v>
      </c>
      <c r="D20" s="142">
        <v>102.063</v>
      </c>
      <c r="E20" s="129">
        <f t="shared" ref="E20:E28" si="0">B20/SUM($B$20:$B$28)</f>
        <v>0.212892296521386</v>
      </c>
      <c r="F20" s="129">
        <f t="shared" ref="F20:F28" si="1">C20/SUM($C$20:$C$28)</f>
        <v>0.19907407303547861</v>
      </c>
      <c r="G20" s="41">
        <f t="shared" ref="G20:G28" si="2">D20/SUM($D$20:$D$28)</f>
        <v>0.21356600169366297</v>
      </c>
      <c r="H20" s="6" t="s">
        <v>1036</v>
      </c>
      <c r="I20" s="12" t="s">
        <v>1038</v>
      </c>
    </row>
    <row r="21" spans="1:10">
      <c r="A21" s="143" t="s">
        <v>14</v>
      </c>
      <c r="B21" s="29">
        <v>60.177</v>
      </c>
      <c r="C21" s="29">
        <v>48.085999999999999</v>
      </c>
      <c r="D21" s="27">
        <v>46.061999999999998</v>
      </c>
      <c r="E21" s="18">
        <f t="shared" si="0"/>
        <v>0.13074540983168459</v>
      </c>
      <c r="F21" s="18">
        <f t="shared" si="1"/>
        <v>0.10787450699223593</v>
      </c>
      <c r="G21" s="16">
        <f t="shared" si="2"/>
        <v>9.6384362305767052E-2</v>
      </c>
      <c r="H21" s="6" t="s">
        <v>1032</v>
      </c>
      <c r="I21" s="12" t="s">
        <v>1039</v>
      </c>
    </row>
    <row r="22" spans="1:10">
      <c r="A22" s="144" t="s">
        <v>33</v>
      </c>
      <c r="B22" s="29">
        <v>33.002000000000002</v>
      </c>
      <c r="C22" s="29">
        <v>27.69</v>
      </c>
      <c r="D22" s="27">
        <v>30.291</v>
      </c>
      <c r="E22" s="18">
        <f t="shared" si="0"/>
        <v>7.170281029737699E-2</v>
      </c>
      <c r="F22" s="18">
        <f t="shared" si="1"/>
        <v>6.2118810019860519E-2</v>
      </c>
      <c r="G22" s="16">
        <f t="shared" si="2"/>
        <v>6.3383672411184713E-2</v>
      </c>
      <c r="H22" s="6" t="s">
        <v>1043</v>
      </c>
      <c r="I22" s="12" t="s">
        <v>1040</v>
      </c>
    </row>
    <row r="23" spans="1:10">
      <c r="A23" s="143" t="s">
        <v>825</v>
      </c>
      <c r="B23" s="29">
        <v>19.637</v>
      </c>
      <c r="C23" s="29">
        <v>17.622</v>
      </c>
      <c r="D23" s="27">
        <v>18.193999999999999</v>
      </c>
      <c r="E23" s="18">
        <f t="shared" si="0"/>
        <v>4.2664931998351363E-2</v>
      </c>
      <c r="F23" s="18">
        <f t="shared" si="1"/>
        <v>3.9532599139399854E-2</v>
      </c>
      <c r="G23" s="16">
        <f t="shared" si="2"/>
        <v>3.807079778974265E-2</v>
      </c>
      <c r="H23" s="6" t="s">
        <v>1033</v>
      </c>
      <c r="I23" s="12" t="s">
        <v>1041</v>
      </c>
    </row>
    <row r="24" spans="1:10">
      <c r="A24" s="144" t="s">
        <v>167</v>
      </c>
      <c r="B24" s="29">
        <v>19.28</v>
      </c>
      <c r="C24" s="29">
        <v>16.626000000000001</v>
      </c>
      <c r="D24" s="27">
        <v>17.611999999999998</v>
      </c>
      <c r="E24" s="18">
        <f t="shared" si="0"/>
        <v>4.1889284968590637E-2</v>
      </c>
      <c r="F24" s="18">
        <f t="shared" si="1"/>
        <v>3.7298206406291119E-2</v>
      </c>
      <c r="G24" s="16">
        <f t="shared" si="2"/>
        <v>3.6852967498787921E-2</v>
      </c>
      <c r="H24" s="6" t="s">
        <v>1034</v>
      </c>
      <c r="I24" s="12"/>
    </row>
    <row r="25" spans="1:10">
      <c r="A25" s="143" t="s">
        <v>169</v>
      </c>
      <c r="B25" s="29">
        <v>18.59</v>
      </c>
      <c r="C25" s="29">
        <v>26.119</v>
      </c>
      <c r="D25" s="27">
        <v>27.457000000000001</v>
      </c>
      <c r="E25" s="18">
        <f t="shared" si="0"/>
        <v>4.0390135247204355E-2</v>
      </c>
      <c r="F25" s="18">
        <f t="shared" si="1"/>
        <v>5.8594481722959078E-2</v>
      </c>
      <c r="G25" s="16">
        <f t="shared" si="2"/>
        <v>5.7453550341484222E-2</v>
      </c>
      <c r="H25" s="6" t="s">
        <v>1035</v>
      </c>
      <c r="I25" s="12"/>
    </row>
    <row r="26" spans="1:10">
      <c r="A26" s="144" t="s">
        <v>171</v>
      </c>
      <c r="B26" s="29">
        <v>14.74</v>
      </c>
      <c r="C26" s="29">
        <v>16.065000000000001</v>
      </c>
      <c r="D26" s="27">
        <v>17.196999999999999</v>
      </c>
      <c r="E26" s="18">
        <f t="shared" si="0"/>
        <v>3.2025314338020021E-2</v>
      </c>
      <c r="F26" s="18">
        <f t="shared" si="1"/>
        <v>3.6039677969269025E-2</v>
      </c>
      <c r="G26" s="16">
        <f t="shared" si="2"/>
        <v>3.5984583356612303E-2</v>
      </c>
      <c r="H26" s="6" t="s">
        <v>1042</v>
      </c>
      <c r="I26" s="12"/>
    </row>
    <row r="27" spans="1:10">
      <c r="A27" s="143" t="s">
        <v>168</v>
      </c>
      <c r="B27" s="29">
        <v>12.6</v>
      </c>
      <c r="C27" s="29">
        <v>14.56</v>
      </c>
      <c r="D27" s="27">
        <v>13.682</v>
      </c>
      <c r="E27" s="18">
        <f t="shared" si="0"/>
        <v>2.7375777520966909E-2</v>
      </c>
      <c r="F27" s="18">
        <f t="shared" si="1"/>
        <v>3.2663411841429006E-2</v>
      </c>
      <c r="G27" s="16">
        <f t="shared" si="2"/>
        <v>2.8629474296980265E-2</v>
      </c>
      <c r="H27" s="6" t="s">
        <v>1037</v>
      </c>
      <c r="I27" s="12"/>
    </row>
    <row r="28" spans="1:10">
      <c r="A28" s="145" t="s">
        <v>826</v>
      </c>
      <c r="B28" s="136">
        <f>161.9019+8.158+14.189</f>
        <v>184.24889999999999</v>
      </c>
      <c r="C28" s="136">
        <f>164.6347+9.884+15.733</f>
        <v>190.25170000000003</v>
      </c>
      <c r="D28" s="110">
        <f>176.0111+12.165+17.165</f>
        <v>205.34109999999998</v>
      </c>
      <c r="E28" s="19">
        <f t="shared" si="0"/>
        <v>0.40031403927641901</v>
      </c>
      <c r="F28" s="19">
        <f t="shared" si="1"/>
        <v>0.42680423287307689</v>
      </c>
      <c r="G28" s="17">
        <f t="shared" si="2"/>
        <v>0.42967459030577793</v>
      </c>
      <c r="H28" s="20"/>
      <c r="I28"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I17"/>
  <sheetViews>
    <sheetView workbookViewId="0">
      <selection activeCell="H16" sqref="H16"/>
    </sheetView>
  </sheetViews>
  <sheetFormatPr defaultColWidth="11.19921875" defaultRowHeight="15.6"/>
  <cols>
    <col min="1" max="1" width="15" customWidth="1"/>
    <col min="8" max="8" width="40.796875" bestFit="1" customWidth="1"/>
    <col min="9" max="9" width="22.5" bestFit="1" customWidth="1"/>
  </cols>
  <sheetData>
    <row r="1" spans="1:9">
      <c r="A1" s="140" t="s">
        <v>11</v>
      </c>
      <c r="B1" s="113" t="s">
        <v>827</v>
      </c>
      <c r="C1" s="113"/>
      <c r="D1" s="114"/>
      <c r="E1" s="113" t="s">
        <v>781</v>
      </c>
      <c r="F1" s="113"/>
      <c r="G1" s="114"/>
      <c r="H1" s="112" t="s">
        <v>920</v>
      </c>
      <c r="I1" s="138"/>
    </row>
    <row r="2" spans="1:9">
      <c r="A2" s="145"/>
      <c r="B2" s="61" t="s">
        <v>749</v>
      </c>
      <c r="C2" s="61" t="s">
        <v>750</v>
      </c>
      <c r="D2" s="61" t="s">
        <v>751</v>
      </c>
      <c r="E2" s="62" t="s">
        <v>749</v>
      </c>
      <c r="F2" s="61" t="s">
        <v>750</v>
      </c>
      <c r="G2" s="56" t="s">
        <v>751</v>
      </c>
      <c r="H2" s="62" t="s">
        <v>924</v>
      </c>
      <c r="I2" s="56" t="s">
        <v>921</v>
      </c>
    </row>
    <row r="3" spans="1:9">
      <c r="A3" s="144" t="s">
        <v>14</v>
      </c>
      <c r="B3" s="23">
        <v>12.6</v>
      </c>
      <c r="C3" s="23">
        <v>10.9</v>
      </c>
      <c r="D3" s="12">
        <v>9.9</v>
      </c>
      <c r="E3" s="98">
        <f>B3/SUM(B$3:B$9)</f>
        <v>0.26808510638297872</v>
      </c>
      <c r="F3" s="98">
        <f t="shared" ref="F3:G9" si="0">C3/SUM(C$3:C$9)</f>
        <v>0.24439461883408073</v>
      </c>
      <c r="G3" s="84">
        <f t="shared" si="0"/>
        <v>0.20370370370370375</v>
      </c>
      <c r="H3" s="125" t="s">
        <v>1044</v>
      </c>
      <c r="I3" s="12" t="s">
        <v>1050</v>
      </c>
    </row>
    <row r="4" spans="1:9">
      <c r="A4" s="144" t="s">
        <v>17</v>
      </c>
      <c r="B4" s="23">
        <v>9</v>
      </c>
      <c r="C4" s="23">
        <v>7.6</v>
      </c>
      <c r="D4" s="12">
        <v>8</v>
      </c>
      <c r="E4" s="98">
        <f t="shared" ref="E4:E9" si="1">B4/SUM(B$3:B$9)</f>
        <v>0.19148936170212766</v>
      </c>
      <c r="F4" s="98">
        <f t="shared" si="0"/>
        <v>0.17040358744394618</v>
      </c>
      <c r="G4" s="84">
        <f t="shared" si="0"/>
        <v>0.16460905349794241</v>
      </c>
      <c r="H4" s="6" t="s">
        <v>1045</v>
      </c>
      <c r="I4" s="12" t="s">
        <v>1051</v>
      </c>
    </row>
    <row r="5" spans="1:9">
      <c r="A5" s="144" t="s">
        <v>174</v>
      </c>
      <c r="B5" s="23">
        <v>1.8</v>
      </c>
      <c r="C5" s="23"/>
      <c r="D5" s="12">
        <v>1.9</v>
      </c>
      <c r="E5" s="98">
        <f t="shared" si="1"/>
        <v>3.8297872340425532E-2</v>
      </c>
      <c r="F5" s="98"/>
      <c r="G5" s="84">
        <f t="shared" si="0"/>
        <v>3.9094650205761319E-2</v>
      </c>
      <c r="H5" s="6" t="s">
        <v>1046</v>
      </c>
      <c r="I5" s="12"/>
    </row>
    <row r="6" spans="1:9">
      <c r="A6" s="144" t="s">
        <v>167</v>
      </c>
      <c r="B6" s="23">
        <v>2.5</v>
      </c>
      <c r="C6" s="23">
        <v>2.5</v>
      </c>
      <c r="D6" s="12">
        <v>3.1</v>
      </c>
      <c r="E6" s="98">
        <f t="shared" si="1"/>
        <v>5.3191489361702128E-2</v>
      </c>
      <c r="F6" s="98">
        <f t="shared" si="0"/>
        <v>5.605381165919282E-2</v>
      </c>
      <c r="G6" s="84">
        <f t="shared" si="0"/>
        <v>6.378600823045269E-2</v>
      </c>
      <c r="H6" s="6" t="s">
        <v>1047</v>
      </c>
      <c r="I6" s="12"/>
    </row>
    <row r="7" spans="1:9">
      <c r="A7" s="144" t="s">
        <v>27</v>
      </c>
      <c r="B7" s="23">
        <v>1.4</v>
      </c>
      <c r="C7" s="23">
        <v>1.6</v>
      </c>
      <c r="D7" s="12"/>
      <c r="E7" s="98">
        <f t="shared" si="1"/>
        <v>2.9787234042553189E-2</v>
      </c>
      <c r="F7" s="98">
        <f t="shared" si="0"/>
        <v>3.5874439461883408E-2</v>
      </c>
      <c r="G7" s="84"/>
      <c r="H7" s="6" t="s">
        <v>1048</v>
      </c>
      <c r="I7" s="12"/>
    </row>
    <row r="8" spans="1:9">
      <c r="A8" s="144" t="s">
        <v>169</v>
      </c>
      <c r="B8" s="23"/>
      <c r="C8" s="23">
        <v>1.6</v>
      </c>
      <c r="D8" s="12">
        <v>1.8</v>
      </c>
      <c r="E8" s="98"/>
      <c r="F8" s="98">
        <f t="shared" si="0"/>
        <v>3.5874439461883408E-2</v>
      </c>
      <c r="G8" s="84">
        <f t="shared" si="0"/>
        <v>3.7037037037037042E-2</v>
      </c>
      <c r="H8" s="6" t="s">
        <v>1049</v>
      </c>
      <c r="I8" s="12"/>
    </row>
    <row r="9" spans="1:9">
      <c r="A9" s="145" t="s">
        <v>826</v>
      </c>
      <c r="B9" s="14">
        <v>19.7</v>
      </c>
      <c r="C9" s="14">
        <v>20.399999999999999</v>
      </c>
      <c r="D9" s="15">
        <v>23.9</v>
      </c>
      <c r="E9" s="134">
        <f t="shared" si="1"/>
        <v>0.41914893617021276</v>
      </c>
      <c r="F9" s="134">
        <f t="shared" si="0"/>
        <v>0.45739910313901339</v>
      </c>
      <c r="G9" s="135">
        <f t="shared" si="0"/>
        <v>0.49176954732510292</v>
      </c>
      <c r="H9" s="20"/>
      <c r="I9" s="15"/>
    </row>
    <row r="10" spans="1:9">
      <c r="A10" s="99"/>
      <c r="D10" s="23"/>
    </row>
    <row r="11" spans="1:9">
      <c r="A11" s="99"/>
      <c r="D11" s="23"/>
    </row>
    <row r="12" spans="1:9">
      <c r="A12" s="99"/>
      <c r="D12" s="23"/>
    </row>
    <row r="13" spans="1:9">
      <c r="A13" s="99"/>
      <c r="D13" s="23"/>
    </row>
    <row r="14" spans="1:9">
      <c r="A14" s="99"/>
      <c r="D14" s="23"/>
    </row>
    <row r="15" spans="1:9">
      <c r="A15" s="99"/>
      <c r="D15" s="23"/>
    </row>
    <row r="17" spans="1:1">
      <c r="A1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1:M30"/>
  <sheetViews>
    <sheetView workbookViewId="0">
      <selection activeCell="O24" sqref="O24"/>
    </sheetView>
  </sheetViews>
  <sheetFormatPr defaultColWidth="11.19921875" defaultRowHeight="15.6"/>
  <cols>
    <col min="1" max="1" width="16.5" bestFit="1" customWidth="1"/>
    <col min="5" max="7" width="12.69921875" hidden="1" customWidth="1"/>
    <col min="8" max="8" width="0" hidden="1" customWidth="1"/>
    <col min="12" max="12" width="47.796875" bestFit="1" customWidth="1"/>
    <col min="13" max="13" width="23.19921875" bestFit="1" customWidth="1"/>
  </cols>
  <sheetData>
    <row r="1" spans="1:13">
      <c r="A1" s="55" t="s">
        <v>508</v>
      </c>
      <c r="B1" s="67" t="s">
        <v>829</v>
      </c>
      <c r="C1" s="67"/>
      <c r="D1" s="55"/>
      <c r="E1" s="67" t="s">
        <v>831</v>
      </c>
      <c r="F1" s="67"/>
      <c r="G1" s="55"/>
      <c r="I1" s="112" t="s">
        <v>781</v>
      </c>
      <c r="J1" s="137"/>
      <c r="K1" s="138"/>
      <c r="L1" s="112" t="s">
        <v>920</v>
      </c>
      <c r="M1" s="138"/>
    </row>
    <row r="2" spans="1:13">
      <c r="A2" s="56"/>
      <c r="B2" s="61" t="s">
        <v>749</v>
      </c>
      <c r="C2" s="61" t="s">
        <v>750</v>
      </c>
      <c r="D2" s="56" t="s">
        <v>751</v>
      </c>
      <c r="E2" s="61" t="s">
        <v>749</v>
      </c>
      <c r="F2" s="61" t="s">
        <v>750</v>
      </c>
      <c r="G2" s="56" t="s">
        <v>751</v>
      </c>
      <c r="I2" s="62" t="s">
        <v>749</v>
      </c>
      <c r="J2" s="61" t="s">
        <v>750</v>
      </c>
      <c r="K2" s="56" t="s">
        <v>751</v>
      </c>
      <c r="L2" s="62" t="s">
        <v>924</v>
      </c>
      <c r="M2" s="56" t="s">
        <v>921</v>
      </c>
    </row>
    <row r="3" spans="1:13">
      <c r="A3" s="57" t="s">
        <v>195</v>
      </c>
      <c r="B3" s="82">
        <v>2399</v>
      </c>
      <c r="C3" s="82">
        <v>2462</v>
      </c>
      <c r="D3" s="101">
        <v>2374</v>
      </c>
      <c r="E3" s="102">
        <v>684</v>
      </c>
      <c r="F3" s="102">
        <v>822</v>
      </c>
      <c r="G3" s="101">
        <v>794</v>
      </c>
      <c r="H3" t="s">
        <v>221</v>
      </c>
      <c r="I3" s="139">
        <f>B3/SUM(B$3:B$18)</f>
        <v>0.10956339057362076</v>
      </c>
      <c r="J3" s="18">
        <f t="shared" ref="J3:K3" si="0">C3/SUM(C$3:C$18)</f>
        <v>0.11104596093996662</v>
      </c>
      <c r="K3" s="16">
        <f t="shared" si="0"/>
        <v>0.11183342754852083</v>
      </c>
      <c r="L3" s="125" t="s">
        <v>1060</v>
      </c>
      <c r="M3" s="11" t="s">
        <v>1061</v>
      </c>
    </row>
    <row r="4" spans="1:13">
      <c r="A4" s="57" t="s">
        <v>28</v>
      </c>
      <c r="B4" s="82">
        <v>1568</v>
      </c>
      <c r="C4" s="105">
        <v>1696</v>
      </c>
      <c r="D4" s="101">
        <v>1596</v>
      </c>
      <c r="E4" s="82">
        <v>678</v>
      </c>
      <c r="F4" s="82">
        <v>816</v>
      </c>
      <c r="G4" s="101">
        <v>771</v>
      </c>
      <c r="I4" s="139">
        <f t="shared" ref="I4:I18" si="1">B4/SUM(B$3:B$18)</f>
        <v>7.1611253196930943E-2</v>
      </c>
      <c r="J4" s="18">
        <f t="shared" ref="J4:J18" si="2">C4/SUM(C$3:C$18)</f>
        <v>7.6496324026881959E-2</v>
      </c>
      <c r="K4" s="16">
        <f t="shared" ref="K4:K18" si="3">D4/SUM(D$3:D$18)</f>
        <v>7.5183719615602038E-2</v>
      </c>
      <c r="L4" s="6" t="s">
        <v>1062</v>
      </c>
      <c r="M4" s="12" t="s">
        <v>1063</v>
      </c>
    </row>
    <row r="5" spans="1:13">
      <c r="A5" s="57" t="s">
        <v>29</v>
      </c>
      <c r="B5" s="100">
        <f>8971.864-6739.158</f>
        <v>2232.7059999999992</v>
      </c>
      <c r="C5" s="100">
        <v>2114</v>
      </c>
      <c r="D5" s="101">
        <f>4278.007-C5</f>
        <v>2164.0069999999996</v>
      </c>
      <c r="E5" s="100">
        <f>2715.173-2107.623</f>
        <v>607.54999999999973</v>
      </c>
      <c r="F5" s="100">
        <v>728.81299999999999</v>
      </c>
      <c r="G5" s="101">
        <f>1413.064-F5</f>
        <v>684.25100000000009</v>
      </c>
      <c r="I5" s="139">
        <f t="shared" si="1"/>
        <v>0.1019686700767263</v>
      </c>
      <c r="J5" s="18">
        <f t="shared" si="2"/>
        <v>9.5349781245771509E-2</v>
      </c>
      <c r="K5" s="16">
        <f t="shared" si="3"/>
        <v>0.10194116261541358</v>
      </c>
      <c r="L5" s="6" t="s">
        <v>1064</v>
      </c>
      <c r="M5" s="12" t="s">
        <v>1065</v>
      </c>
    </row>
    <row r="6" spans="1:13">
      <c r="A6" s="57" t="s">
        <v>196</v>
      </c>
      <c r="B6" s="100">
        <f>587+153+59+252+66</f>
        <v>1117</v>
      </c>
      <c r="C6" s="100">
        <f>682+143+55+275+84</f>
        <v>1239</v>
      </c>
      <c r="D6" s="101">
        <f>674+149+48+222+64</f>
        <v>1157</v>
      </c>
      <c r="E6" s="100">
        <v>587</v>
      </c>
      <c r="F6" s="100">
        <v>682</v>
      </c>
      <c r="G6" s="101">
        <v>674</v>
      </c>
      <c r="I6" s="139">
        <f t="shared" si="1"/>
        <v>5.1013883814395325E-2</v>
      </c>
      <c r="J6" s="18">
        <f t="shared" si="2"/>
        <v>5.5883812187091243E-2</v>
      </c>
      <c r="K6" s="16">
        <f t="shared" si="3"/>
        <v>5.4503485961937062E-2</v>
      </c>
      <c r="L6" s="6" t="s">
        <v>1066</v>
      </c>
      <c r="M6" s="12" t="s">
        <v>1067</v>
      </c>
    </row>
    <row r="7" spans="1:13">
      <c r="A7" s="57" t="s">
        <v>31</v>
      </c>
      <c r="B7" s="100">
        <v>1069</v>
      </c>
      <c r="C7" s="100">
        <v>1147</v>
      </c>
      <c r="D7" s="101">
        <v>1139</v>
      </c>
      <c r="E7" s="100">
        <v>393</v>
      </c>
      <c r="F7" s="100">
        <v>497</v>
      </c>
      <c r="G7" s="101">
        <v>473</v>
      </c>
      <c r="H7" t="s">
        <v>221</v>
      </c>
      <c r="I7" s="139">
        <f t="shared" si="1"/>
        <v>4.8821702594081112E-2</v>
      </c>
      <c r="J7" s="18">
        <f t="shared" si="2"/>
        <v>5.1734247440350004E-2</v>
      </c>
      <c r="K7" s="16">
        <f t="shared" si="3"/>
        <v>5.3655549274543059E-2</v>
      </c>
      <c r="L7" s="6" t="s">
        <v>1068</v>
      </c>
      <c r="M7" s="12" t="s">
        <v>1069</v>
      </c>
    </row>
    <row r="8" spans="1:13">
      <c r="A8" s="57" t="s">
        <v>30</v>
      </c>
      <c r="B8" s="100">
        <f>447.858+416.579+572.302</f>
        <v>1436.739</v>
      </c>
      <c r="C8" s="100">
        <f>395.317+442.408+452.022</f>
        <v>1289.7470000000001</v>
      </c>
      <c r="D8" s="101">
        <f>433.067+406.138+460.509</f>
        <v>1299.7139999999999</v>
      </c>
      <c r="E8" s="100">
        <f>104.107+118.436+145.085</f>
        <v>367.62800000000004</v>
      </c>
      <c r="F8" s="100">
        <f>109.848+134.779+124.228</f>
        <v>368.85500000000002</v>
      </c>
      <c r="G8" s="101">
        <f>130.872+133.351+121.782</f>
        <v>386.005</v>
      </c>
      <c r="I8" s="139">
        <f t="shared" si="1"/>
        <v>6.5616505297771285E-2</v>
      </c>
      <c r="J8" s="18">
        <f t="shared" si="2"/>
        <v>5.8172703080600789E-2</v>
      </c>
      <c r="K8" s="16">
        <f t="shared" si="3"/>
        <v>6.1226399095534199E-2</v>
      </c>
      <c r="L8" s="6" t="s">
        <v>1070</v>
      </c>
      <c r="M8" s="12" t="s">
        <v>1071</v>
      </c>
    </row>
    <row r="9" spans="1:13">
      <c r="A9" s="57" t="s">
        <v>833</v>
      </c>
      <c r="B9" s="100">
        <v>1182.6690000000001</v>
      </c>
      <c r="C9" s="100">
        <v>1234.184</v>
      </c>
      <c r="D9" s="101">
        <v>1122.4480000000001</v>
      </c>
      <c r="E9" s="100">
        <v>172.029</v>
      </c>
      <c r="F9" s="100">
        <v>199.12100000000001</v>
      </c>
      <c r="G9" s="101">
        <v>207.04</v>
      </c>
      <c r="I9" s="139">
        <f t="shared" si="1"/>
        <v>5.4013016075995623E-2</v>
      </c>
      <c r="J9" s="18">
        <f t="shared" si="2"/>
        <v>5.5666591493392266E-2</v>
      </c>
      <c r="K9" s="16">
        <f t="shared" si="3"/>
        <v>5.2875824382890527E-2</v>
      </c>
      <c r="L9" s="6" t="s">
        <v>1073</v>
      </c>
      <c r="M9" s="12" t="s">
        <v>1072</v>
      </c>
    </row>
    <row r="10" spans="1:13">
      <c r="A10" s="57" t="s">
        <v>832</v>
      </c>
      <c r="B10" s="100">
        <v>691</v>
      </c>
      <c r="C10" s="100">
        <f>1437-B10</f>
        <v>746</v>
      </c>
      <c r="D10" s="101">
        <f>2125-B10-C10</f>
        <v>688</v>
      </c>
      <c r="E10" s="102">
        <v>141</v>
      </c>
      <c r="F10" s="100">
        <f>311-E10</f>
        <v>170</v>
      </c>
      <c r="G10" s="101">
        <f>476-E10-F10</f>
        <v>165</v>
      </c>
      <c r="H10" t="s">
        <v>221</v>
      </c>
      <c r="I10" s="139">
        <f t="shared" si="1"/>
        <v>3.1558275484106689E-2</v>
      </c>
      <c r="J10" s="18">
        <f t="shared" si="2"/>
        <v>3.3647557620314829E-2</v>
      </c>
      <c r="K10" s="16">
        <f t="shared" si="3"/>
        <v>3.241002449594875E-2</v>
      </c>
      <c r="L10" s="6" t="s">
        <v>1074</v>
      </c>
      <c r="M10" s="12" t="s">
        <v>1075</v>
      </c>
    </row>
    <row r="11" spans="1:13">
      <c r="A11" s="57" t="s">
        <v>197</v>
      </c>
      <c r="B11" s="100">
        <f>910.7-663.7</f>
        <v>247</v>
      </c>
      <c r="C11" s="100">
        <v>225.1</v>
      </c>
      <c r="D11" s="101">
        <f>472.2-C11</f>
        <v>247.1</v>
      </c>
      <c r="E11" s="100">
        <f>(527.6+42.4)-(398.7+32)</f>
        <v>139.30000000000001</v>
      </c>
      <c r="F11" s="100">
        <f>112.4+10.8</f>
        <v>123.2</v>
      </c>
      <c r="G11" s="101">
        <f>290.6+26.1-F11</f>
        <v>193.50000000000006</v>
      </c>
      <c r="I11" s="139">
        <f t="shared" si="1"/>
        <v>1.128059919620022E-2</v>
      </c>
      <c r="J11" s="18">
        <f t="shared" si="2"/>
        <v>1.0152902440124487E-2</v>
      </c>
      <c r="K11" s="16">
        <f t="shared" si="3"/>
        <v>1.1640286414169964E-2</v>
      </c>
      <c r="L11" s="6" t="s">
        <v>1076</v>
      </c>
      <c r="M11" s="12" t="s">
        <v>1077</v>
      </c>
    </row>
    <row r="12" spans="1:13">
      <c r="A12" s="57" t="s">
        <v>838</v>
      </c>
      <c r="B12" s="100">
        <f>451.576+74.312+0.781</f>
        <v>526.66899999999998</v>
      </c>
      <c r="C12" s="100">
        <f>468.416+87.664+0.889</f>
        <v>556.96900000000005</v>
      </c>
      <c r="D12" s="101">
        <f>513.991+80.002+0.968</f>
        <v>594.9609999999999</v>
      </c>
      <c r="E12" s="100">
        <v>91.478999999999999</v>
      </c>
      <c r="F12" s="100">
        <v>107.93899999999999</v>
      </c>
      <c r="G12" s="101">
        <v>96.31</v>
      </c>
      <c r="I12" s="139">
        <f t="shared" si="1"/>
        <v>2.4053206065034707E-2</v>
      </c>
      <c r="J12" s="18">
        <f t="shared" si="2"/>
        <v>2.5121510080736098E-2</v>
      </c>
      <c r="K12" s="16">
        <f t="shared" si="3"/>
        <v>2.8027181081590347E-2</v>
      </c>
      <c r="L12" s="6" t="s">
        <v>1078</v>
      </c>
      <c r="M12" s="12" t="s">
        <v>1079</v>
      </c>
    </row>
    <row r="13" spans="1:13">
      <c r="A13" s="57" t="s">
        <v>199</v>
      </c>
      <c r="B13" s="100">
        <v>2607</v>
      </c>
      <c r="C13" s="100">
        <v>2483</v>
      </c>
      <c r="D13" s="101">
        <v>2350</v>
      </c>
      <c r="E13" s="100"/>
      <c r="F13" s="100"/>
      <c r="G13" s="101"/>
      <c r="I13" s="139">
        <f t="shared" si="1"/>
        <v>0.11906284252831567</v>
      </c>
      <c r="J13" s="18">
        <f t="shared" si="2"/>
        <v>0.11199314419737495</v>
      </c>
      <c r="K13" s="16">
        <f t="shared" si="3"/>
        <v>0.11070284529866214</v>
      </c>
      <c r="L13" s="6" t="s">
        <v>1080</v>
      </c>
      <c r="M13" s="12" t="s">
        <v>1081</v>
      </c>
    </row>
    <row r="14" spans="1:13">
      <c r="A14" s="57" t="s">
        <v>201</v>
      </c>
      <c r="B14" s="100">
        <f>1114.805-803.622</f>
        <v>311.18300000000011</v>
      </c>
      <c r="C14" s="100">
        <v>278.892</v>
      </c>
      <c r="D14" s="101">
        <f>577.114-C14</f>
        <v>298.22200000000004</v>
      </c>
      <c r="E14" s="100">
        <f>383.152-281.074</f>
        <v>102.07799999999997</v>
      </c>
      <c r="F14" s="100">
        <v>111.17100000000001</v>
      </c>
      <c r="G14" s="101">
        <f>221.158-F14</f>
        <v>109.98699999999998</v>
      </c>
      <c r="I14" s="139">
        <f t="shared" si="1"/>
        <v>1.4211865180854955E-2</v>
      </c>
      <c r="J14" s="18">
        <f t="shared" si="2"/>
        <v>1.2579134905958234E-2</v>
      </c>
      <c r="K14" s="16">
        <f t="shared" si="3"/>
        <v>1.4048520821556436E-2</v>
      </c>
      <c r="L14" s="6" t="s">
        <v>1082</v>
      </c>
      <c r="M14" s="12" t="s">
        <v>1083</v>
      </c>
    </row>
    <row r="15" spans="1:13">
      <c r="A15" s="57" t="s">
        <v>510</v>
      </c>
      <c r="B15" s="100">
        <v>129.20500000000001</v>
      </c>
      <c r="C15" s="100">
        <v>110.648</v>
      </c>
      <c r="D15" s="101">
        <v>111.16</v>
      </c>
      <c r="E15" s="100">
        <f>B15*0.19</f>
        <v>24.548950000000001</v>
      </c>
      <c r="F15" s="100">
        <f>C15*0.2</f>
        <v>22.1296</v>
      </c>
      <c r="G15" s="101">
        <f>D15*0.23</f>
        <v>25.566800000000001</v>
      </c>
      <c r="I15" s="139">
        <f t="shared" si="1"/>
        <v>5.9008494702228725E-3</v>
      </c>
      <c r="J15" s="18">
        <f t="shared" si="2"/>
        <v>4.9906634793198323E-3</v>
      </c>
      <c r="K15" s="16">
        <f t="shared" si="3"/>
        <v>5.2364801205954398E-3</v>
      </c>
      <c r="L15" s="6" t="s">
        <v>1084</v>
      </c>
      <c r="M15" s="12" t="s">
        <v>1085</v>
      </c>
    </row>
    <row r="16" spans="1:13">
      <c r="A16" s="57" t="s">
        <v>511</v>
      </c>
      <c r="B16" s="100">
        <v>459.70800000000003</v>
      </c>
      <c r="C16" s="100">
        <v>500.69400000000002</v>
      </c>
      <c r="D16" s="101">
        <v>508.35</v>
      </c>
      <c r="E16" s="102">
        <v>87.713999999999999</v>
      </c>
      <c r="F16" s="102">
        <v>90.382999999999996</v>
      </c>
      <c r="G16" s="101">
        <v>88.072999999999993</v>
      </c>
      <c r="H16" t="s">
        <v>221</v>
      </c>
      <c r="I16" s="139">
        <f t="shared" si="1"/>
        <v>2.0995067592254293E-2</v>
      </c>
      <c r="J16" s="18">
        <f t="shared" si="2"/>
        <v>2.2583284470704977E-2</v>
      </c>
      <c r="K16" s="16">
        <f t="shared" si="3"/>
        <v>2.3947145279819108E-2</v>
      </c>
      <c r="L16" s="6" t="s">
        <v>1086</v>
      </c>
      <c r="M16" s="12" t="s">
        <v>1087</v>
      </c>
    </row>
    <row r="17" spans="1:13">
      <c r="A17" s="57" t="s">
        <v>513</v>
      </c>
      <c r="B17" s="243">
        <v>438.22899999999998</v>
      </c>
      <c r="C17" s="243">
        <f>941.442-B17</f>
        <v>503.21300000000002</v>
      </c>
      <c r="D17" s="101">
        <f>1359.802-C17-B17</f>
        <v>418.35999999999996</v>
      </c>
      <c r="E17" s="243"/>
      <c r="F17" s="243"/>
      <c r="G17" s="101"/>
      <c r="I17" s="139">
        <f t="shared" si="1"/>
        <v>2.0014112166605771E-2</v>
      </c>
      <c r="J17" s="18">
        <f t="shared" si="2"/>
        <v>2.2696901357629338E-2</v>
      </c>
      <c r="K17" s="16">
        <f t="shared" si="3"/>
        <v>1.9707932918786506E-2</v>
      </c>
      <c r="L17" s="6" t="s">
        <v>1088</v>
      </c>
      <c r="M17" s="12" t="s">
        <v>1089</v>
      </c>
    </row>
    <row r="18" spans="1:13">
      <c r="A18" s="58" t="s">
        <v>826</v>
      </c>
      <c r="B18" s="103">
        <f>21896-SUM(B3:B17)</f>
        <v>5480.8919999999998</v>
      </c>
      <c r="C18" s="103">
        <f>22171-SUM(C3:C17)</f>
        <v>5584.5529999999999</v>
      </c>
      <c r="D18" s="104">
        <f>21228-SUM(D3:D17)</f>
        <v>5159.6779999999999</v>
      </c>
      <c r="E18" s="103" t="e">
        <f>E10/#REF!</f>
        <v>#REF!</v>
      </c>
      <c r="F18" s="103" t="e">
        <f>8521-E18</f>
        <v>#REF!</v>
      </c>
      <c r="G18" s="104" t="e">
        <f>13052-E18-F18</f>
        <v>#REF!</v>
      </c>
      <c r="I18" s="40">
        <f t="shared" si="1"/>
        <v>0.25031476068688346</v>
      </c>
      <c r="J18" s="19">
        <f t="shared" si="2"/>
        <v>0.25188548103378289</v>
      </c>
      <c r="K18" s="17">
        <f t="shared" si="3"/>
        <v>0.24306001507442998</v>
      </c>
      <c r="L18" s="20"/>
      <c r="M18" s="15"/>
    </row>
    <row r="19" spans="1:13">
      <c r="I19" s="244"/>
    </row>
    <row r="20" spans="1:13">
      <c r="B20" t="s">
        <v>828</v>
      </c>
    </row>
    <row r="21" spans="1:13">
      <c r="B21" t="s">
        <v>830</v>
      </c>
    </row>
    <row r="22" spans="1:13">
      <c r="B22" t="s">
        <v>834</v>
      </c>
    </row>
    <row r="23" spans="1:13">
      <c r="B23" t="s">
        <v>835</v>
      </c>
    </row>
    <row r="24" spans="1:13">
      <c r="B24" t="s">
        <v>840</v>
      </c>
    </row>
    <row r="25" spans="1:13">
      <c r="B25" t="s">
        <v>839</v>
      </c>
    </row>
    <row r="26" spans="1:13">
      <c r="B26" t="s">
        <v>841</v>
      </c>
    </row>
    <row r="28" spans="1:13">
      <c r="A28" s="1"/>
    </row>
    <row r="30" spans="1:13">
      <c r="A30"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1:N27"/>
  <sheetViews>
    <sheetView topLeftCell="A10" workbookViewId="0">
      <selection activeCell="G30" sqref="G30"/>
    </sheetView>
  </sheetViews>
  <sheetFormatPr defaultColWidth="11.19921875" defaultRowHeight="15.6"/>
  <cols>
    <col min="1" max="1" width="21.69921875" bestFit="1" customWidth="1"/>
    <col min="8" max="8" width="56.5" bestFit="1" customWidth="1"/>
  </cols>
  <sheetData>
    <row r="1" spans="1:14">
      <c r="A1" s="221" t="s">
        <v>908</v>
      </c>
      <c r="B1" s="218" t="s">
        <v>904</v>
      </c>
      <c r="C1" s="218"/>
      <c r="D1" s="219"/>
    </row>
    <row r="2" spans="1:14">
      <c r="A2" s="225"/>
      <c r="B2" s="97" t="s">
        <v>749</v>
      </c>
      <c r="C2" s="97" t="s">
        <v>750</v>
      </c>
      <c r="D2" s="214" t="s">
        <v>751</v>
      </c>
    </row>
    <row r="3" spans="1:14">
      <c r="A3" s="217" t="s">
        <v>122</v>
      </c>
      <c r="B3" s="236">
        <v>6840</v>
      </c>
      <c r="C3" s="236">
        <v>6205</v>
      </c>
      <c r="D3" s="237">
        <v>6077</v>
      </c>
    </row>
    <row r="4" spans="1:14">
      <c r="A4" s="217" t="s">
        <v>127</v>
      </c>
      <c r="B4" s="236">
        <f>646.082</f>
        <v>646.08199999999999</v>
      </c>
      <c r="C4" s="236">
        <v>408.94099999999997</v>
      </c>
      <c r="D4" s="237">
        <v>476.75900000000001</v>
      </c>
      <c r="K4" s="4"/>
      <c r="L4" s="220" t="s">
        <v>873</v>
      </c>
      <c r="M4" s="218"/>
      <c r="N4" s="219"/>
    </row>
    <row r="5" spans="1:14">
      <c r="A5" s="217" t="s">
        <v>126</v>
      </c>
      <c r="B5" s="236">
        <v>3078</v>
      </c>
      <c r="C5" s="236">
        <v>3058</v>
      </c>
      <c r="D5" s="237">
        <v>3788</v>
      </c>
      <c r="E5" t="s">
        <v>905</v>
      </c>
      <c r="K5" s="4"/>
      <c r="L5" s="96" t="s">
        <v>749</v>
      </c>
      <c r="M5" s="97" t="s">
        <v>750</v>
      </c>
      <c r="N5" s="214" t="s">
        <v>751</v>
      </c>
    </row>
    <row r="6" spans="1:14">
      <c r="A6" s="217" t="s">
        <v>123</v>
      </c>
      <c r="B6" s="236">
        <v>3199</v>
      </c>
      <c r="C6" s="236">
        <v>3298</v>
      </c>
      <c r="D6" s="237">
        <v>3190</v>
      </c>
      <c r="K6" s="230" t="s">
        <v>872</v>
      </c>
      <c r="L6" s="226">
        <v>8.3000000000000001E-3</v>
      </c>
      <c r="M6" s="227">
        <v>8.2000000000000007E-3</v>
      </c>
      <c r="N6" s="106">
        <v>8.3000000000000001E-3</v>
      </c>
    </row>
    <row r="7" spans="1:14">
      <c r="A7" s="217" t="s">
        <v>125</v>
      </c>
      <c r="B7" s="236">
        <f>6604-651</f>
        <v>5953</v>
      </c>
      <c r="C7" s="236">
        <f>7230-773</f>
        <v>6457</v>
      </c>
      <c r="D7" s="237">
        <f>7151-896</f>
        <v>6255</v>
      </c>
      <c r="E7" t="s">
        <v>906</v>
      </c>
    </row>
    <row r="8" spans="1:14">
      <c r="A8" s="217" t="s">
        <v>124</v>
      </c>
      <c r="B8" s="236">
        <f>878.7-206.6-182.2-194.8</f>
        <v>295.10000000000002</v>
      </c>
      <c r="C8" s="236">
        <v>171.5</v>
      </c>
      <c r="D8" s="237">
        <v>183.7</v>
      </c>
      <c r="E8" t="s">
        <v>907</v>
      </c>
    </row>
    <row r="9" spans="1:14">
      <c r="A9" s="216" t="s">
        <v>516</v>
      </c>
      <c r="B9" s="238">
        <f>5810+1685</f>
        <v>7495</v>
      </c>
      <c r="C9" s="238">
        <f>5768+2040</f>
        <v>7808</v>
      </c>
      <c r="D9" s="239">
        <f>5826+1783</f>
        <v>7609</v>
      </c>
    </row>
    <row r="12" spans="1:14" ht="17.399999999999999">
      <c r="A12" s="149" t="s">
        <v>908</v>
      </c>
      <c r="B12" s="113" t="s">
        <v>909</v>
      </c>
      <c r="C12" s="113"/>
      <c r="D12" s="114"/>
      <c r="E12" s="112" t="s">
        <v>781</v>
      </c>
      <c r="F12" s="113"/>
      <c r="G12" s="114"/>
      <c r="H12" s="149" t="s">
        <v>920</v>
      </c>
    </row>
    <row r="13" spans="1:14">
      <c r="A13" s="150"/>
      <c r="B13" s="61" t="s">
        <v>749</v>
      </c>
      <c r="C13" s="61" t="s">
        <v>750</v>
      </c>
      <c r="D13" s="56" t="s">
        <v>751</v>
      </c>
      <c r="E13" s="62" t="s">
        <v>749</v>
      </c>
      <c r="F13" s="61" t="s">
        <v>750</v>
      </c>
      <c r="G13" s="56" t="s">
        <v>751</v>
      </c>
      <c r="H13" s="150" t="s">
        <v>924</v>
      </c>
    </row>
    <row r="14" spans="1:14">
      <c r="A14" s="144" t="s">
        <v>122</v>
      </c>
      <c r="B14" s="152">
        <v>6840</v>
      </c>
      <c r="C14" s="152">
        <v>6205</v>
      </c>
      <c r="D14" s="123">
        <v>6077</v>
      </c>
      <c r="E14" s="139">
        <f>B14/SUM(B$14:B$20)</f>
        <v>0.23061041768401597</v>
      </c>
      <c r="F14" s="18">
        <f t="shared" ref="F14:G14" si="0">C14/SUM(C$14:C$20)</f>
        <v>0.21664564045950385</v>
      </c>
      <c r="G14" s="16">
        <f t="shared" si="0"/>
        <v>0.21012798927984191</v>
      </c>
      <c r="H14" s="235" t="s">
        <v>1052</v>
      </c>
    </row>
    <row r="15" spans="1:14">
      <c r="A15" s="144" t="s">
        <v>127</v>
      </c>
      <c r="B15" s="152">
        <f>646.082</f>
        <v>646.08199999999999</v>
      </c>
      <c r="C15" s="152">
        <v>408.94099999999997</v>
      </c>
      <c r="D15" s="123">
        <v>476.75900000000001</v>
      </c>
      <c r="E15" s="139">
        <f t="shared" ref="E15:E20" si="1">B15/SUM(B$14:B$20)</f>
        <v>2.1782637409082515E-2</v>
      </c>
      <c r="F15" s="18">
        <f t="shared" ref="F15:F20" si="2">C15/SUM(C$14:C$20)</f>
        <v>1.4278047518960509E-2</v>
      </c>
      <c r="G15" s="16">
        <f t="shared" ref="G15:G20" si="3">D15/SUM(D$14:D$20)</f>
        <v>1.6485175257704158E-2</v>
      </c>
      <c r="H15" s="172" t="s">
        <v>1053</v>
      </c>
    </row>
    <row r="16" spans="1:14">
      <c r="A16" s="144" t="s">
        <v>126</v>
      </c>
      <c r="B16" s="152">
        <v>3078</v>
      </c>
      <c r="C16" s="152">
        <v>3058</v>
      </c>
      <c r="D16" s="123">
        <v>3788</v>
      </c>
      <c r="E16" s="139">
        <f t="shared" si="1"/>
        <v>0.10377468795780719</v>
      </c>
      <c r="F16" s="18">
        <f t="shared" si="2"/>
        <v>0.10676911660357176</v>
      </c>
      <c r="G16" s="16">
        <f t="shared" si="3"/>
        <v>0.13097989524305434</v>
      </c>
      <c r="H16" s="172" t="s">
        <v>1054</v>
      </c>
    </row>
    <row r="17" spans="1:8">
      <c r="A17" s="144" t="s">
        <v>123</v>
      </c>
      <c r="B17" s="152">
        <v>3199</v>
      </c>
      <c r="C17" s="152">
        <v>3298</v>
      </c>
      <c r="D17" s="123">
        <v>3190</v>
      </c>
      <c r="E17" s="139">
        <f t="shared" si="1"/>
        <v>0.10785419973262676</v>
      </c>
      <c r="F17" s="18">
        <f t="shared" si="2"/>
        <v>0.11514864177847602</v>
      </c>
      <c r="G17" s="16">
        <f t="shared" si="3"/>
        <v>0.1103024988979259</v>
      </c>
      <c r="H17" s="172" t="s">
        <v>1055</v>
      </c>
    </row>
    <row r="18" spans="1:8">
      <c r="A18" s="144" t="s">
        <v>125</v>
      </c>
      <c r="B18" s="152">
        <f>6604-651</f>
        <v>5953</v>
      </c>
      <c r="C18" s="152">
        <f>7230-773</f>
        <v>6457</v>
      </c>
      <c r="D18" s="123">
        <f>7151-896</f>
        <v>6255</v>
      </c>
      <c r="E18" s="139">
        <f t="shared" si="1"/>
        <v>0.20070523632645423</v>
      </c>
      <c r="F18" s="18">
        <f t="shared" si="2"/>
        <v>0.22544414189315332</v>
      </c>
      <c r="G18" s="16">
        <f t="shared" si="3"/>
        <v>0.21628279956317445</v>
      </c>
      <c r="H18" s="172" t="s">
        <v>1056</v>
      </c>
    </row>
    <row r="19" spans="1:8">
      <c r="A19" s="144" t="s">
        <v>124</v>
      </c>
      <c r="B19" s="152">
        <f>B8*1000*L6</f>
        <v>2449.33</v>
      </c>
      <c r="C19" s="152">
        <f t="shared" ref="C19:D19" si="4">C8*1000*M6</f>
        <v>1406.3000000000002</v>
      </c>
      <c r="D19" s="123">
        <f t="shared" si="4"/>
        <v>1524.71</v>
      </c>
      <c r="E19" s="139">
        <f t="shared" si="1"/>
        <v>8.2579095664618532E-2</v>
      </c>
      <c r="F19" s="18">
        <f t="shared" si="2"/>
        <v>4.9100526056116083E-2</v>
      </c>
      <c r="G19" s="16">
        <f t="shared" si="3"/>
        <v>5.2720790938763827E-2</v>
      </c>
      <c r="H19" s="172" t="s">
        <v>1057</v>
      </c>
    </row>
    <row r="20" spans="1:8">
      <c r="A20" s="145" t="s">
        <v>516</v>
      </c>
      <c r="B20" s="122">
        <f>5810+1685</f>
        <v>7495</v>
      </c>
      <c r="C20" s="122">
        <f>5768+2040</f>
        <v>7808</v>
      </c>
      <c r="D20" s="124">
        <f>5826+1783</f>
        <v>7609</v>
      </c>
      <c r="E20" s="40">
        <f t="shared" si="1"/>
        <v>0.25269372522539468</v>
      </c>
      <c r="F20" s="19">
        <f t="shared" si="2"/>
        <v>0.27261388569021855</v>
      </c>
      <c r="G20" s="17">
        <f t="shared" si="3"/>
        <v>0.26310085081953549</v>
      </c>
      <c r="H20" s="173" t="s">
        <v>1058</v>
      </c>
    </row>
    <row r="22" spans="1:8">
      <c r="B22" s="13" t="s">
        <v>910</v>
      </c>
    </row>
    <row r="27" spans="1:8">
      <c r="A27" s="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1:H36"/>
  <sheetViews>
    <sheetView workbookViewId="0">
      <selection activeCell="F41" sqref="F41"/>
    </sheetView>
  </sheetViews>
  <sheetFormatPr defaultColWidth="11.19921875" defaultRowHeight="15.6"/>
  <cols>
    <col min="1" max="1" width="20.69921875" bestFit="1" customWidth="1"/>
  </cols>
  <sheetData>
    <row r="1" spans="1:8">
      <c r="A1" s="149" t="s">
        <v>478</v>
      </c>
      <c r="B1" s="113" t="s">
        <v>893</v>
      </c>
      <c r="C1" s="113"/>
      <c r="D1" s="114"/>
    </row>
    <row r="2" spans="1:8">
      <c r="A2" s="150"/>
      <c r="B2" s="61" t="s">
        <v>749</v>
      </c>
      <c r="C2" s="61" t="s">
        <v>750</v>
      </c>
      <c r="D2" s="56" t="s">
        <v>751</v>
      </c>
    </row>
    <row r="3" spans="1:8">
      <c r="A3" s="144" t="s">
        <v>190</v>
      </c>
      <c r="B3" s="29">
        <v>1278</v>
      </c>
      <c r="C3" s="29">
        <v>1044</v>
      </c>
      <c r="D3" s="27">
        <v>990</v>
      </c>
      <c r="F3" t="s">
        <v>894</v>
      </c>
    </row>
    <row r="4" spans="1:8">
      <c r="A4" s="148" t="s">
        <v>25</v>
      </c>
      <c r="B4" s="164"/>
      <c r="C4" s="164"/>
      <c r="D4" s="165"/>
      <c r="F4" t="s">
        <v>895</v>
      </c>
    </row>
    <row r="5" spans="1:8">
      <c r="A5" s="144" t="s">
        <v>26</v>
      </c>
      <c r="B5" s="29">
        <v>1185</v>
      </c>
      <c r="C5" s="163" t="s">
        <v>896</v>
      </c>
      <c r="D5" s="27">
        <v>815</v>
      </c>
      <c r="F5" t="s">
        <v>897</v>
      </c>
    </row>
    <row r="6" spans="1:8">
      <c r="A6" s="144" t="s">
        <v>191</v>
      </c>
      <c r="B6" s="29">
        <f>1463.753-1293.9</f>
        <v>169.85299999999984</v>
      </c>
      <c r="C6" s="29">
        <v>96.6</v>
      </c>
      <c r="D6" s="27">
        <f>207.3-C6</f>
        <v>110.70000000000002</v>
      </c>
      <c r="F6" t="s">
        <v>899</v>
      </c>
    </row>
    <row r="7" spans="1:8">
      <c r="A7" s="144" t="s">
        <v>32</v>
      </c>
      <c r="B7" s="29">
        <f>255273-207128</f>
        <v>48145</v>
      </c>
      <c r="C7" s="29">
        <v>45372</v>
      </c>
      <c r="D7" s="27">
        <f>100462-C7</f>
        <v>55090</v>
      </c>
      <c r="F7" t="s">
        <v>898</v>
      </c>
    </row>
    <row r="8" spans="1:8">
      <c r="A8" s="144" t="s">
        <v>192</v>
      </c>
      <c r="B8" s="29">
        <v>300.089</v>
      </c>
      <c r="C8" s="29">
        <v>275.29700000000003</v>
      </c>
      <c r="D8" s="27">
        <v>346.97399999999999</v>
      </c>
      <c r="F8" t="s">
        <v>901</v>
      </c>
    </row>
    <row r="9" spans="1:8">
      <c r="A9" s="144" t="s">
        <v>33</v>
      </c>
      <c r="B9" s="29"/>
      <c r="C9" s="29"/>
      <c r="D9" s="27"/>
      <c r="F9" t="s">
        <v>900</v>
      </c>
    </row>
    <row r="10" spans="1:8">
      <c r="A10" s="144" t="s">
        <v>15</v>
      </c>
      <c r="B10" s="29"/>
      <c r="C10" s="29"/>
      <c r="D10" s="27"/>
    </row>
    <row r="11" spans="1:8">
      <c r="A11" s="148" t="s">
        <v>193</v>
      </c>
      <c r="B11" s="164"/>
      <c r="C11" s="164"/>
      <c r="D11" s="165"/>
      <c r="F11" t="s">
        <v>902</v>
      </c>
    </row>
    <row r="12" spans="1:8">
      <c r="A12" s="144" t="s">
        <v>475</v>
      </c>
      <c r="B12" s="29"/>
      <c r="C12" s="29"/>
      <c r="D12" s="27"/>
    </row>
    <row r="13" spans="1:8">
      <c r="A13" s="144" t="s">
        <v>194</v>
      </c>
      <c r="B13" s="29">
        <f>64277-47830</f>
        <v>16447</v>
      </c>
      <c r="C13" s="29">
        <v>14541</v>
      </c>
      <c r="D13" s="27">
        <f>31638-C13</f>
        <v>17097</v>
      </c>
      <c r="F13" t="s">
        <v>898</v>
      </c>
    </row>
    <row r="14" spans="1:8">
      <c r="A14" s="144" t="s">
        <v>480</v>
      </c>
      <c r="B14" s="29">
        <f>354921-267512</f>
        <v>87409</v>
      </c>
      <c r="C14" s="29">
        <v>52935</v>
      </c>
      <c r="D14" s="27">
        <f>154302-C14</f>
        <v>101367</v>
      </c>
      <c r="F14" t="s">
        <v>898</v>
      </c>
      <c r="H14" t="s">
        <v>903</v>
      </c>
    </row>
    <row r="15" spans="1:8">
      <c r="A15" s="144" t="s">
        <v>482</v>
      </c>
      <c r="B15" s="29"/>
      <c r="C15" s="29"/>
      <c r="D15" s="27"/>
    </row>
    <row r="16" spans="1:8">
      <c r="A16" s="144" t="s">
        <v>484</v>
      </c>
      <c r="B16" s="29"/>
      <c r="C16" s="29"/>
      <c r="D16" s="27"/>
    </row>
    <row r="17" spans="1:4">
      <c r="A17" s="144" t="s">
        <v>486</v>
      </c>
      <c r="B17" s="29"/>
      <c r="C17" s="29"/>
      <c r="D17" s="27"/>
    </row>
    <row r="18" spans="1:4">
      <c r="A18" s="144" t="s">
        <v>488</v>
      </c>
      <c r="B18" s="29"/>
      <c r="C18" s="29"/>
      <c r="D18" s="27"/>
    </row>
    <row r="19" spans="1:4">
      <c r="A19" s="144" t="s">
        <v>490</v>
      </c>
      <c r="B19" s="29"/>
      <c r="C19" s="29"/>
      <c r="D19" s="27"/>
    </row>
    <row r="20" spans="1:4">
      <c r="A20" s="144" t="s">
        <v>492</v>
      </c>
      <c r="B20" s="29"/>
      <c r="C20" s="29"/>
      <c r="D20" s="27"/>
    </row>
    <row r="21" spans="1:4">
      <c r="A21" s="144" t="s">
        <v>494</v>
      </c>
      <c r="B21" s="29"/>
      <c r="C21" s="29"/>
      <c r="D21" s="27"/>
    </row>
    <row r="22" spans="1:4">
      <c r="A22" s="144" t="s">
        <v>496</v>
      </c>
      <c r="B22" s="29"/>
      <c r="C22" s="29"/>
      <c r="D22" s="27"/>
    </row>
    <row r="23" spans="1:4">
      <c r="A23" s="144" t="s">
        <v>498</v>
      </c>
      <c r="B23" s="29"/>
      <c r="C23" s="29"/>
      <c r="D23" s="27"/>
    </row>
    <row r="24" spans="1:4">
      <c r="A24" s="144" t="s">
        <v>500</v>
      </c>
      <c r="B24" s="29"/>
      <c r="C24" s="29"/>
      <c r="D24" s="27"/>
    </row>
    <row r="25" spans="1:4">
      <c r="A25" s="144" t="s">
        <v>502</v>
      </c>
      <c r="B25" s="29"/>
      <c r="C25" s="29"/>
      <c r="D25" s="27"/>
    </row>
    <row r="26" spans="1:4">
      <c r="A26" s="144" t="s">
        <v>504</v>
      </c>
      <c r="B26" s="29"/>
      <c r="C26" s="29"/>
      <c r="D26" s="27"/>
    </row>
    <row r="27" spans="1:4">
      <c r="A27" s="145" t="s">
        <v>506</v>
      </c>
      <c r="B27" s="136"/>
      <c r="C27" s="136"/>
      <c r="D27" s="110"/>
    </row>
    <row r="30" spans="1:4">
      <c r="A30" s="149" t="s">
        <v>478</v>
      </c>
      <c r="B30" s="113" t="s">
        <v>893</v>
      </c>
      <c r="C30" s="113"/>
      <c r="D30" s="114"/>
    </row>
    <row r="31" spans="1:4">
      <c r="A31" s="150"/>
      <c r="B31" s="61" t="s">
        <v>749</v>
      </c>
      <c r="C31" s="61" t="s">
        <v>750</v>
      </c>
      <c r="D31" s="56" t="s">
        <v>751</v>
      </c>
    </row>
    <row r="32" spans="1:4">
      <c r="A32" s="144" t="s">
        <v>190</v>
      </c>
      <c r="B32" s="29">
        <v>1278</v>
      </c>
      <c r="C32" s="29">
        <v>1044</v>
      </c>
      <c r="D32" s="27">
        <v>990</v>
      </c>
    </row>
    <row r="33" spans="1:4">
      <c r="A33" s="144" t="s">
        <v>26</v>
      </c>
      <c r="B33" s="29">
        <v>1185</v>
      </c>
      <c r="C33" s="163" t="s">
        <v>896</v>
      </c>
      <c r="D33" s="27">
        <v>815</v>
      </c>
    </row>
    <row r="34" spans="1:4">
      <c r="A34" s="144" t="s">
        <v>191</v>
      </c>
      <c r="B34" s="29">
        <f>1463.753-1293.9</f>
        <v>169.85299999999984</v>
      </c>
      <c r="C34" s="29">
        <v>96.6</v>
      </c>
      <c r="D34" s="27">
        <f>207.3-C34</f>
        <v>110.70000000000002</v>
      </c>
    </row>
    <row r="35" spans="1:4">
      <c r="A35" s="144" t="s">
        <v>32</v>
      </c>
      <c r="B35" s="29">
        <f>255273-207128</f>
        <v>48145</v>
      </c>
      <c r="C35" s="29">
        <v>45372</v>
      </c>
      <c r="D35" s="27">
        <f>100462-C35</f>
        <v>55090</v>
      </c>
    </row>
    <row r="36" spans="1:4">
      <c r="A36" s="144" t="s">
        <v>192</v>
      </c>
      <c r="B36" s="29">
        <v>300.089</v>
      </c>
      <c r="C36" s="29">
        <v>275.29700000000003</v>
      </c>
      <c r="D36" s="27">
        <v>346.97399999999999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1:E14"/>
  <sheetViews>
    <sheetView workbookViewId="0">
      <selection activeCell="E7" sqref="E7"/>
    </sheetView>
  </sheetViews>
  <sheetFormatPr defaultColWidth="11.19921875" defaultRowHeight="15.6"/>
  <cols>
    <col min="1" max="1" width="24.796875" bestFit="1" customWidth="1"/>
  </cols>
  <sheetData>
    <row r="1" spans="1:5">
      <c r="A1" s="1" t="s">
        <v>553</v>
      </c>
    </row>
    <row r="2" spans="1:5">
      <c r="A2" s="1"/>
    </row>
    <row r="3" spans="1:5">
      <c r="A3" s="167" t="s">
        <v>117</v>
      </c>
    </row>
    <row r="4" spans="1:5">
      <c r="A4" s="166" t="s">
        <v>118</v>
      </c>
    </row>
    <row r="5" spans="1:5">
      <c r="A5" s="167" t="s">
        <v>119</v>
      </c>
    </row>
    <row r="6" spans="1:5">
      <c r="A6" s="3" t="s">
        <v>120</v>
      </c>
      <c r="E6" t="s">
        <v>911</v>
      </c>
    </row>
    <row r="7" spans="1:5">
      <c r="A7" s="166" t="s">
        <v>121</v>
      </c>
    </row>
    <row r="8" spans="1:5">
      <c r="A8" s="167" t="s">
        <v>561</v>
      </c>
    </row>
    <row r="9" spans="1:5">
      <c r="A9" s="167" t="s">
        <v>563</v>
      </c>
    </row>
    <row r="10" spans="1:5">
      <c r="A10" s="167" t="s">
        <v>565</v>
      </c>
    </row>
    <row r="11" spans="1:5">
      <c r="A11" s="166" t="s">
        <v>567</v>
      </c>
    </row>
    <row r="12" spans="1:5">
      <c r="A12" s="167" t="s">
        <v>570</v>
      </c>
    </row>
    <row r="13" spans="1:5">
      <c r="A13" s="167" t="s">
        <v>571</v>
      </c>
    </row>
    <row r="14" spans="1:5">
      <c r="A14" s="167" t="s">
        <v>573</v>
      </c>
    </row>
  </sheetData>
  <pageMargins left="0.75" right="0.75" top="1" bottom="1" header="0.5" footer="0.5"/>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1:M12"/>
  <sheetViews>
    <sheetView workbookViewId="0">
      <selection activeCell="P27" sqref="P27"/>
    </sheetView>
  </sheetViews>
  <sheetFormatPr defaultColWidth="11.19921875" defaultRowHeight="15.6"/>
  <cols>
    <col min="1" max="1" width="17.796875" customWidth="1"/>
    <col min="2" max="7" width="9.19921875" hidden="1" customWidth="1"/>
    <col min="8" max="13" width="8.19921875" customWidth="1"/>
  </cols>
  <sheetData>
    <row r="1" spans="1:13">
      <c r="A1" s="201" t="s">
        <v>347</v>
      </c>
      <c r="B1" s="174" t="s">
        <v>918</v>
      </c>
      <c r="C1" s="174"/>
      <c r="D1" s="174"/>
      <c r="E1" s="175" t="s">
        <v>919</v>
      </c>
      <c r="F1" s="176"/>
      <c r="G1" s="177"/>
      <c r="H1" s="175" t="s">
        <v>917</v>
      </c>
      <c r="I1" s="176"/>
      <c r="J1" s="177"/>
      <c r="K1" s="175" t="s">
        <v>781</v>
      </c>
      <c r="L1" s="176"/>
      <c r="M1" s="177"/>
    </row>
    <row r="2" spans="1:13">
      <c r="A2" s="202"/>
      <c r="B2" s="178" t="s">
        <v>749</v>
      </c>
      <c r="C2" s="178" t="s">
        <v>750</v>
      </c>
      <c r="D2" s="178" t="s">
        <v>751</v>
      </c>
      <c r="E2" s="179" t="s">
        <v>749</v>
      </c>
      <c r="F2" s="180" t="s">
        <v>750</v>
      </c>
      <c r="G2" s="181" t="s">
        <v>751</v>
      </c>
      <c r="H2" s="179" t="s">
        <v>749</v>
      </c>
      <c r="I2" s="180" t="s">
        <v>750</v>
      </c>
      <c r="J2" s="181" t="s">
        <v>751</v>
      </c>
      <c r="K2" s="182" t="s">
        <v>749</v>
      </c>
      <c r="L2" s="183" t="s">
        <v>750</v>
      </c>
      <c r="M2" s="184" t="s">
        <v>751</v>
      </c>
    </row>
    <row r="3" spans="1:13">
      <c r="A3" s="203" t="s">
        <v>77</v>
      </c>
      <c r="B3" s="185">
        <v>62.789538000000007</v>
      </c>
      <c r="C3" s="185">
        <v>69.400214000000005</v>
      </c>
      <c r="D3" s="186">
        <v>71.09160700000001</v>
      </c>
      <c r="E3" s="185">
        <v>50.189058000000003</v>
      </c>
      <c r="F3" s="185">
        <v>57.820886000000002</v>
      </c>
      <c r="G3" s="187">
        <v>64.146614</v>
      </c>
      <c r="H3" s="188">
        <v>0.79932198258888287</v>
      </c>
      <c r="I3" s="188">
        <v>0.83315140786165298</v>
      </c>
      <c r="J3" s="189">
        <v>0.90230924165211224</v>
      </c>
      <c r="K3" s="190">
        <v>0.25364304888184452</v>
      </c>
      <c r="L3" s="189">
        <v>0.25200216838833689</v>
      </c>
      <c r="M3" s="191">
        <v>0.26263676989229612</v>
      </c>
    </row>
    <row r="4" spans="1:13">
      <c r="A4" s="203" t="s">
        <v>78</v>
      </c>
      <c r="B4" s="185">
        <v>56.600424000000004</v>
      </c>
      <c r="C4" s="185">
        <v>63.925963999999993</v>
      </c>
      <c r="D4" s="187">
        <v>68.037485000000004</v>
      </c>
      <c r="E4" s="185">
        <v>46.221265000000002</v>
      </c>
      <c r="F4" s="185">
        <v>54.745156000000001</v>
      </c>
      <c r="G4" s="187">
        <v>59.081791999999993</v>
      </c>
      <c r="H4" s="188">
        <v>0.81662400620885811</v>
      </c>
      <c r="I4" s="188">
        <v>0.85638373791281441</v>
      </c>
      <c r="J4" s="192">
        <v>0.86837119273294694</v>
      </c>
      <c r="K4" s="193">
        <v>0.23359080733843796</v>
      </c>
      <c r="L4" s="192">
        <v>0.23859713980788486</v>
      </c>
      <c r="M4" s="194">
        <v>0.24189976746595698</v>
      </c>
    </row>
    <row r="5" spans="1:13">
      <c r="A5" s="203" t="s">
        <v>79</v>
      </c>
      <c r="B5" s="185">
        <v>57.269007999999999</v>
      </c>
      <c r="C5" s="185">
        <v>64.684663999999998</v>
      </c>
      <c r="D5" s="187">
        <v>66.745611999999994</v>
      </c>
      <c r="E5" s="185">
        <v>46.443871999999999</v>
      </c>
      <c r="F5" s="185">
        <v>54.289608999999999</v>
      </c>
      <c r="G5" s="187">
        <v>56.595229000000003</v>
      </c>
      <c r="H5" s="188">
        <v>0.81097741382214961</v>
      </c>
      <c r="I5" s="188">
        <v>0.8392964520925702</v>
      </c>
      <c r="J5" s="192">
        <v>0.84792433995511207</v>
      </c>
      <c r="K5" s="193">
        <v>0.23471580789498236</v>
      </c>
      <c r="L5" s="192">
        <v>0.23661171828039734</v>
      </c>
      <c r="M5" s="194">
        <v>0.23171898263990684</v>
      </c>
    </row>
    <row r="6" spans="1:13">
      <c r="A6" s="203" t="s">
        <v>80</v>
      </c>
      <c r="B6" s="185">
        <v>32.297464000000005</v>
      </c>
      <c r="C6" s="185">
        <v>36.476029999999994</v>
      </c>
      <c r="D6" s="187">
        <v>36.360340000000001</v>
      </c>
      <c r="E6" s="185">
        <v>25.860650999999997</v>
      </c>
      <c r="F6" s="185">
        <v>30.858380000000004</v>
      </c>
      <c r="G6" s="187">
        <v>31.052660000000003</v>
      </c>
      <c r="H6" s="188">
        <v>0.8007022161244608</v>
      </c>
      <c r="I6" s="188">
        <v>0.84599064097710219</v>
      </c>
      <c r="J6" s="192">
        <v>0.85402556741768643</v>
      </c>
      <c r="K6" s="193">
        <v>0.13069331497931919</v>
      </c>
      <c r="L6" s="192">
        <v>0.1344908252175743</v>
      </c>
      <c r="M6" s="194">
        <v>0.1271395294374183</v>
      </c>
    </row>
    <row r="7" spans="1:13">
      <c r="A7" s="203" t="s">
        <v>81</v>
      </c>
      <c r="B7" s="185">
        <v>11.418652</v>
      </c>
      <c r="C7" s="185">
        <v>12.237477</v>
      </c>
      <c r="D7" s="187">
        <v>12.976351999999999</v>
      </c>
      <c r="E7" s="185">
        <v>9.6216150000000003</v>
      </c>
      <c r="F7" s="185">
        <v>10.471724999999999</v>
      </c>
      <c r="G7" s="187">
        <v>11.063203999999999</v>
      </c>
      <c r="H7" s="188">
        <v>0.84262266684368703</v>
      </c>
      <c r="I7" s="188">
        <v>0.85570947344783566</v>
      </c>
      <c r="J7" s="192">
        <v>0.85256657649237633</v>
      </c>
      <c r="K7" s="193">
        <v>4.8625255404620031E-2</v>
      </c>
      <c r="L7" s="192">
        <v>4.5639172785528696E-2</v>
      </c>
      <c r="M7" s="194">
        <v>4.5296298308427158E-2</v>
      </c>
    </row>
    <row r="8" spans="1:13">
      <c r="A8" s="203" t="s">
        <v>82</v>
      </c>
      <c r="B8" s="185">
        <v>9.2569999999999997</v>
      </c>
      <c r="C8" s="185">
        <v>9.5960000000000001</v>
      </c>
      <c r="D8" s="187">
        <v>10.113</v>
      </c>
      <c r="E8" s="185">
        <v>7.7229999999999999</v>
      </c>
      <c r="F8" s="185">
        <v>8.1869999999999994</v>
      </c>
      <c r="G8" s="187">
        <v>8.6759999999999984</v>
      </c>
      <c r="H8" s="188">
        <v>0.83428756616614452</v>
      </c>
      <c r="I8" s="188">
        <v>0.85316798666110871</v>
      </c>
      <c r="J8" s="192">
        <v>0.85790566597448814</v>
      </c>
      <c r="K8" s="193">
        <v>3.9030126178389024E-2</v>
      </c>
      <c r="L8" s="192">
        <v>3.5681600461731321E-2</v>
      </c>
      <c r="M8" s="194">
        <v>3.5522321031404104E-2</v>
      </c>
    </row>
    <row r="9" spans="1:13">
      <c r="A9" s="203" t="s">
        <v>83</v>
      </c>
      <c r="B9" s="185">
        <v>4.7294619999999998</v>
      </c>
      <c r="C9" s="185">
        <v>5.2132990000000001</v>
      </c>
      <c r="D9" s="187">
        <v>5.5976080000000001</v>
      </c>
      <c r="E9" s="185">
        <v>4.0175579999999993</v>
      </c>
      <c r="F9" s="185">
        <v>4.4810639999999999</v>
      </c>
      <c r="G9" s="187">
        <v>4.7686919999999997</v>
      </c>
      <c r="H9" s="188">
        <v>0.84947463368983611</v>
      </c>
      <c r="I9" s="188">
        <v>0.85954479111978799</v>
      </c>
      <c r="J9" s="192">
        <v>0.8519160327053984</v>
      </c>
      <c r="K9" s="193">
        <v>2.0303741508351188E-2</v>
      </c>
      <c r="L9" s="192">
        <v>1.9529929802302139E-2</v>
      </c>
      <c r="M9" s="194">
        <v>1.9524551420457413E-2</v>
      </c>
    </row>
    <row r="10" spans="1:13">
      <c r="A10" s="203" t="s">
        <v>85</v>
      </c>
      <c r="B10" s="185">
        <v>4.2296810000000002</v>
      </c>
      <c r="C10" s="185">
        <v>4.4416419999999999</v>
      </c>
      <c r="D10" s="187">
        <v>4.6631960000000001</v>
      </c>
      <c r="E10" s="185">
        <v>3.3476090000000003</v>
      </c>
      <c r="F10" s="185">
        <v>3.590509</v>
      </c>
      <c r="G10" s="187">
        <v>3.8848549999999995</v>
      </c>
      <c r="H10" s="188">
        <v>0.79145661339472173</v>
      </c>
      <c r="I10" s="188">
        <v>0.80837424538042468</v>
      </c>
      <c r="J10" s="192">
        <v>0.83308850839638726</v>
      </c>
      <c r="K10" s="193">
        <v>1.6917985454604521E-2</v>
      </c>
      <c r="L10" s="192">
        <v>1.5648602368663792E-2</v>
      </c>
      <c r="M10" s="194">
        <v>1.5905839842145619E-2</v>
      </c>
    </row>
    <row r="11" spans="1:13">
      <c r="A11" s="203" t="s">
        <v>86</v>
      </c>
      <c r="B11" s="185">
        <v>2.5260310000000001</v>
      </c>
      <c r="C11" s="185">
        <v>2.6282049999999999</v>
      </c>
      <c r="D11" s="187">
        <v>2.597658</v>
      </c>
      <c r="E11" s="185">
        <v>2.191468</v>
      </c>
      <c r="F11" s="185">
        <v>2.2795999999999998</v>
      </c>
      <c r="G11" s="187">
        <v>2.2356829999999999</v>
      </c>
      <c r="H11" s="188">
        <v>0.86755388195948502</v>
      </c>
      <c r="I11" s="188">
        <v>0.86736004231024599</v>
      </c>
      <c r="J11" s="192">
        <v>0.86065332695836017</v>
      </c>
      <c r="K11" s="193">
        <v>1.1075135641059412E-2</v>
      </c>
      <c r="L11" s="192">
        <v>9.9352359121244321E-3</v>
      </c>
      <c r="M11" s="194">
        <v>9.1536018038788185E-3</v>
      </c>
    </row>
    <row r="12" spans="1:13">
      <c r="A12" s="202" t="s">
        <v>87</v>
      </c>
      <c r="B12" s="195">
        <v>2.8188750000000002</v>
      </c>
      <c r="C12" s="196">
        <v>3.1999500000000003</v>
      </c>
      <c r="D12" s="197">
        <v>3.3145090000000001</v>
      </c>
      <c r="E12" s="196">
        <v>2.2566950000000001</v>
      </c>
      <c r="F12" s="196">
        <v>2.7220569999999999</v>
      </c>
      <c r="G12" s="197">
        <v>2.7360679999999999</v>
      </c>
      <c r="H12" s="198">
        <v>0.80056582856636072</v>
      </c>
      <c r="I12" s="199">
        <v>0.85065610400162495</v>
      </c>
      <c r="J12" s="199">
        <v>0.82548214531926145</v>
      </c>
      <c r="K12" s="198">
        <v>1.1404776718391768E-2</v>
      </c>
      <c r="L12" s="199">
        <v>1.1863606975456086E-2</v>
      </c>
      <c r="M12" s="200">
        <v>1.120233815810878E-2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I40"/>
  <sheetViews>
    <sheetView workbookViewId="0">
      <selection activeCell="E27" sqref="E27"/>
    </sheetView>
  </sheetViews>
  <sheetFormatPr defaultColWidth="11.19921875" defaultRowHeight="15.6"/>
  <cols>
    <col min="1" max="1" width="18.5" bestFit="1" customWidth="1"/>
    <col min="2" max="2" width="14" bestFit="1" customWidth="1"/>
    <col min="3" max="4" width="11.296875" bestFit="1" customWidth="1"/>
    <col min="8" max="8" width="58" customWidth="1"/>
    <col min="9" max="9" width="60.5" bestFit="1" customWidth="1"/>
  </cols>
  <sheetData>
    <row r="1" spans="1:9" ht="17.399999999999999">
      <c r="A1" s="55" t="s">
        <v>773</v>
      </c>
      <c r="B1" s="60" t="s">
        <v>774</v>
      </c>
      <c r="C1" s="60"/>
      <c r="D1" s="55"/>
      <c r="E1" s="60" t="s">
        <v>781</v>
      </c>
      <c r="F1" s="68"/>
      <c r="G1" s="88"/>
      <c r="H1" s="66" t="s">
        <v>920</v>
      </c>
      <c r="I1" s="138"/>
    </row>
    <row r="2" spans="1:9">
      <c r="A2" s="56"/>
      <c r="B2" s="61" t="s">
        <v>749</v>
      </c>
      <c r="C2" s="61" t="s">
        <v>750</v>
      </c>
      <c r="D2" s="56" t="s">
        <v>751</v>
      </c>
      <c r="E2" s="62" t="s">
        <v>749</v>
      </c>
      <c r="F2" s="61" t="s">
        <v>750</v>
      </c>
      <c r="G2" s="61" t="s">
        <v>751</v>
      </c>
      <c r="H2" s="62" t="s">
        <v>922</v>
      </c>
      <c r="I2" s="56" t="s">
        <v>921</v>
      </c>
    </row>
    <row r="3" spans="1:9">
      <c r="A3" s="55" t="s">
        <v>45</v>
      </c>
      <c r="B3" s="32">
        <v>5958.9</v>
      </c>
      <c r="C3" s="32">
        <v>6497.7</v>
      </c>
      <c r="D3" s="33">
        <v>6615.1</v>
      </c>
      <c r="E3" s="39">
        <f>B3/B$17</f>
        <v>0.28857825485921584</v>
      </c>
      <c r="F3" s="39">
        <f t="shared" ref="F3:G17" si="0">C3/C$17</f>
        <v>0.29066260310712005</v>
      </c>
      <c r="G3" s="129">
        <f t="shared" si="0"/>
        <v>0.29299839214303142</v>
      </c>
      <c r="H3" s="6" t="s">
        <v>968</v>
      </c>
      <c r="I3" s="12" t="s">
        <v>973</v>
      </c>
    </row>
    <row r="4" spans="1:9">
      <c r="A4" s="55" t="s">
        <v>46</v>
      </c>
      <c r="B4" s="32">
        <v>642</v>
      </c>
      <c r="C4" s="32">
        <v>694</v>
      </c>
      <c r="D4" s="33">
        <v>694</v>
      </c>
      <c r="E4" s="39">
        <f t="shared" ref="E4:E16" si="1">B4/$B$17</f>
        <v>3.1090845562036042E-2</v>
      </c>
      <c r="F4" s="39">
        <f t="shared" si="0"/>
        <v>3.1044807632907234E-2</v>
      </c>
      <c r="G4" s="18">
        <f t="shared" si="0"/>
        <v>3.0738897998104909E-2</v>
      </c>
      <c r="H4" s="6" t="s">
        <v>969</v>
      </c>
      <c r="I4" s="12" t="s">
        <v>1059</v>
      </c>
    </row>
    <row r="5" spans="1:9">
      <c r="A5" s="55" t="s">
        <v>47</v>
      </c>
      <c r="B5" s="32">
        <v>4023.9</v>
      </c>
      <c r="C5" s="32">
        <v>4406.1000000000004</v>
      </c>
      <c r="D5" s="33">
        <v>4520.6000000000004</v>
      </c>
      <c r="E5" s="39">
        <f t="shared" si="1"/>
        <v>0.194869865197939</v>
      </c>
      <c r="F5" s="39">
        <f t="shared" si="0"/>
        <v>0.1970987419471939</v>
      </c>
      <c r="G5" s="18">
        <f t="shared" si="0"/>
        <v>0.20022804364586896</v>
      </c>
      <c r="H5" s="6" t="s">
        <v>970</v>
      </c>
      <c r="I5" s="12" t="s">
        <v>974</v>
      </c>
    </row>
    <row r="6" spans="1:9">
      <c r="A6" s="55" t="s">
        <v>48</v>
      </c>
      <c r="B6" s="32">
        <v>466.24599999999998</v>
      </c>
      <c r="C6" s="32">
        <v>489.53399999999999</v>
      </c>
      <c r="D6" s="33">
        <v>464.62900000000002</v>
      </c>
      <c r="E6" s="39">
        <f t="shared" si="1"/>
        <v>2.2579411806724386E-2</v>
      </c>
      <c r="F6" s="39">
        <f t="shared" si="0"/>
        <v>2.1898398933382721E-2</v>
      </c>
      <c r="G6" s="18">
        <f t="shared" si="0"/>
        <v>2.0579515040290326E-2</v>
      </c>
      <c r="H6" s="6" t="s">
        <v>971</v>
      </c>
      <c r="I6" s="12" t="s">
        <v>975</v>
      </c>
    </row>
    <row r="7" spans="1:9">
      <c r="A7" s="55" t="s">
        <v>207</v>
      </c>
      <c r="B7" s="32">
        <v>4563.5</v>
      </c>
      <c r="C7" s="32">
        <v>4881.2</v>
      </c>
      <c r="D7" s="33">
        <v>4914.8</v>
      </c>
      <c r="E7" s="39">
        <f t="shared" si="1"/>
        <v>0.22100167246472194</v>
      </c>
      <c r="F7" s="39">
        <f t="shared" si="0"/>
        <v>0.21835146256159479</v>
      </c>
      <c r="G7" s="18">
        <f t="shared" si="0"/>
        <v>0.21768809204767436</v>
      </c>
      <c r="H7" s="6" t="s">
        <v>972</v>
      </c>
      <c r="I7" s="12" t="s">
        <v>982</v>
      </c>
    </row>
    <row r="8" spans="1:9" ht="17.399999999999999" hidden="1">
      <c r="A8" s="36" t="s">
        <v>777</v>
      </c>
      <c r="B8" s="168"/>
      <c r="C8" s="168"/>
      <c r="D8" s="169"/>
      <c r="E8" s="63"/>
      <c r="F8" s="63"/>
      <c r="G8" s="234"/>
      <c r="H8" s="6"/>
      <c r="I8" s="12"/>
    </row>
    <row r="9" spans="1:9">
      <c r="A9" s="55" t="s">
        <v>50</v>
      </c>
      <c r="B9" s="32">
        <v>431</v>
      </c>
      <c r="C9" s="32">
        <v>476</v>
      </c>
      <c r="D9" s="33">
        <v>473</v>
      </c>
      <c r="E9" s="39">
        <f t="shared" si="1"/>
        <v>2.0872514699746939E-2</v>
      </c>
      <c r="F9" s="39">
        <f t="shared" si="0"/>
        <v>2.1292980451388822E-2</v>
      </c>
      <c r="G9" s="18">
        <f t="shared" si="0"/>
        <v>2.095028638775738E-2</v>
      </c>
      <c r="H9" s="6" t="s">
        <v>976</v>
      </c>
      <c r="I9" s="12" t="s">
        <v>984</v>
      </c>
    </row>
    <row r="10" spans="1:9">
      <c r="A10" s="55" t="s">
        <v>208</v>
      </c>
      <c r="B10" s="32">
        <v>2053.0450000000001</v>
      </c>
      <c r="C10" s="32">
        <v>2283.1889999999999</v>
      </c>
      <c r="D10" s="33">
        <v>2264.8879999999999</v>
      </c>
      <c r="E10" s="39">
        <f t="shared" si="1"/>
        <v>9.9425085711698266E-2</v>
      </c>
      <c r="F10" s="39">
        <f t="shared" si="0"/>
        <v>0.10213424105845796</v>
      </c>
      <c r="G10" s="18">
        <f t="shared" si="0"/>
        <v>0.1003172351716597</v>
      </c>
      <c r="H10" s="6" t="s">
        <v>977</v>
      </c>
      <c r="I10" s="12" t="s">
        <v>983</v>
      </c>
    </row>
    <row r="11" spans="1:9">
      <c r="A11" s="55" t="s">
        <v>209</v>
      </c>
      <c r="B11" s="32">
        <v>271</v>
      </c>
      <c r="C11" s="32">
        <v>264</v>
      </c>
      <c r="D11" s="33">
        <v>264</v>
      </c>
      <c r="E11" s="39">
        <f t="shared" si="1"/>
        <v>1.3124017363413967E-2</v>
      </c>
      <c r="F11" s="39">
        <f t="shared" si="0"/>
        <v>1.1809552183123212E-2</v>
      </c>
      <c r="G11" s="18">
        <f t="shared" si="0"/>
        <v>1.1693183100143655E-2</v>
      </c>
      <c r="H11" s="6" t="s">
        <v>978</v>
      </c>
      <c r="I11" s="12" t="s">
        <v>984</v>
      </c>
    </row>
    <row r="12" spans="1:9" ht="17.399999999999999" hidden="1">
      <c r="A12" s="36" t="s">
        <v>778</v>
      </c>
      <c r="B12" s="168"/>
      <c r="C12" s="168"/>
      <c r="D12" s="169"/>
      <c r="E12" s="63"/>
      <c r="F12" s="63"/>
      <c r="G12" s="234"/>
      <c r="H12" s="6"/>
      <c r="I12" s="12"/>
    </row>
    <row r="13" spans="1:9">
      <c r="A13" s="55" t="s">
        <v>211</v>
      </c>
      <c r="B13" s="32">
        <v>648.50400000000002</v>
      </c>
      <c r="C13" s="32">
        <v>676.65700000000004</v>
      </c>
      <c r="D13" s="33">
        <v>664.654</v>
      </c>
      <c r="E13" s="39">
        <f t="shared" si="1"/>
        <v>3.1405821978757978E-2</v>
      </c>
      <c r="F13" s="39">
        <f t="shared" si="0"/>
        <v>3.0269000574150016E-2</v>
      </c>
      <c r="G13" s="18">
        <f t="shared" si="0"/>
        <v>2.9439094394859398E-2</v>
      </c>
      <c r="H13" s="6" t="s">
        <v>979</v>
      </c>
      <c r="I13" s="12"/>
    </row>
    <row r="14" spans="1:9">
      <c r="A14" s="55" t="s">
        <v>212</v>
      </c>
      <c r="B14" s="32">
        <v>502.02699999999999</v>
      </c>
      <c r="C14" s="32">
        <v>488.62200000000001</v>
      </c>
      <c r="D14" s="33">
        <v>484.69600000000003</v>
      </c>
      <c r="E14" s="39">
        <f t="shared" si="1"/>
        <v>2.4312217951670198E-2</v>
      </c>
      <c r="F14" s="39">
        <f t="shared" si="0"/>
        <v>2.1857602298568299E-2</v>
      </c>
      <c r="G14" s="18">
        <f t="shared" si="0"/>
        <v>2.1468329832981928E-2</v>
      </c>
      <c r="H14" s="6" t="s">
        <v>980</v>
      </c>
      <c r="I14" s="12"/>
    </row>
    <row r="15" spans="1:9" ht="17.399999999999999" hidden="1">
      <c r="A15" s="36" t="s">
        <v>779</v>
      </c>
      <c r="B15" s="168"/>
      <c r="C15" s="168"/>
      <c r="D15" s="169"/>
      <c r="E15" s="63"/>
      <c r="F15" s="63"/>
      <c r="G15" s="234"/>
      <c r="H15" s="6"/>
      <c r="I15" s="12"/>
    </row>
    <row r="16" spans="1:9">
      <c r="A16" s="56" t="s">
        <v>214</v>
      </c>
      <c r="B16" s="34">
        <v>1089.0429999999999</v>
      </c>
      <c r="C16" s="34">
        <v>1197.7829999999999</v>
      </c>
      <c r="D16" s="35">
        <v>1216.8900000000001</v>
      </c>
      <c r="E16" s="40">
        <f t="shared" si="1"/>
        <v>5.2740292404075413E-2</v>
      </c>
      <c r="F16" s="19">
        <f t="shared" si="0"/>
        <v>5.3580609252113144E-2</v>
      </c>
      <c r="G16" s="19">
        <f t="shared" si="0"/>
        <v>5.3898930237628082E-2</v>
      </c>
      <c r="H16" s="20" t="s">
        <v>981</v>
      </c>
      <c r="I16" s="15" t="s">
        <v>985</v>
      </c>
    </row>
    <row r="17" spans="1:7">
      <c r="A17" s="59" t="s">
        <v>780</v>
      </c>
      <c r="B17" s="43">
        <f>SUM(B3:B16)</f>
        <v>20649.165000000001</v>
      </c>
      <c r="C17" s="43">
        <f>SUM(C3:C16)</f>
        <v>22354.784999999996</v>
      </c>
      <c r="D17" s="44">
        <f>SUM(D3:D16)</f>
        <v>22577.256999999998</v>
      </c>
      <c r="E17" s="45">
        <f>B17/$B$17</f>
        <v>1</v>
      </c>
      <c r="F17" s="45">
        <f t="shared" si="0"/>
        <v>1</v>
      </c>
      <c r="G17" s="46">
        <f t="shared" si="0"/>
        <v>1</v>
      </c>
    </row>
    <row r="18" spans="1:7">
      <c r="B18" s="13" t="s">
        <v>772</v>
      </c>
    </row>
    <row r="19" spans="1:7">
      <c r="B19" s="13" t="s">
        <v>776</v>
      </c>
    </row>
    <row r="27" spans="1:7">
      <c r="A27" s="3"/>
    </row>
    <row r="28" spans="1:7">
      <c r="A28" s="3"/>
    </row>
    <row r="29" spans="1:7">
      <c r="A29" s="3"/>
    </row>
    <row r="30" spans="1:7">
      <c r="A30" s="3"/>
    </row>
    <row r="31" spans="1:7">
      <c r="A31" s="3"/>
    </row>
    <row r="32" spans="1:7">
      <c r="A32" s="3"/>
    </row>
    <row r="33" spans="1:1">
      <c r="A33" s="3"/>
    </row>
    <row r="34" spans="1:1">
      <c r="A34" s="3"/>
    </row>
    <row r="35" spans="1:1">
      <c r="A35" s="3"/>
    </row>
    <row r="36" spans="1:1">
      <c r="A36" s="3"/>
    </row>
    <row r="37" spans="1:1">
      <c r="A37" s="3"/>
    </row>
    <row r="38" spans="1:1">
      <c r="A38" s="3"/>
    </row>
    <row r="39" spans="1:1">
      <c r="A39" s="3"/>
    </row>
    <row r="40" spans="1:1">
      <c r="A4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1:C432"/>
  <sheetViews>
    <sheetView workbookViewId="0">
      <selection activeCell="C11" sqref="C11"/>
    </sheetView>
  </sheetViews>
  <sheetFormatPr defaultColWidth="11.19921875" defaultRowHeight="15.6"/>
  <cols>
    <col min="1" max="1" width="18.5" bestFit="1" customWidth="1"/>
    <col min="2" max="2" width="13.69921875" customWidth="1"/>
    <col min="3" max="3" width="119.296875" customWidth="1"/>
  </cols>
  <sheetData>
    <row r="1" spans="1:3">
      <c r="A1" s="1" t="s">
        <v>13</v>
      </c>
    </row>
    <row r="2" spans="1:3">
      <c r="A2" t="s">
        <v>15</v>
      </c>
      <c r="C2" t="s">
        <v>608</v>
      </c>
    </row>
    <row r="3" spans="1:3">
      <c r="B3" t="s">
        <v>271</v>
      </c>
      <c r="C3" t="s">
        <v>633</v>
      </c>
    </row>
    <row r="4" spans="1:3">
      <c r="B4" t="s">
        <v>272</v>
      </c>
      <c r="C4" t="s">
        <v>273</v>
      </c>
    </row>
    <row r="5" spans="1:3">
      <c r="B5" t="s">
        <v>274</v>
      </c>
      <c r="C5" t="s">
        <v>275</v>
      </c>
    </row>
    <row r="6" spans="1:3">
      <c r="A6" t="s">
        <v>32</v>
      </c>
      <c r="C6" t="s">
        <v>634</v>
      </c>
    </row>
    <row r="7" spans="1:3">
      <c r="B7" t="s">
        <v>276</v>
      </c>
      <c r="C7" t="s">
        <v>282</v>
      </c>
    </row>
    <row r="8" spans="1:3">
      <c r="B8" t="s">
        <v>277</v>
      </c>
      <c r="C8" t="s">
        <v>283</v>
      </c>
    </row>
    <row r="9" spans="1:3">
      <c r="B9" t="s">
        <v>278</v>
      </c>
      <c r="C9" t="s">
        <v>284</v>
      </c>
    </row>
    <row r="10" spans="1:3">
      <c r="B10" t="s">
        <v>279</v>
      </c>
      <c r="C10" t="s">
        <v>285</v>
      </c>
    </row>
    <row r="11" spans="1:3">
      <c r="B11" t="s">
        <v>280</v>
      </c>
      <c r="C11" t="s">
        <v>286</v>
      </c>
    </row>
    <row r="12" spans="1:3">
      <c r="B12" t="s">
        <v>281</v>
      </c>
      <c r="C12" t="s">
        <v>287</v>
      </c>
    </row>
    <row r="13" spans="1:3">
      <c r="B13" t="s">
        <v>288</v>
      </c>
      <c r="C13" t="s">
        <v>289</v>
      </c>
    </row>
    <row r="14" spans="1:3">
      <c r="B14" t="s">
        <v>290</v>
      </c>
      <c r="C14" t="s">
        <v>291</v>
      </c>
    </row>
    <row r="15" spans="1:3">
      <c r="B15" t="s">
        <v>292</v>
      </c>
      <c r="C15" t="s">
        <v>296</v>
      </c>
    </row>
    <row r="16" spans="1:3">
      <c r="A16" t="s">
        <v>33</v>
      </c>
      <c r="C16" t="s">
        <v>635</v>
      </c>
    </row>
    <row r="17" spans="1:3">
      <c r="B17" t="s">
        <v>294</v>
      </c>
      <c r="C17" t="s">
        <v>295</v>
      </c>
    </row>
    <row r="19" spans="1:3">
      <c r="A19" s="1" t="s">
        <v>301</v>
      </c>
    </row>
    <row r="20" spans="1:3">
      <c r="A20" t="s">
        <v>45</v>
      </c>
      <c r="C20" t="s">
        <v>636</v>
      </c>
    </row>
    <row r="21" spans="1:3">
      <c r="A21" t="s">
        <v>46</v>
      </c>
      <c r="C21" t="s">
        <v>637</v>
      </c>
    </row>
    <row r="22" spans="1:3">
      <c r="A22" t="s">
        <v>47</v>
      </c>
      <c r="C22" t="s">
        <v>638</v>
      </c>
    </row>
    <row r="23" spans="1:3">
      <c r="A23" t="s">
        <v>48</v>
      </c>
      <c r="C23" t="s">
        <v>639</v>
      </c>
    </row>
    <row r="24" spans="1:3">
      <c r="A24" t="s">
        <v>207</v>
      </c>
      <c r="C24" t="s">
        <v>640</v>
      </c>
    </row>
    <row r="25" spans="1:3">
      <c r="A25" t="s">
        <v>49</v>
      </c>
      <c r="C25" t="s">
        <v>641</v>
      </c>
    </row>
    <row r="26" spans="1:3">
      <c r="A26" t="s">
        <v>50</v>
      </c>
      <c r="C26" t="s">
        <v>297</v>
      </c>
    </row>
    <row r="27" spans="1:3">
      <c r="A27" t="s">
        <v>208</v>
      </c>
      <c r="C27" t="s">
        <v>642</v>
      </c>
    </row>
    <row r="28" spans="1:3">
      <c r="A28" t="s">
        <v>209</v>
      </c>
      <c r="C28" t="s">
        <v>643</v>
      </c>
    </row>
    <row r="29" spans="1:3">
      <c r="A29" t="s">
        <v>210</v>
      </c>
      <c r="C29" t="s">
        <v>298</v>
      </c>
    </row>
    <row r="30" spans="1:3">
      <c r="A30" t="s">
        <v>211</v>
      </c>
      <c r="C30" t="s">
        <v>299</v>
      </c>
    </row>
    <row r="31" spans="1:3">
      <c r="A31" t="s">
        <v>212</v>
      </c>
      <c r="C31" t="s">
        <v>609</v>
      </c>
    </row>
    <row r="32" spans="1:3">
      <c r="A32" t="s">
        <v>213</v>
      </c>
      <c r="C32" t="s">
        <v>300</v>
      </c>
    </row>
    <row r="33" spans="1:3">
      <c r="A33" t="s">
        <v>214</v>
      </c>
      <c r="C33" t="s">
        <v>644</v>
      </c>
    </row>
    <row r="35" spans="1:3">
      <c r="A35" s="1" t="s">
        <v>36</v>
      </c>
    </row>
    <row r="36" spans="1:3">
      <c r="A36" s="4" t="s">
        <v>38</v>
      </c>
      <c r="C36" t="s">
        <v>645</v>
      </c>
    </row>
    <row r="37" spans="1:3">
      <c r="A37" t="s">
        <v>37</v>
      </c>
      <c r="C37" t="s">
        <v>646</v>
      </c>
    </row>
    <row r="38" spans="1:3">
      <c r="A38" t="s">
        <v>39</v>
      </c>
      <c r="C38" t="s">
        <v>302</v>
      </c>
    </row>
    <row r="39" spans="1:3">
      <c r="A39" t="s">
        <v>40</v>
      </c>
      <c r="C39" t="s">
        <v>303</v>
      </c>
    </row>
    <row r="40" spans="1:3">
      <c r="A40" t="s">
        <v>41</v>
      </c>
      <c r="C40" t="s">
        <v>610</v>
      </c>
    </row>
    <row r="41" spans="1:3">
      <c r="A41" t="s">
        <v>42</v>
      </c>
      <c r="C41" t="s">
        <v>647</v>
      </c>
    </row>
    <row r="42" spans="1:3">
      <c r="A42" t="s">
        <v>43</v>
      </c>
      <c r="C42" t="s">
        <v>304</v>
      </c>
    </row>
    <row r="43" spans="1:3">
      <c r="A43" t="s">
        <v>305</v>
      </c>
      <c r="C43" t="s">
        <v>306</v>
      </c>
    </row>
    <row r="44" spans="1:3">
      <c r="A44" t="s">
        <v>307</v>
      </c>
      <c r="C44" t="s">
        <v>308</v>
      </c>
    </row>
    <row r="45" spans="1:3">
      <c r="A45" t="s">
        <v>309</v>
      </c>
      <c r="C45" t="s">
        <v>310</v>
      </c>
    </row>
    <row r="46" spans="1:3">
      <c r="A46" s="4" t="s">
        <v>311</v>
      </c>
      <c r="C46" t="s">
        <v>312</v>
      </c>
    </row>
    <row r="47" spans="1:3">
      <c r="A47" t="s">
        <v>313</v>
      </c>
      <c r="C47" t="s">
        <v>314</v>
      </c>
    </row>
    <row r="48" spans="1:3">
      <c r="A48" t="s">
        <v>315</v>
      </c>
      <c r="C48" t="s">
        <v>316</v>
      </c>
    </row>
    <row r="50" spans="1:3">
      <c r="A50" s="1" t="s">
        <v>254</v>
      </c>
    </row>
    <row r="51" spans="1:3">
      <c r="A51" s="3" t="s">
        <v>255</v>
      </c>
      <c r="C51" t="s">
        <v>648</v>
      </c>
    </row>
    <row r="52" spans="1:3">
      <c r="A52" s="3" t="s">
        <v>256</v>
      </c>
      <c r="C52" t="s">
        <v>649</v>
      </c>
    </row>
    <row r="53" spans="1:3">
      <c r="A53" s="3" t="s">
        <v>257</v>
      </c>
      <c r="C53" t="s">
        <v>650</v>
      </c>
    </row>
    <row r="54" spans="1:3">
      <c r="A54" s="3" t="s">
        <v>258</v>
      </c>
      <c r="C54" t="s">
        <v>651</v>
      </c>
    </row>
    <row r="55" spans="1:3">
      <c r="A55" s="3" t="s">
        <v>259</v>
      </c>
      <c r="C55" t="s">
        <v>652</v>
      </c>
    </row>
    <row r="56" spans="1:3">
      <c r="A56" s="3" t="s">
        <v>260</v>
      </c>
      <c r="C56" t="s">
        <v>653</v>
      </c>
    </row>
    <row r="57" spans="1:3">
      <c r="A57" s="3" t="s">
        <v>261</v>
      </c>
      <c r="C57" t="s">
        <v>654</v>
      </c>
    </row>
    <row r="58" spans="1:3">
      <c r="A58" s="3" t="s">
        <v>262</v>
      </c>
      <c r="C58" t="s">
        <v>655</v>
      </c>
    </row>
    <row r="59" spans="1:3">
      <c r="A59" s="3" t="s">
        <v>263</v>
      </c>
      <c r="C59" t="s">
        <v>317</v>
      </c>
    </row>
    <row r="60" spans="1:3">
      <c r="A60" s="3" t="s">
        <v>264</v>
      </c>
      <c r="C60" t="s">
        <v>656</v>
      </c>
    </row>
    <row r="61" spans="1:3">
      <c r="A61" s="3" t="s">
        <v>265</v>
      </c>
      <c r="C61" t="s">
        <v>318</v>
      </c>
    </row>
    <row r="62" spans="1:3">
      <c r="A62" s="3" t="s">
        <v>266</v>
      </c>
      <c r="C62" t="s">
        <v>319</v>
      </c>
    </row>
    <row r="65" spans="1:3">
      <c r="A65" s="5" t="s">
        <v>744</v>
      </c>
    </row>
    <row r="66" spans="1:3">
      <c r="A66" s="3" t="s">
        <v>178</v>
      </c>
      <c r="C66" t="s">
        <v>658</v>
      </c>
    </row>
    <row r="67" spans="1:3">
      <c r="A67" s="3" t="s">
        <v>17</v>
      </c>
      <c r="C67" t="s">
        <v>657</v>
      </c>
    </row>
    <row r="68" spans="1:3">
      <c r="A68" s="3" t="s">
        <v>1</v>
      </c>
      <c r="C68" t="s">
        <v>659</v>
      </c>
    </row>
    <row r="69" spans="1:3">
      <c r="A69" s="3" t="s">
        <v>179</v>
      </c>
      <c r="C69" t="s">
        <v>660</v>
      </c>
    </row>
    <row r="70" spans="1:3">
      <c r="A70" s="3" t="s">
        <v>180</v>
      </c>
      <c r="C70" t="s">
        <v>661</v>
      </c>
    </row>
    <row r="71" spans="1:3">
      <c r="A71" s="3" t="s">
        <v>15</v>
      </c>
      <c r="C71" t="s">
        <v>662</v>
      </c>
    </row>
    <row r="72" spans="1:3">
      <c r="A72" s="3" t="s">
        <v>181</v>
      </c>
      <c r="C72" t="s">
        <v>663</v>
      </c>
    </row>
    <row r="73" spans="1:3">
      <c r="A73" s="3" t="s">
        <v>182</v>
      </c>
      <c r="C73" t="s">
        <v>320</v>
      </c>
    </row>
    <row r="74" spans="1:3">
      <c r="A74" s="3" t="s">
        <v>183</v>
      </c>
      <c r="C74" t="s">
        <v>321</v>
      </c>
    </row>
    <row r="75" spans="1:3">
      <c r="A75" s="3"/>
    </row>
    <row r="76" spans="1:3">
      <c r="A76" s="1" t="s">
        <v>745</v>
      </c>
    </row>
    <row r="77" spans="1:3">
      <c r="A77" s="3" t="s">
        <v>51</v>
      </c>
      <c r="C77" t="s">
        <v>322</v>
      </c>
    </row>
    <row r="78" spans="1:3">
      <c r="A78" s="3" t="s">
        <v>52</v>
      </c>
      <c r="C78" t="s">
        <v>323</v>
      </c>
    </row>
    <row r="79" spans="1:3">
      <c r="A79" s="3" t="s">
        <v>53</v>
      </c>
      <c r="C79" t="s">
        <v>324</v>
      </c>
    </row>
    <row r="80" spans="1:3">
      <c r="A80" s="3" t="s">
        <v>54</v>
      </c>
      <c r="C80" t="s">
        <v>325</v>
      </c>
    </row>
    <row r="81" spans="1:3">
      <c r="A81" s="3" t="s">
        <v>55</v>
      </c>
      <c r="C81" t="s">
        <v>326</v>
      </c>
    </row>
    <row r="82" spans="1:3">
      <c r="A82" s="3" t="s">
        <v>56</v>
      </c>
      <c r="C82" t="s">
        <v>327</v>
      </c>
    </row>
    <row r="83" spans="1:3">
      <c r="A83" s="3" t="s">
        <v>57</v>
      </c>
      <c r="C83" t="s">
        <v>328</v>
      </c>
    </row>
    <row r="84" spans="1:3">
      <c r="A84" s="3" t="s">
        <v>58</v>
      </c>
      <c r="C84" t="s">
        <v>329</v>
      </c>
    </row>
    <row r="85" spans="1:3">
      <c r="A85" s="3" t="s">
        <v>59</v>
      </c>
      <c r="C85" t="s">
        <v>330</v>
      </c>
    </row>
    <row r="86" spans="1:3">
      <c r="A86" s="3" t="s">
        <v>60</v>
      </c>
      <c r="C86" t="s">
        <v>331</v>
      </c>
    </row>
    <row r="87" spans="1:3">
      <c r="A87" s="3" t="s">
        <v>61</v>
      </c>
      <c r="C87" t="s">
        <v>332</v>
      </c>
    </row>
    <row r="88" spans="1:3">
      <c r="A88" s="3" t="s">
        <v>62</v>
      </c>
      <c r="C88" t="s">
        <v>333</v>
      </c>
    </row>
    <row r="89" spans="1:3">
      <c r="A89" s="3" t="s">
        <v>63</v>
      </c>
      <c r="C89" t="s">
        <v>334</v>
      </c>
    </row>
    <row r="90" spans="1:3">
      <c r="A90" s="3" t="s">
        <v>64</v>
      </c>
      <c r="C90" t="s">
        <v>335</v>
      </c>
    </row>
    <row r="92" spans="1:3">
      <c r="A92" s="5" t="s">
        <v>336</v>
      </c>
    </row>
    <row r="93" spans="1:3">
      <c r="A93" t="s">
        <v>34</v>
      </c>
      <c r="C93" t="s">
        <v>664</v>
      </c>
    </row>
    <row r="94" spans="1:3">
      <c r="A94" t="s">
        <v>35</v>
      </c>
      <c r="C94" t="s">
        <v>665</v>
      </c>
    </row>
    <row r="95" spans="1:3">
      <c r="A95" t="s">
        <v>15</v>
      </c>
      <c r="C95" t="s">
        <v>666</v>
      </c>
    </row>
    <row r="96" spans="1:3">
      <c r="A96" t="s">
        <v>176</v>
      </c>
      <c r="C96" t="s">
        <v>667</v>
      </c>
    </row>
    <row r="97" spans="1:3">
      <c r="A97" t="s">
        <v>17</v>
      </c>
      <c r="C97" t="s">
        <v>668</v>
      </c>
    </row>
    <row r="98" spans="1:3">
      <c r="A98" t="s">
        <v>202</v>
      </c>
      <c r="C98" t="s">
        <v>670</v>
      </c>
    </row>
    <row r="99" spans="1:3">
      <c r="A99" t="s">
        <v>173</v>
      </c>
      <c r="C99" t="s">
        <v>669</v>
      </c>
    </row>
    <row r="100" spans="1:3">
      <c r="A100" t="s">
        <v>203</v>
      </c>
      <c r="C100" t="s">
        <v>337</v>
      </c>
    </row>
    <row r="101" spans="1:3">
      <c r="A101" t="s">
        <v>204</v>
      </c>
      <c r="C101" t="s">
        <v>338</v>
      </c>
    </row>
    <row r="102" spans="1:3">
      <c r="A102" t="s">
        <v>205</v>
      </c>
      <c r="C102" t="s">
        <v>611</v>
      </c>
    </row>
    <row r="103" spans="1:3">
      <c r="A103" t="s">
        <v>206</v>
      </c>
      <c r="C103" t="s">
        <v>339</v>
      </c>
    </row>
    <row r="105" spans="1:3">
      <c r="A105" s="1" t="s">
        <v>0</v>
      </c>
    </row>
    <row r="106" spans="1:3">
      <c r="A106" t="s">
        <v>1</v>
      </c>
      <c r="C106" t="s">
        <v>671</v>
      </c>
    </row>
    <row r="107" spans="1:3">
      <c r="A107" t="s">
        <v>340</v>
      </c>
      <c r="C107" t="s">
        <v>672</v>
      </c>
    </row>
    <row r="108" spans="1:3">
      <c r="A108" t="s">
        <v>2</v>
      </c>
      <c r="C108" t="s">
        <v>673</v>
      </c>
    </row>
    <row r="109" spans="1:3">
      <c r="A109" t="s">
        <v>3</v>
      </c>
      <c r="C109" t="s">
        <v>674</v>
      </c>
    </row>
    <row r="110" spans="1:3">
      <c r="A110" t="s">
        <v>4</v>
      </c>
      <c r="C110" t="s">
        <v>675</v>
      </c>
    </row>
    <row r="111" spans="1:3">
      <c r="A111" t="s">
        <v>6</v>
      </c>
      <c r="C111" t="s">
        <v>676</v>
      </c>
    </row>
    <row r="112" spans="1:3">
      <c r="A112" t="s">
        <v>5</v>
      </c>
      <c r="C112" t="s">
        <v>677</v>
      </c>
    </row>
    <row r="113" spans="1:3">
      <c r="A113" t="s">
        <v>155</v>
      </c>
      <c r="C113" t="s">
        <v>678</v>
      </c>
    </row>
    <row r="114" spans="1:3">
      <c r="A114" t="s">
        <v>156</v>
      </c>
      <c r="C114" t="s">
        <v>679</v>
      </c>
    </row>
    <row r="115" spans="1:3">
      <c r="A115" t="s">
        <v>157</v>
      </c>
      <c r="C115" t="s">
        <v>680</v>
      </c>
    </row>
    <row r="116" spans="1:3">
      <c r="A116" t="s">
        <v>158</v>
      </c>
      <c r="C116" t="s">
        <v>682</v>
      </c>
    </row>
    <row r="117" spans="1:3">
      <c r="A117" t="s">
        <v>159</v>
      </c>
      <c r="C117" t="s">
        <v>681</v>
      </c>
    </row>
    <row r="119" spans="1:3">
      <c r="A119" s="1" t="s">
        <v>341</v>
      </c>
    </row>
    <row r="120" spans="1:3">
      <c r="A120" s="3" t="s">
        <v>7</v>
      </c>
      <c r="C120" t="s">
        <v>612</v>
      </c>
    </row>
    <row r="121" spans="1:3">
      <c r="A121" s="3" t="s">
        <v>8</v>
      </c>
      <c r="C121" t="s">
        <v>613</v>
      </c>
    </row>
    <row r="122" spans="1:3">
      <c r="A122" s="3" t="s">
        <v>9</v>
      </c>
      <c r="C122" t="s">
        <v>342</v>
      </c>
    </row>
    <row r="123" spans="1:3">
      <c r="A123" s="3" t="s">
        <v>160</v>
      </c>
      <c r="C123" t="s">
        <v>424</v>
      </c>
    </row>
    <row r="124" spans="1:3">
      <c r="A124" s="3" t="s">
        <v>161</v>
      </c>
      <c r="C124" t="s">
        <v>614</v>
      </c>
    </row>
    <row r="125" spans="1:3">
      <c r="A125" s="3" t="s">
        <v>162</v>
      </c>
      <c r="C125" t="s">
        <v>615</v>
      </c>
    </row>
    <row r="126" spans="1:3">
      <c r="A126" s="3" t="s">
        <v>163</v>
      </c>
      <c r="C126" t="s">
        <v>616</v>
      </c>
    </row>
    <row r="127" spans="1:3">
      <c r="A127" s="3" t="s">
        <v>164</v>
      </c>
      <c r="C127" t="s">
        <v>617</v>
      </c>
    </row>
    <row r="128" spans="1:3">
      <c r="A128" s="3" t="s">
        <v>165</v>
      </c>
      <c r="C128" t="s">
        <v>620</v>
      </c>
    </row>
    <row r="129" spans="1:3">
      <c r="A129" s="3" t="s">
        <v>166</v>
      </c>
      <c r="C129" t="s">
        <v>618</v>
      </c>
    </row>
    <row r="130" spans="1:3">
      <c r="A130" s="3" t="s">
        <v>619</v>
      </c>
      <c r="C130" t="s">
        <v>621</v>
      </c>
    </row>
    <row r="131" spans="1:3">
      <c r="A131" s="3" t="s">
        <v>622</v>
      </c>
      <c r="C131" t="s">
        <v>623</v>
      </c>
    </row>
    <row r="132" spans="1:3">
      <c r="A132" s="3" t="s">
        <v>624</v>
      </c>
      <c r="C132" t="s">
        <v>625</v>
      </c>
    </row>
    <row r="133" spans="1:3">
      <c r="A133" s="3" t="s">
        <v>626</v>
      </c>
      <c r="C133" t="s">
        <v>627</v>
      </c>
    </row>
    <row r="135" spans="1:3">
      <c r="A135" s="5" t="s">
        <v>343</v>
      </c>
    </row>
    <row r="136" spans="1:3">
      <c r="A136" s="3" t="s">
        <v>89</v>
      </c>
      <c r="C136" t="s">
        <v>715</v>
      </c>
    </row>
    <row r="137" spans="1:3">
      <c r="A137" s="3" t="s">
        <v>90</v>
      </c>
      <c r="C137" t="s">
        <v>716</v>
      </c>
    </row>
    <row r="138" spans="1:3">
      <c r="A138" s="3" t="s">
        <v>91</v>
      </c>
      <c r="C138" t="s">
        <v>717</v>
      </c>
    </row>
    <row r="139" spans="1:3">
      <c r="A139" s="3" t="s">
        <v>92</v>
      </c>
      <c r="C139" t="s">
        <v>718</v>
      </c>
    </row>
    <row r="140" spans="1:3">
      <c r="A140" s="3" t="s">
        <v>93</v>
      </c>
      <c r="C140" t="s">
        <v>719</v>
      </c>
    </row>
    <row r="141" spans="1:3">
      <c r="A141" s="3" t="s">
        <v>94</v>
      </c>
      <c r="C141" t="s">
        <v>720</v>
      </c>
    </row>
    <row r="142" spans="1:3">
      <c r="A142" s="3" t="s">
        <v>95</v>
      </c>
      <c r="C142" t="s">
        <v>721</v>
      </c>
    </row>
    <row r="143" spans="1:3">
      <c r="A143" s="3" t="s">
        <v>96</v>
      </c>
      <c r="C143" t="s">
        <v>722</v>
      </c>
    </row>
    <row r="144" spans="1:3">
      <c r="A144" s="3" t="s">
        <v>97</v>
      </c>
      <c r="C144" t="s">
        <v>723</v>
      </c>
    </row>
    <row r="145" spans="1:3">
      <c r="A145" s="3" t="s">
        <v>98</v>
      </c>
      <c r="C145" t="s">
        <v>724</v>
      </c>
    </row>
    <row r="146" spans="1:3">
      <c r="A146" s="3" t="s">
        <v>99</v>
      </c>
      <c r="C146" t="s">
        <v>725</v>
      </c>
    </row>
    <row r="147" spans="1:3">
      <c r="A147" s="3" t="s">
        <v>100</v>
      </c>
      <c r="C147" t="s">
        <v>726</v>
      </c>
    </row>
    <row r="148" spans="1:3">
      <c r="A148" s="3" t="s">
        <v>101</v>
      </c>
      <c r="C148" t="s">
        <v>727</v>
      </c>
    </row>
    <row r="149" spans="1:3">
      <c r="A149" s="3" t="s">
        <v>102</v>
      </c>
      <c r="C149" t="s">
        <v>728</v>
      </c>
    </row>
    <row r="150" spans="1:3">
      <c r="A150" s="3" t="s">
        <v>103</v>
      </c>
      <c r="C150" t="s">
        <v>344</v>
      </c>
    </row>
    <row r="151" spans="1:3">
      <c r="A151" s="3" t="s">
        <v>104</v>
      </c>
      <c r="C151" t="s">
        <v>729</v>
      </c>
    </row>
    <row r="152" spans="1:3">
      <c r="A152" s="3" t="s">
        <v>105</v>
      </c>
      <c r="C152" t="s">
        <v>730</v>
      </c>
    </row>
    <row r="153" spans="1:3">
      <c r="A153" s="3" t="s">
        <v>106</v>
      </c>
      <c r="C153" t="s">
        <v>731</v>
      </c>
    </row>
    <row r="154" spans="1:3">
      <c r="A154" s="3" t="s">
        <v>107</v>
      </c>
      <c r="C154" t="s">
        <v>732</v>
      </c>
    </row>
    <row r="155" spans="1:3">
      <c r="A155" s="3" t="s">
        <v>108</v>
      </c>
      <c r="C155" t="s">
        <v>733</v>
      </c>
    </row>
    <row r="156" spans="1:3">
      <c r="A156" s="3" t="s">
        <v>345</v>
      </c>
      <c r="C156" t="s">
        <v>734</v>
      </c>
    </row>
    <row r="157" spans="1:3">
      <c r="A157" s="3" t="s">
        <v>109</v>
      </c>
      <c r="C157" t="s">
        <v>735</v>
      </c>
    </row>
    <row r="158" spans="1:3">
      <c r="A158" s="3" t="s">
        <v>110</v>
      </c>
      <c r="C158" t="s">
        <v>736</v>
      </c>
    </row>
    <row r="159" spans="1:3">
      <c r="A159" s="3" t="s">
        <v>111</v>
      </c>
      <c r="C159" t="s">
        <v>737</v>
      </c>
    </row>
    <row r="160" spans="1:3">
      <c r="A160" s="3" t="s">
        <v>112</v>
      </c>
      <c r="C160" t="s">
        <v>738</v>
      </c>
    </row>
    <row r="161" spans="1:3">
      <c r="A161" s="3" t="s">
        <v>113</v>
      </c>
      <c r="C161" t="s">
        <v>739</v>
      </c>
    </row>
    <row r="162" spans="1:3">
      <c r="A162" s="3" t="s">
        <v>114</v>
      </c>
      <c r="C162" t="s">
        <v>740</v>
      </c>
    </row>
    <row r="163" spans="1:3">
      <c r="A163" s="3" t="s">
        <v>115</v>
      </c>
      <c r="C163" t="s">
        <v>741</v>
      </c>
    </row>
    <row r="164" spans="1:3">
      <c r="A164" s="3" t="s">
        <v>346</v>
      </c>
      <c r="C164" t="s">
        <v>742</v>
      </c>
    </row>
    <row r="165" spans="1:3">
      <c r="A165" s="3" t="s">
        <v>116</v>
      </c>
      <c r="C165" t="s">
        <v>743</v>
      </c>
    </row>
    <row r="167" spans="1:3">
      <c r="A167" s="5" t="s">
        <v>347</v>
      </c>
    </row>
    <row r="168" spans="1:3">
      <c r="A168" s="3" t="s">
        <v>77</v>
      </c>
      <c r="C168" t="s">
        <v>348</v>
      </c>
    </row>
    <row r="169" spans="1:3">
      <c r="A169" s="3" t="s">
        <v>78</v>
      </c>
      <c r="C169" t="s">
        <v>357</v>
      </c>
    </row>
    <row r="170" spans="1:3">
      <c r="A170" s="3" t="s">
        <v>79</v>
      </c>
      <c r="C170" t="s">
        <v>358</v>
      </c>
    </row>
    <row r="171" spans="1:3">
      <c r="A171" s="3" t="s">
        <v>80</v>
      </c>
      <c r="C171" t="s">
        <v>349</v>
      </c>
    </row>
    <row r="172" spans="1:3">
      <c r="A172" s="3" t="s">
        <v>81</v>
      </c>
      <c r="C172" t="s">
        <v>359</v>
      </c>
    </row>
    <row r="173" spans="1:3">
      <c r="A173" s="3" t="s">
        <v>82</v>
      </c>
      <c r="C173" t="s">
        <v>350</v>
      </c>
    </row>
    <row r="174" spans="1:3">
      <c r="A174" s="3" t="s">
        <v>83</v>
      </c>
      <c r="C174" t="s">
        <v>351</v>
      </c>
    </row>
    <row r="175" spans="1:3">
      <c r="A175" s="3" t="s">
        <v>84</v>
      </c>
      <c r="C175" t="s">
        <v>352</v>
      </c>
    </row>
    <row r="176" spans="1:3">
      <c r="A176" s="3" t="s">
        <v>85</v>
      </c>
      <c r="C176" t="s">
        <v>353</v>
      </c>
    </row>
    <row r="177" spans="1:3">
      <c r="A177" s="3" t="s">
        <v>86</v>
      </c>
      <c r="C177" t="s">
        <v>354</v>
      </c>
    </row>
    <row r="178" spans="1:3">
      <c r="A178" s="3" t="s">
        <v>87</v>
      </c>
      <c r="C178" t="s">
        <v>355</v>
      </c>
    </row>
    <row r="179" spans="1:3">
      <c r="A179" s="3" t="s">
        <v>88</v>
      </c>
      <c r="C179" t="s">
        <v>356</v>
      </c>
    </row>
    <row r="181" spans="1:3">
      <c r="A181" s="1" t="s">
        <v>132</v>
      </c>
    </row>
    <row r="182" spans="1:3">
      <c r="A182" s="3" t="s">
        <v>133</v>
      </c>
      <c r="C182" t="s">
        <v>360</v>
      </c>
    </row>
    <row r="183" spans="1:3">
      <c r="A183" s="3" t="s">
        <v>134</v>
      </c>
      <c r="C183" t="s">
        <v>361</v>
      </c>
    </row>
    <row r="184" spans="1:3">
      <c r="A184" s="3" t="s">
        <v>135</v>
      </c>
      <c r="C184" t="s">
        <v>362</v>
      </c>
    </row>
    <row r="185" spans="1:3">
      <c r="A185" s="3" t="s">
        <v>136</v>
      </c>
      <c r="C185" t="s">
        <v>363</v>
      </c>
    </row>
    <row r="186" spans="1:3">
      <c r="A186" s="3" t="s">
        <v>137</v>
      </c>
      <c r="C186" t="s">
        <v>366</v>
      </c>
    </row>
    <row r="187" spans="1:3">
      <c r="A187" s="3" t="s">
        <v>138</v>
      </c>
      <c r="C187" t="s">
        <v>364</v>
      </c>
    </row>
    <row r="188" spans="1:3">
      <c r="A188" s="3" t="s">
        <v>139</v>
      </c>
      <c r="C188" t="s">
        <v>365</v>
      </c>
    </row>
    <row r="189" spans="1:3">
      <c r="A189" s="3" t="s">
        <v>140</v>
      </c>
      <c r="C189" t="s">
        <v>367</v>
      </c>
    </row>
    <row r="190" spans="1:3">
      <c r="A190" s="3" t="s">
        <v>141</v>
      </c>
      <c r="C190" t="s">
        <v>368</v>
      </c>
    </row>
    <row r="191" spans="1:3">
      <c r="A191" s="3" t="s">
        <v>142</v>
      </c>
      <c r="C191" t="s">
        <v>369</v>
      </c>
    </row>
    <row r="192" spans="1:3">
      <c r="A192" s="3" t="s">
        <v>143</v>
      </c>
      <c r="C192" t="s">
        <v>370</v>
      </c>
    </row>
    <row r="193" spans="1:3">
      <c r="A193" s="3" t="s">
        <v>144</v>
      </c>
      <c r="C193" t="s">
        <v>371</v>
      </c>
    </row>
    <row r="194" spans="1:3">
      <c r="A194" s="3" t="s">
        <v>145</v>
      </c>
      <c r="C194" t="s">
        <v>372</v>
      </c>
    </row>
    <row r="195" spans="1:3">
      <c r="A195" s="3" t="s">
        <v>146</v>
      </c>
      <c r="C195" t="s">
        <v>373</v>
      </c>
    </row>
    <row r="196" spans="1:3">
      <c r="A196" s="3" t="s">
        <v>149</v>
      </c>
      <c r="C196" t="s">
        <v>714</v>
      </c>
    </row>
    <row r="197" spans="1:3">
      <c r="A197" s="3" t="s">
        <v>147</v>
      </c>
      <c r="C197" t="s">
        <v>374</v>
      </c>
    </row>
    <row r="198" spans="1:3">
      <c r="A198" s="3" t="s">
        <v>148</v>
      </c>
      <c r="C198" t="s">
        <v>713</v>
      </c>
    </row>
    <row r="199" spans="1:3">
      <c r="A199" s="3" t="s">
        <v>150</v>
      </c>
      <c r="C199" t="s">
        <v>375</v>
      </c>
    </row>
    <row r="200" spans="1:3">
      <c r="A200" s="3" t="s">
        <v>151</v>
      </c>
      <c r="C200" t="s">
        <v>376</v>
      </c>
    </row>
    <row r="201" spans="1:3">
      <c r="A201" s="3" t="s">
        <v>152</v>
      </c>
      <c r="C201" t="s">
        <v>377</v>
      </c>
    </row>
    <row r="202" spans="1:3">
      <c r="A202" s="3" t="s">
        <v>153</v>
      </c>
      <c r="C202" t="s">
        <v>378</v>
      </c>
    </row>
    <row r="203" spans="1:3">
      <c r="A203" s="3" t="s">
        <v>379</v>
      </c>
      <c r="C203" t="s">
        <v>380</v>
      </c>
    </row>
    <row r="204" spans="1:3">
      <c r="A204" s="3" t="s">
        <v>154</v>
      </c>
      <c r="C204" t="s">
        <v>712</v>
      </c>
    </row>
    <row r="205" spans="1:3">
      <c r="A205" s="3" t="s">
        <v>381</v>
      </c>
      <c r="C205" t="s">
        <v>382</v>
      </c>
    </row>
    <row r="206" spans="1:3">
      <c r="A206" s="3" t="s">
        <v>383</v>
      </c>
      <c r="C206" t="s">
        <v>384</v>
      </c>
    </row>
    <row r="207" spans="1:3">
      <c r="A207" s="3" t="s">
        <v>385</v>
      </c>
      <c r="C207" t="s">
        <v>386</v>
      </c>
    </row>
    <row r="209" spans="1:3">
      <c r="A209" s="5" t="s">
        <v>387</v>
      </c>
    </row>
    <row r="210" spans="1:3">
      <c r="A210" s="3" t="s">
        <v>235</v>
      </c>
      <c r="C210" t="s">
        <v>388</v>
      </c>
    </row>
    <row r="211" spans="1:3">
      <c r="A211" s="3" t="s">
        <v>236</v>
      </c>
      <c r="C211" t="s">
        <v>628</v>
      </c>
    </row>
    <row r="212" spans="1:3">
      <c r="A212" s="3" t="s">
        <v>237</v>
      </c>
      <c r="C212" t="s">
        <v>389</v>
      </c>
    </row>
    <row r="213" spans="1:3">
      <c r="A213" s="3" t="s">
        <v>238</v>
      </c>
      <c r="C213" t="s">
        <v>390</v>
      </c>
    </row>
    <row r="214" spans="1:3">
      <c r="A214" s="3" t="s">
        <v>239</v>
      </c>
      <c r="C214" s="2" t="s">
        <v>391</v>
      </c>
    </row>
    <row r="215" spans="1:3">
      <c r="A215" s="3" t="s">
        <v>240</v>
      </c>
      <c r="C215" t="s">
        <v>392</v>
      </c>
    </row>
    <row r="216" spans="1:3">
      <c r="A216" s="3" t="s">
        <v>396</v>
      </c>
      <c r="C216" t="s">
        <v>629</v>
      </c>
    </row>
    <row r="217" spans="1:3">
      <c r="A217" s="3" t="s">
        <v>241</v>
      </c>
      <c r="C217" t="s">
        <v>393</v>
      </c>
    </row>
    <row r="218" spans="1:3">
      <c r="A218" s="3" t="s">
        <v>242</v>
      </c>
      <c r="C218" t="s">
        <v>394</v>
      </c>
    </row>
    <row r="219" spans="1:3">
      <c r="A219" s="3" t="s">
        <v>243</v>
      </c>
      <c r="C219" t="s">
        <v>395</v>
      </c>
    </row>
    <row r="220" spans="1:3">
      <c r="A220" s="3" t="s">
        <v>630</v>
      </c>
      <c r="C220" t="s">
        <v>631</v>
      </c>
    </row>
    <row r="221" spans="1:3">
      <c r="A221" s="3" t="s">
        <v>244</v>
      </c>
      <c r="C221" t="s">
        <v>632</v>
      </c>
    </row>
    <row r="223" spans="1:3">
      <c r="A223" s="5" t="s">
        <v>10</v>
      </c>
    </row>
    <row r="224" spans="1:3">
      <c r="A224" s="3" t="s">
        <v>14</v>
      </c>
      <c r="C224" t="s">
        <v>707</v>
      </c>
    </row>
    <row r="225" spans="1:3">
      <c r="A225" s="3" t="s">
        <v>15</v>
      </c>
      <c r="C225" t="s">
        <v>701</v>
      </c>
    </row>
    <row r="226" spans="1:3">
      <c r="A226" s="3" t="s">
        <v>16</v>
      </c>
      <c r="C226" t="s">
        <v>708</v>
      </c>
    </row>
    <row r="227" spans="1:3">
      <c r="A227" s="3" t="s">
        <v>17</v>
      </c>
      <c r="C227" t="s">
        <v>709</v>
      </c>
    </row>
    <row r="228" spans="1:3">
      <c r="A228" s="3" t="s">
        <v>402</v>
      </c>
      <c r="C228" t="s">
        <v>710</v>
      </c>
    </row>
    <row r="229" spans="1:3">
      <c r="A229" s="3" t="s">
        <v>27</v>
      </c>
      <c r="C229" t="s">
        <v>711</v>
      </c>
    </row>
    <row r="230" spans="1:3">
      <c r="A230" s="3" t="s">
        <v>167</v>
      </c>
      <c r="C230" t="s">
        <v>398</v>
      </c>
    </row>
    <row r="231" spans="1:3">
      <c r="A231" s="3" t="s">
        <v>168</v>
      </c>
      <c r="C231" t="s">
        <v>399</v>
      </c>
    </row>
    <row r="232" spans="1:3">
      <c r="A232" s="3" t="s">
        <v>169</v>
      </c>
      <c r="C232" t="s">
        <v>400</v>
      </c>
    </row>
    <row r="233" spans="1:3">
      <c r="A233" s="3" t="s">
        <v>170</v>
      </c>
      <c r="C233" t="s">
        <v>401</v>
      </c>
    </row>
    <row r="234" spans="1:3">
      <c r="A234" s="3" t="s">
        <v>171</v>
      </c>
      <c r="C234" t="s">
        <v>404</v>
      </c>
    </row>
    <row r="235" spans="1:3">
      <c r="A235" s="3" t="s">
        <v>172</v>
      </c>
      <c r="C235" t="s">
        <v>403</v>
      </c>
    </row>
    <row r="236" spans="1:3">
      <c r="A236" s="3" t="s">
        <v>245</v>
      </c>
      <c r="C236" t="s">
        <v>706</v>
      </c>
    </row>
    <row r="238" spans="1:3">
      <c r="A238" s="1" t="s">
        <v>746</v>
      </c>
    </row>
    <row r="239" spans="1:3">
      <c r="A239" s="3" t="s">
        <v>18</v>
      </c>
      <c r="C239" t="s">
        <v>704</v>
      </c>
    </row>
    <row r="240" spans="1:3">
      <c r="A240" s="3" t="s">
        <v>19</v>
      </c>
      <c r="C240" t="s">
        <v>705</v>
      </c>
    </row>
    <row r="241" spans="1:3">
      <c r="A241" s="3" t="s">
        <v>20</v>
      </c>
      <c r="C241" t="s">
        <v>405</v>
      </c>
    </row>
    <row r="242" spans="1:3">
      <c r="A242" s="3" t="s">
        <v>15</v>
      </c>
      <c r="C242" t="s">
        <v>397</v>
      </c>
    </row>
    <row r="243" spans="1:3">
      <c r="A243" s="3" t="s">
        <v>177</v>
      </c>
      <c r="C243" t="s">
        <v>408</v>
      </c>
    </row>
    <row r="244" spans="1:3">
      <c r="A244" s="3" t="s">
        <v>406</v>
      </c>
      <c r="C244" t="s">
        <v>407</v>
      </c>
    </row>
    <row r="245" spans="1:3">
      <c r="A245" s="3" t="s">
        <v>409</v>
      </c>
      <c r="C245" t="s">
        <v>410</v>
      </c>
    </row>
    <row r="246" spans="1:3">
      <c r="A246" s="3" t="s">
        <v>44</v>
      </c>
      <c r="C246" t="s">
        <v>411</v>
      </c>
    </row>
    <row r="247" spans="1:3">
      <c r="A247" s="3" t="s">
        <v>176</v>
      </c>
      <c r="C247" t="s">
        <v>412</v>
      </c>
    </row>
    <row r="248" spans="1:3">
      <c r="A248" s="3" t="s">
        <v>413</v>
      </c>
      <c r="C248" t="s">
        <v>414</v>
      </c>
    </row>
    <row r="249" spans="1:3">
      <c r="A249" s="3" t="s">
        <v>415</v>
      </c>
      <c r="C249" t="s">
        <v>416</v>
      </c>
    </row>
    <row r="250" spans="1:3">
      <c r="A250" s="3" t="s">
        <v>417</v>
      </c>
      <c r="C250" t="s">
        <v>418</v>
      </c>
    </row>
    <row r="251" spans="1:3">
      <c r="A251" s="3" t="s">
        <v>419</v>
      </c>
      <c r="C251" t="s">
        <v>420</v>
      </c>
    </row>
    <row r="253" spans="1:3">
      <c r="A253" s="5" t="s">
        <v>447</v>
      </c>
    </row>
    <row r="254" spans="1:3">
      <c r="A254" s="3" t="s">
        <v>184</v>
      </c>
      <c r="C254" t="s">
        <v>421</v>
      </c>
    </row>
    <row r="255" spans="1:3">
      <c r="A255" s="3" t="s">
        <v>21</v>
      </c>
      <c r="C255" t="s">
        <v>422</v>
      </c>
    </row>
    <row r="256" spans="1:3">
      <c r="A256" s="3" t="s">
        <v>22</v>
      </c>
      <c r="C256" t="s">
        <v>423</v>
      </c>
    </row>
    <row r="257" spans="1:3">
      <c r="A257" s="3" t="s">
        <v>23</v>
      </c>
      <c r="C257" t="s">
        <v>428</v>
      </c>
    </row>
    <row r="258" spans="1:3">
      <c r="A258" s="3" t="s">
        <v>160</v>
      </c>
      <c r="C258" t="s">
        <v>424</v>
      </c>
    </row>
    <row r="259" spans="1:3">
      <c r="A259" s="3" t="s">
        <v>185</v>
      </c>
      <c r="C259" t="s">
        <v>425</v>
      </c>
    </row>
    <row r="260" spans="1:3">
      <c r="A260" s="3" t="s">
        <v>186</v>
      </c>
      <c r="C260" t="s">
        <v>426</v>
      </c>
    </row>
    <row r="261" spans="1:3">
      <c r="A261" s="3" t="s">
        <v>187</v>
      </c>
      <c r="C261" t="s">
        <v>427</v>
      </c>
    </row>
    <row r="262" spans="1:3">
      <c r="A262" s="3" t="s">
        <v>166</v>
      </c>
      <c r="C262" t="s">
        <v>429</v>
      </c>
    </row>
    <row r="263" spans="1:3">
      <c r="A263" s="3" t="s">
        <v>430</v>
      </c>
      <c r="C263" t="s">
        <v>431</v>
      </c>
    </row>
    <row r="264" spans="1:3">
      <c r="A264" s="3" t="s">
        <v>432</v>
      </c>
      <c r="C264" t="s">
        <v>433</v>
      </c>
    </row>
    <row r="265" spans="1:3">
      <c r="A265" s="3" t="s">
        <v>434</v>
      </c>
      <c r="C265" t="s">
        <v>435</v>
      </c>
    </row>
    <row r="266" spans="1:3">
      <c r="A266" s="3" t="s">
        <v>436</v>
      </c>
      <c r="C266" t="s">
        <v>437</v>
      </c>
    </row>
    <row r="267" spans="1:3">
      <c r="A267" s="3" t="s">
        <v>438</v>
      </c>
      <c r="C267" t="s">
        <v>439</v>
      </c>
    </row>
    <row r="268" spans="1:3">
      <c r="A268" s="3" t="s">
        <v>440</v>
      </c>
      <c r="C268" t="s">
        <v>445</v>
      </c>
    </row>
    <row r="269" spans="1:3">
      <c r="A269" s="3" t="s">
        <v>441</v>
      </c>
      <c r="C269" t="s">
        <v>446</v>
      </c>
    </row>
    <row r="270" spans="1:3">
      <c r="A270" s="3" t="s">
        <v>164</v>
      </c>
      <c r="C270" t="s">
        <v>444</v>
      </c>
    </row>
    <row r="271" spans="1:3">
      <c r="A271" s="3" t="s">
        <v>442</v>
      </c>
      <c r="C271" t="s">
        <v>443</v>
      </c>
    </row>
    <row r="273" spans="1:3">
      <c r="A273" s="5" t="s">
        <v>11</v>
      </c>
    </row>
    <row r="274" spans="1:3">
      <c r="A274" s="3" t="s">
        <v>14</v>
      </c>
      <c r="C274" t="s">
        <v>703</v>
      </c>
    </row>
    <row r="275" spans="1:3">
      <c r="A275" s="3" t="s">
        <v>17</v>
      </c>
      <c r="C275" t="s">
        <v>702</v>
      </c>
    </row>
    <row r="276" spans="1:3">
      <c r="A276" s="3" t="s">
        <v>174</v>
      </c>
      <c r="C276" t="s">
        <v>449</v>
      </c>
    </row>
    <row r="277" spans="1:3">
      <c r="A277" s="3" t="s">
        <v>167</v>
      </c>
      <c r="C277" t="s">
        <v>450</v>
      </c>
    </row>
    <row r="278" spans="1:3">
      <c r="A278" s="3" t="s">
        <v>175</v>
      </c>
      <c r="C278" t="s">
        <v>451</v>
      </c>
    </row>
    <row r="279" spans="1:3">
      <c r="A279" s="3" t="s">
        <v>27</v>
      </c>
      <c r="C279" t="s">
        <v>452</v>
      </c>
    </row>
    <row r="280" spans="1:3">
      <c r="A280" s="3" t="s">
        <v>15</v>
      </c>
      <c r="C280" t="s">
        <v>701</v>
      </c>
    </row>
    <row r="281" spans="1:3">
      <c r="A281" s="3" t="s">
        <v>170</v>
      </c>
      <c r="C281" t="s">
        <v>401</v>
      </c>
    </row>
    <row r="282" spans="1:3">
      <c r="A282" s="3" t="s">
        <v>245</v>
      </c>
      <c r="C282" t="s">
        <v>700</v>
      </c>
    </row>
    <row r="283" spans="1:3">
      <c r="A283" s="3" t="s">
        <v>453</v>
      </c>
      <c r="C283" t="s">
        <v>454</v>
      </c>
    </row>
    <row r="284" spans="1:3">
      <c r="A284" s="3" t="s">
        <v>169</v>
      </c>
      <c r="C284" t="s">
        <v>455</v>
      </c>
    </row>
    <row r="285" spans="1:3">
      <c r="A285" s="3" t="s">
        <v>171</v>
      </c>
      <c r="C285" t="s">
        <v>456</v>
      </c>
    </row>
    <row r="286" spans="1:3">
      <c r="A286" s="3" t="s">
        <v>172</v>
      </c>
      <c r="C286" t="s">
        <v>457</v>
      </c>
    </row>
    <row r="288" spans="1:3">
      <c r="A288" s="1" t="s">
        <v>12</v>
      </c>
    </row>
    <row r="289" spans="1:3">
      <c r="A289" s="3" t="s">
        <v>24</v>
      </c>
      <c r="C289" t="s">
        <v>458</v>
      </c>
    </row>
    <row r="290" spans="1:3">
      <c r="A290" s="3" t="s">
        <v>173</v>
      </c>
      <c r="C290" t="s">
        <v>460</v>
      </c>
    </row>
    <row r="291" spans="1:3">
      <c r="A291" s="3" t="s">
        <v>188</v>
      </c>
      <c r="C291" t="s">
        <v>461</v>
      </c>
    </row>
    <row r="292" spans="1:3">
      <c r="A292" s="3" t="s">
        <v>189</v>
      </c>
      <c r="C292" t="s">
        <v>462</v>
      </c>
    </row>
    <row r="293" spans="1:3">
      <c r="A293" s="3" t="s">
        <v>169</v>
      </c>
      <c r="C293" t="s">
        <v>400</v>
      </c>
    </row>
    <row r="294" spans="1:3">
      <c r="A294" s="3" t="s">
        <v>459</v>
      </c>
      <c r="C294" t="s">
        <v>465</v>
      </c>
    </row>
    <row r="295" spans="1:3">
      <c r="A295" s="3" t="s">
        <v>174</v>
      </c>
      <c r="C295" t="s">
        <v>448</v>
      </c>
    </row>
    <row r="296" spans="1:3">
      <c r="A296" s="3" t="s">
        <v>463</v>
      </c>
      <c r="C296" t="s">
        <v>464</v>
      </c>
    </row>
    <row r="297" spans="1:3">
      <c r="A297" s="3" t="s">
        <v>14</v>
      </c>
      <c r="C297" t="s">
        <v>699</v>
      </c>
    </row>
    <row r="298" spans="1:3">
      <c r="A298" s="3" t="s">
        <v>466</v>
      </c>
      <c r="C298" t="s">
        <v>467</v>
      </c>
    </row>
    <row r="299" spans="1:3">
      <c r="A299" s="3"/>
    </row>
    <row r="300" spans="1:3">
      <c r="A300" s="1" t="s">
        <v>478</v>
      </c>
    </row>
    <row r="301" spans="1:3">
      <c r="A301" s="3" t="s">
        <v>190</v>
      </c>
      <c r="C301" t="s">
        <v>468</v>
      </c>
    </row>
    <row r="302" spans="1:3">
      <c r="A302" s="3" t="s">
        <v>25</v>
      </c>
      <c r="C302" t="s">
        <v>469</v>
      </c>
    </row>
    <row r="303" spans="1:3">
      <c r="A303" s="3" t="s">
        <v>26</v>
      </c>
      <c r="C303" t="s">
        <v>470</v>
      </c>
    </row>
    <row r="304" spans="1:3">
      <c r="A304" s="3" t="s">
        <v>191</v>
      </c>
      <c r="C304" t="s">
        <v>471</v>
      </c>
    </row>
    <row r="305" spans="1:3">
      <c r="A305" s="3" t="s">
        <v>32</v>
      </c>
      <c r="C305" t="s">
        <v>293</v>
      </c>
    </row>
    <row r="306" spans="1:3">
      <c r="A306" s="3" t="s">
        <v>192</v>
      </c>
      <c r="C306" t="s">
        <v>472</v>
      </c>
    </row>
    <row r="307" spans="1:3">
      <c r="A307" s="3" t="s">
        <v>33</v>
      </c>
      <c r="C307" t="s">
        <v>477</v>
      </c>
    </row>
    <row r="308" spans="1:3">
      <c r="A308" s="3" t="s">
        <v>15</v>
      </c>
      <c r="C308" t="s">
        <v>479</v>
      </c>
    </row>
    <row r="309" spans="1:3">
      <c r="A309" s="3" t="s">
        <v>193</v>
      </c>
      <c r="C309" t="s">
        <v>473</v>
      </c>
    </row>
    <row r="310" spans="1:3">
      <c r="A310" s="3" t="s">
        <v>475</v>
      </c>
      <c r="C310" t="s">
        <v>476</v>
      </c>
    </row>
    <row r="311" spans="1:3">
      <c r="A311" s="3" t="s">
        <v>194</v>
      </c>
      <c r="C311" t="s">
        <v>474</v>
      </c>
    </row>
    <row r="312" spans="1:3">
      <c r="A312" s="3" t="s">
        <v>480</v>
      </c>
      <c r="C312" t="s">
        <v>481</v>
      </c>
    </row>
    <row r="313" spans="1:3">
      <c r="A313" s="3" t="s">
        <v>482</v>
      </c>
      <c r="C313" t="s">
        <v>483</v>
      </c>
    </row>
    <row r="314" spans="1:3">
      <c r="A314" s="3" t="s">
        <v>484</v>
      </c>
      <c r="C314" t="s">
        <v>485</v>
      </c>
    </row>
    <row r="315" spans="1:3">
      <c r="A315" s="3" t="s">
        <v>486</v>
      </c>
      <c r="C315" t="s">
        <v>487</v>
      </c>
    </row>
    <row r="316" spans="1:3">
      <c r="A316" s="3" t="s">
        <v>488</v>
      </c>
      <c r="C316" t="s">
        <v>489</v>
      </c>
    </row>
    <row r="317" spans="1:3">
      <c r="A317" s="3" t="s">
        <v>490</v>
      </c>
      <c r="C317" t="s">
        <v>491</v>
      </c>
    </row>
    <row r="318" spans="1:3">
      <c r="A318" s="3" t="s">
        <v>492</v>
      </c>
      <c r="C318" t="s">
        <v>493</v>
      </c>
    </row>
    <row r="319" spans="1:3">
      <c r="A319" s="3" t="s">
        <v>494</v>
      </c>
      <c r="C319" t="s">
        <v>495</v>
      </c>
    </row>
    <row r="320" spans="1:3">
      <c r="A320" s="3" t="s">
        <v>496</v>
      </c>
      <c r="C320" t="s">
        <v>497</v>
      </c>
    </row>
    <row r="321" spans="1:3">
      <c r="A321" s="3" t="s">
        <v>498</v>
      </c>
      <c r="C321" t="s">
        <v>499</v>
      </c>
    </row>
    <row r="322" spans="1:3">
      <c r="A322" s="3" t="s">
        <v>500</v>
      </c>
      <c r="C322" t="s">
        <v>501</v>
      </c>
    </row>
    <row r="323" spans="1:3">
      <c r="A323" s="3" t="s">
        <v>502</v>
      </c>
      <c r="C323" t="s">
        <v>503</v>
      </c>
    </row>
    <row r="324" spans="1:3">
      <c r="A324" s="3" t="s">
        <v>504</v>
      </c>
      <c r="C324" t="s">
        <v>505</v>
      </c>
    </row>
    <row r="325" spans="1:3">
      <c r="A325" s="3" t="s">
        <v>506</v>
      </c>
      <c r="C325" t="s">
        <v>507</v>
      </c>
    </row>
    <row r="327" spans="1:3">
      <c r="A327" s="1" t="s">
        <v>508</v>
      </c>
    </row>
    <row r="328" spans="1:3">
      <c r="A328" s="3" t="s">
        <v>195</v>
      </c>
      <c r="C328" t="s">
        <v>683</v>
      </c>
    </row>
    <row r="329" spans="1:3">
      <c r="A329" s="3" t="s">
        <v>28</v>
      </c>
      <c r="C329" t="s">
        <v>684</v>
      </c>
    </row>
    <row r="330" spans="1:3">
      <c r="A330" s="3" t="s">
        <v>29</v>
      </c>
      <c r="C330" t="s">
        <v>685</v>
      </c>
    </row>
    <row r="331" spans="1:3">
      <c r="A331" s="3" t="s">
        <v>196</v>
      </c>
      <c r="C331" t="s">
        <v>686</v>
      </c>
    </row>
    <row r="332" spans="1:3">
      <c r="A332" s="3" t="s">
        <v>31</v>
      </c>
      <c r="C332" t="s">
        <v>687</v>
      </c>
    </row>
    <row r="333" spans="1:3">
      <c r="A333" s="3" t="s">
        <v>30</v>
      </c>
      <c r="C333" t="s">
        <v>688</v>
      </c>
    </row>
    <row r="334" spans="1:3">
      <c r="A334" s="3" t="s">
        <v>509</v>
      </c>
      <c r="C334" t="s">
        <v>689</v>
      </c>
    </row>
    <row r="335" spans="1:3">
      <c r="A335" s="3" t="s">
        <v>197</v>
      </c>
      <c r="C335" t="s">
        <v>690</v>
      </c>
    </row>
    <row r="336" spans="1:3">
      <c r="A336" s="3" t="s">
        <v>198</v>
      </c>
      <c r="C336" t="s">
        <v>691</v>
      </c>
    </row>
    <row r="337" spans="1:3">
      <c r="A337" s="3" t="s">
        <v>199</v>
      </c>
      <c r="C337" t="s">
        <v>692</v>
      </c>
    </row>
    <row r="338" spans="1:3">
      <c r="A338" s="3" t="s">
        <v>200</v>
      </c>
      <c r="C338" t="s">
        <v>693</v>
      </c>
    </row>
    <row r="339" spans="1:3">
      <c r="A339" s="3" t="s">
        <v>201</v>
      </c>
      <c r="C339" t="s">
        <v>694</v>
      </c>
    </row>
    <row r="340" spans="1:3">
      <c r="A340" s="3" t="s">
        <v>510</v>
      </c>
      <c r="C340" t="s">
        <v>695</v>
      </c>
    </row>
    <row r="341" spans="1:3">
      <c r="A341" s="3" t="s">
        <v>511</v>
      </c>
      <c r="C341" t="s">
        <v>696</v>
      </c>
    </row>
    <row r="342" spans="1:3">
      <c r="A342" s="3" t="s">
        <v>512</v>
      </c>
      <c r="C342" t="s">
        <v>697</v>
      </c>
    </row>
    <row r="343" spans="1:3">
      <c r="A343" s="3" t="s">
        <v>513</v>
      </c>
      <c r="C343" t="s">
        <v>698</v>
      </c>
    </row>
    <row r="345" spans="1:3">
      <c r="A345" s="1" t="s">
        <v>518</v>
      </c>
    </row>
    <row r="346" spans="1:3">
      <c r="A346" s="3" t="s">
        <v>122</v>
      </c>
      <c r="C346" t="s">
        <v>524</v>
      </c>
    </row>
    <row r="347" spans="1:3">
      <c r="A347" s="3" t="s">
        <v>127</v>
      </c>
      <c r="C347" t="s">
        <v>514</v>
      </c>
    </row>
    <row r="348" spans="1:3">
      <c r="A348" s="3" t="s">
        <v>126</v>
      </c>
      <c r="C348" t="s">
        <v>525</v>
      </c>
    </row>
    <row r="349" spans="1:3">
      <c r="A349" s="3" t="s">
        <v>123</v>
      </c>
      <c r="C349" t="s">
        <v>527</v>
      </c>
    </row>
    <row r="350" spans="1:3">
      <c r="A350" s="3" t="s">
        <v>125</v>
      </c>
      <c r="C350" t="s">
        <v>528</v>
      </c>
    </row>
    <row r="351" spans="1:3">
      <c r="A351" s="3" t="s">
        <v>124</v>
      </c>
      <c r="C351" t="s">
        <v>526</v>
      </c>
    </row>
    <row r="352" spans="1:3">
      <c r="A352" s="3" t="s">
        <v>128</v>
      </c>
      <c r="C352" t="s">
        <v>515</v>
      </c>
    </row>
    <row r="353" spans="1:3">
      <c r="A353" s="3" t="s">
        <v>519</v>
      </c>
      <c r="C353" t="s">
        <v>520</v>
      </c>
    </row>
    <row r="354" spans="1:3">
      <c r="A354" s="3" t="s">
        <v>129</v>
      </c>
      <c r="C354" t="s">
        <v>521</v>
      </c>
    </row>
    <row r="355" spans="1:3">
      <c r="A355" s="3" t="s">
        <v>130</v>
      </c>
      <c r="C355" t="s">
        <v>522</v>
      </c>
    </row>
    <row r="356" spans="1:3">
      <c r="A356" s="3" t="s">
        <v>131</v>
      </c>
      <c r="C356" t="s">
        <v>523</v>
      </c>
    </row>
    <row r="357" spans="1:3">
      <c r="A357" s="3" t="s">
        <v>516</v>
      </c>
      <c r="C357" t="s">
        <v>517</v>
      </c>
    </row>
    <row r="359" spans="1:3">
      <c r="A359" s="1" t="s">
        <v>554</v>
      </c>
    </row>
    <row r="360" spans="1:3">
      <c r="A360" s="3" t="s">
        <v>267</v>
      </c>
      <c r="C360" t="s">
        <v>544</v>
      </c>
    </row>
    <row r="361" spans="1:3">
      <c r="A361" s="3" t="s">
        <v>268</v>
      </c>
      <c r="C361" t="s">
        <v>542</v>
      </c>
    </row>
    <row r="362" spans="1:3">
      <c r="A362" s="3" t="s">
        <v>269</v>
      </c>
      <c r="C362" t="s">
        <v>543</v>
      </c>
    </row>
    <row r="363" spans="1:3">
      <c r="A363" s="3" t="s">
        <v>270</v>
      </c>
      <c r="C363" t="s">
        <v>529</v>
      </c>
    </row>
    <row r="364" spans="1:3">
      <c r="A364" s="3"/>
    </row>
    <row r="365" spans="1:3">
      <c r="A365" s="3" t="s">
        <v>530</v>
      </c>
      <c r="C365" t="s">
        <v>531</v>
      </c>
    </row>
    <row r="366" spans="1:3">
      <c r="A366" s="3" t="s">
        <v>532</v>
      </c>
      <c r="C366" t="s">
        <v>533</v>
      </c>
    </row>
    <row r="367" spans="1:3">
      <c r="A367" s="3" t="s">
        <v>534</v>
      </c>
      <c r="C367" t="s">
        <v>535</v>
      </c>
    </row>
    <row r="368" spans="1:3">
      <c r="A368" s="3" t="s">
        <v>536</v>
      </c>
      <c r="C368" t="s">
        <v>537</v>
      </c>
    </row>
    <row r="369" spans="1:3">
      <c r="A369" s="3" t="s">
        <v>538</v>
      </c>
      <c r="C369" t="s">
        <v>539</v>
      </c>
    </row>
    <row r="370" spans="1:3">
      <c r="A370" s="3" t="s">
        <v>540</v>
      </c>
      <c r="C370" t="s">
        <v>541</v>
      </c>
    </row>
    <row r="372" spans="1:3">
      <c r="A372" s="1" t="s">
        <v>555</v>
      </c>
    </row>
    <row r="373" spans="1:3">
      <c r="A373" s="3" t="s">
        <v>246</v>
      </c>
      <c r="C373" t="s">
        <v>545</v>
      </c>
    </row>
    <row r="374" spans="1:3">
      <c r="A374" s="3" t="s">
        <v>247</v>
      </c>
      <c r="C374" t="s">
        <v>546</v>
      </c>
    </row>
    <row r="375" spans="1:3">
      <c r="A375" s="3" t="s">
        <v>248</v>
      </c>
      <c r="C375" t="s">
        <v>547</v>
      </c>
    </row>
    <row r="376" spans="1:3">
      <c r="A376" s="3" t="s">
        <v>249</v>
      </c>
      <c r="C376" t="s">
        <v>548</v>
      </c>
    </row>
    <row r="377" spans="1:3">
      <c r="A377" s="3" t="s">
        <v>250</v>
      </c>
      <c r="C377" t="s">
        <v>549</v>
      </c>
    </row>
    <row r="378" spans="1:3">
      <c r="A378" s="3" t="s">
        <v>251</v>
      </c>
      <c r="C378" t="s">
        <v>550</v>
      </c>
    </row>
    <row r="379" spans="1:3">
      <c r="A379" s="3" t="s">
        <v>252</v>
      </c>
      <c r="C379" t="s">
        <v>551</v>
      </c>
    </row>
    <row r="380" spans="1:3">
      <c r="A380" s="3" t="s">
        <v>253</v>
      </c>
      <c r="C380" t="s">
        <v>552</v>
      </c>
    </row>
    <row r="382" spans="1:3">
      <c r="A382" s="1" t="s">
        <v>553</v>
      </c>
    </row>
    <row r="383" spans="1:3">
      <c r="A383" s="3" t="s">
        <v>117</v>
      </c>
      <c r="C383" t="s">
        <v>556</v>
      </c>
    </row>
    <row r="384" spans="1:3">
      <c r="A384" s="3" t="s">
        <v>118</v>
      </c>
      <c r="C384" t="s">
        <v>557</v>
      </c>
    </row>
    <row r="385" spans="1:3">
      <c r="A385" s="3" t="s">
        <v>119</v>
      </c>
      <c r="C385" t="s">
        <v>558</v>
      </c>
    </row>
    <row r="386" spans="1:3">
      <c r="A386" s="3" t="s">
        <v>120</v>
      </c>
      <c r="C386" t="s">
        <v>559</v>
      </c>
    </row>
    <row r="387" spans="1:3">
      <c r="A387" s="3" t="s">
        <v>121</v>
      </c>
      <c r="C387" t="s">
        <v>560</v>
      </c>
    </row>
    <row r="388" spans="1:3">
      <c r="A388" s="3" t="s">
        <v>561</v>
      </c>
      <c r="C388" t="s">
        <v>562</v>
      </c>
    </row>
    <row r="389" spans="1:3">
      <c r="A389" s="3" t="s">
        <v>563</v>
      </c>
      <c r="C389" t="s">
        <v>564</v>
      </c>
    </row>
    <row r="390" spans="1:3">
      <c r="A390" s="3" t="s">
        <v>565</v>
      </c>
      <c r="C390" t="s">
        <v>566</v>
      </c>
    </row>
    <row r="391" spans="1:3">
      <c r="A391" s="3" t="s">
        <v>567</v>
      </c>
      <c r="C391" t="s">
        <v>568</v>
      </c>
    </row>
    <row r="392" spans="1:3">
      <c r="A392" s="3" t="s">
        <v>570</v>
      </c>
      <c r="C392" t="s">
        <v>569</v>
      </c>
    </row>
    <row r="393" spans="1:3">
      <c r="A393" s="3" t="s">
        <v>571</v>
      </c>
      <c r="C393" t="s">
        <v>572</v>
      </c>
    </row>
    <row r="394" spans="1:3">
      <c r="A394" s="3" t="s">
        <v>573</v>
      </c>
      <c r="C394" t="s">
        <v>574</v>
      </c>
    </row>
    <row r="396" spans="1:3">
      <c r="A396" s="1" t="s">
        <v>747</v>
      </c>
    </row>
    <row r="397" spans="1:3">
      <c r="A397" s="3" t="s">
        <v>65</v>
      </c>
      <c r="C397" t="s">
        <v>575</v>
      </c>
    </row>
    <row r="398" spans="1:3">
      <c r="A398" s="3" t="s">
        <v>66</v>
      </c>
      <c r="C398" t="s">
        <v>576</v>
      </c>
    </row>
    <row r="399" spans="1:3">
      <c r="A399" s="3" t="s">
        <v>70</v>
      </c>
      <c r="C399" t="s">
        <v>577</v>
      </c>
    </row>
    <row r="400" spans="1:3">
      <c r="A400" s="3" t="s">
        <v>67</v>
      </c>
      <c r="C400" t="s">
        <v>578</v>
      </c>
    </row>
    <row r="401" spans="1:3">
      <c r="A401" s="3" t="s">
        <v>68</v>
      </c>
      <c r="C401" t="s">
        <v>579</v>
      </c>
    </row>
    <row r="402" spans="1:3">
      <c r="A402" s="3" t="s">
        <v>69</v>
      </c>
      <c r="C402" t="s">
        <v>580</v>
      </c>
    </row>
    <row r="403" spans="1:3">
      <c r="A403" s="3" t="s">
        <v>582</v>
      </c>
      <c r="C403" t="s">
        <v>581</v>
      </c>
    </row>
    <row r="404" spans="1:3">
      <c r="A404" s="3" t="s">
        <v>76</v>
      </c>
      <c r="C404" t="s">
        <v>583</v>
      </c>
    </row>
    <row r="405" spans="1:3">
      <c r="A405" s="3" t="s">
        <v>71</v>
      </c>
      <c r="C405" t="s">
        <v>584</v>
      </c>
    </row>
    <row r="406" spans="1:3">
      <c r="A406" s="3" t="s">
        <v>72</v>
      </c>
      <c r="C406" t="s">
        <v>585</v>
      </c>
    </row>
    <row r="407" spans="1:3">
      <c r="A407" s="3" t="s">
        <v>73</v>
      </c>
      <c r="C407" t="s">
        <v>586</v>
      </c>
    </row>
    <row r="408" spans="1:3">
      <c r="A408" s="3" t="s">
        <v>75</v>
      </c>
      <c r="C408" t="s">
        <v>587</v>
      </c>
    </row>
    <row r="409" spans="1:3">
      <c r="A409" s="3" t="s">
        <v>74</v>
      </c>
      <c r="C409" t="s">
        <v>588</v>
      </c>
    </row>
    <row r="411" spans="1:3">
      <c r="A411" s="1" t="s">
        <v>748</v>
      </c>
    </row>
    <row r="412" spans="1:3">
      <c r="A412" s="3" t="s">
        <v>215</v>
      </c>
      <c r="C412" t="s">
        <v>589</v>
      </c>
    </row>
    <row r="413" spans="1:3">
      <c r="A413" s="3" t="s">
        <v>216</v>
      </c>
      <c r="C413" t="s">
        <v>598</v>
      </c>
    </row>
    <row r="414" spans="1:3">
      <c r="A414" s="3" t="s">
        <v>217</v>
      </c>
      <c r="C414" t="s">
        <v>597</v>
      </c>
    </row>
    <row r="415" spans="1:3">
      <c r="A415" s="3" t="s">
        <v>218</v>
      </c>
      <c r="C415" t="s">
        <v>580</v>
      </c>
    </row>
    <row r="416" spans="1:3">
      <c r="A416" s="3" t="s">
        <v>219</v>
      </c>
      <c r="C416" t="s">
        <v>590</v>
      </c>
    </row>
    <row r="417" spans="1:3">
      <c r="A417" s="3" t="s">
        <v>220</v>
      </c>
      <c r="C417" t="s">
        <v>591</v>
      </c>
    </row>
    <row r="418" spans="1:3">
      <c r="A418" s="3" t="s">
        <v>221</v>
      </c>
      <c r="C418" t="s">
        <v>592</v>
      </c>
    </row>
    <row r="419" spans="1:3">
      <c r="A419" s="3" t="s">
        <v>222</v>
      </c>
      <c r="C419" t="s">
        <v>593</v>
      </c>
    </row>
    <row r="420" spans="1:3">
      <c r="A420" s="3" t="s">
        <v>223</v>
      </c>
      <c r="C420" t="s">
        <v>594</v>
      </c>
    </row>
    <row r="421" spans="1:3">
      <c r="A421" s="3" t="s">
        <v>224</v>
      </c>
      <c r="C421" t="s">
        <v>595</v>
      </c>
    </row>
    <row r="422" spans="1:3">
      <c r="A422" s="3" t="s">
        <v>225</v>
      </c>
      <c r="C422" t="s">
        <v>596</v>
      </c>
    </row>
    <row r="423" spans="1:3">
      <c r="A423" s="3" t="s">
        <v>226</v>
      </c>
      <c r="C423" t="s">
        <v>599</v>
      </c>
    </row>
    <row r="424" spans="1:3">
      <c r="A424" s="3" t="s">
        <v>227</v>
      </c>
      <c r="C424" t="s">
        <v>600</v>
      </c>
    </row>
    <row r="425" spans="1:3">
      <c r="A425" s="3" t="s">
        <v>228</v>
      </c>
      <c r="C425" t="s">
        <v>601</v>
      </c>
    </row>
    <row r="426" spans="1:3">
      <c r="A426" s="3" t="s">
        <v>229</v>
      </c>
      <c r="C426" t="s">
        <v>602</v>
      </c>
    </row>
    <row r="427" spans="1:3">
      <c r="A427" s="3" t="s">
        <v>230</v>
      </c>
      <c r="C427" t="s">
        <v>603</v>
      </c>
    </row>
    <row r="428" spans="1:3">
      <c r="A428" s="3" t="s">
        <v>231</v>
      </c>
      <c r="C428" t="s">
        <v>604</v>
      </c>
    </row>
    <row r="429" spans="1:3">
      <c r="A429" s="3" t="s">
        <v>232</v>
      </c>
      <c r="C429" t="s">
        <v>605</v>
      </c>
    </row>
    <row r="430" spans="1:3">
      <c r="A430" s="3" t="s">
        <v>233</v>
      </c>
      <c r="C430" t="s">
        <v>606</v>
      </c>
    </row>
    <row r="431" spans="1:3">
      <c r="A431" s="3" t="s">
        <v>234</v>
      </c>
      <c r="C431" t="s">
        <v>607</v>
      </c>
    </row>
    <row r="432" spans="1:3">
      <c r="A432" s="3" t="s">
        <v>67</v>
      </c>
      <c r="C432" t="s">
        <v>578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1:N23"/>
  <sheetViews>
    <sheetView workbookViewId="0">
      <selection activeCell="D28" sqref="D28"/>
    </sheetView>
  </sheetViews>
  <sheetFormatPr defaultColWidth="11.19921875" defaultRowHeight="15.6"/>
  <cols>
    <col min="1" max="1" width="11.69921875" bestFit="1" customWidth="1"/>
    <col min="2" max="2" width="18.5" bestFit="1" customWidth="1"/>
    <col min="3" max="3" width="14" bestFit="1" customWidth="1"/>
    <col min="4" max="4" width="30.19921875" bestFit="1" customWidth="1"/>
    <col min="5" max="5" width="13.69921875" bestFit="1" customWidth="1"/>
    <col min="6" max="6" width="13" bestFit="1" customWidth="1"/>
    <col min="7" max="7" width="15.796875" bestFit="1" customWidth="1"/>
    <col min="8" max="8" width="21.19921875" bestFit="1" customWidth="1"/>
    <col min="9" max="9" width="13.69921875" bestFit="1" customWidth="1"/>
    <col min="11" max="11" width="16.5" bestFit="1" customWidth="1"/>
    <col min="12" max="12" width="15" bestFit="1" customWidth="1"/>
    <col min="13" max="13" width="22.796875" bestFit="1" customWidth="1"/>
    <col min="14" max="14" width="19.296875" bestFit="1" customWidth="1"/>
  </cols>
  <sheetData>
    <row r="1" spans="1:14" s="1" customFormat="1">
      <c r="A1" s="149" t="s">
        <v>13</v>
      </c>
      <c r="B1" s="149" t="s">
        <v>773</v>
      </c>
      <c r="C1" s="149" t="s">
        <v>754</v>
      </c>
      <c r="D1" s="149" t="s">
        <v>745</v>
      </c>
      <c r="E1" s="149" t="s">
        <v>336</v>
      </c>
      <c r="F1" s="149" t="s">
        <v>0</v>
      </c>
      <c r="G1" s="149" t="s">
        <v>347</v>
      </c>
      <c r="H1" s="149" t="s">
        <v>132</v>
      </c>
      <c r="I1" s="149" t="s">
        <v>912</v>
      </c>
      <c r="J1" s="149" t="s">
        <v>11</v>
      </c>
      <c r="K1" s="149" t="s">
        <v>508</v>
      </c>
      <c r="L1" s="149" t="s">
        <v>518</v>
      </c>
      <c r="M1" s="149" t="s">
        <v>554</v>
      </c>
      <c r="N1" s="149" t="s">
        <v>913</v>
      </c>
    </row>
    <row r="2" spans="1:14">
      <c r="A2" s="172" t="s">
        <v>914</v>
      </c>
      <c r="B2" s="172" t="s">
        <v>45</v>
      </c>
      <c r="C2" s="172" t="s">
        <v>255</v>
      </c>
      <c r="D2" s="172" t="s">
        <v>51</v>
      </c>
      <c r="E2" s="172" t="s">
        <v>34</v>
      </c>
      <c r="F2" s="172" t="s">
        <v>1</v>
      </c>
      <c r="G2" s="172" t="s">
        <v>77</v>
      </c>
      <c r="H2" s="172" t="s">
        <v>133</v>
      </c>
      <c r="I2" s="172" t="s">
        <v>17</v>
      </c>
      <c r="J2" s="172" t="s">
        <v>14</v>
      </c>
      <c r="K2" s="172" t="s">
        <v>195</v>
      </c>
      <c r="L2" s="172" t="s">
        <v>122</v>
      </c>
      <c r="M2" s="172" t="s">
        <v>267</v>
      </c>
      <c r="N2" s="172" t="s">
        <v>246</v>
      </c>
    </row>
    <row r="3" spans="1:14">
      <c r="A3" s="172" t="s">
        <v>753</v>
      </c>
      <c r="B3" s="172" t="s">
        <v>47</v>
      </c>
      <c r="C3" s="172" t="s">
        <v>257</v>
      </c>
      <c r="D3" s="172" t="s">
        <v>53</v>
      </c>
      <c r="E3" s="172" t="s">
        <v>15</v>
      </c>
      <c r="F3" s="172" t="s">
        <v>3</v>
      </c>
      <c r="G3" s="172" t="s">
        <v>79</v>
      </c>
      <c r="H3" s="172" t="s">
        <v>135</v>
      </c>
      <c r="I3" s="172" t="s">
        <v>33</v>
      </c>
      <c r="J3" s="172" t="s">
        <v>174</v>
      </c>
      <c r="K3" s="172" t="s">
        <v>29</v>
      </c>
      <c r="L3" s="172" t="s">
        <v>126</v>
      </c>
      <c r="M3" s="172" t="s">
        <v>269</v>
      </c>
      <c r="N3" s="172" t="s">
        <v>248</v>
      </c>
    </row>
    <row r="4" spans="1:14">
      <c r="A4" s="172" t="s">
        <v>845</v>
      </c>
      <c r="B4" s="172" t="s">
        <v>916</v>
      </c>
      <c r="C4" s="172" t="s">
        <v>256</v>
      </c>
      <c r="D4" s="172" t="s">
        <v>52</v>
      </c>
      <c r="E4" s="172" t="s">
        <v>35</v>
      </c>
      <c r="F4" s="172" t="s">
        <v>2</v>
      </c>
      <c r="G4" s="172" t="s">
        <v>78</v>
      </c>
      <c r="H4" s="172" t="s">
        <v>134</v>
      </c>
      <c r="I4" s="172" t="s">
        <v>14</v>
      </c>
      <c r="J4" s="172" t="s">
        <v>17</v>
      </c>
      <c r="K4" s="172" t="s">
        <v>28</v>
      </c>
      <c r="L4" s="172" t="s">
        <v>127</v>
      </c>
      <c r="M4" s="172" t="s">
        <v>268</v>
      </c>
      <c r="N4" s="172" t="s">
        <v>247</v>
      </c>
    </row>
    <row r="5" spans="1:14">
      <c r="A5" s="172"/>
      <c r="B5" s="172" t="s">
        <v>48</v>
      </c>
      <c r="C5" s="172" t="s">
        <v>258</v>
      </c>
      <c r="D5" s="172" t="s">
        <v>54</v>
      </c>
      <c r="E5" s="172" t="s">
        <v>176</v>
      </c>
      <c r="F5" s="172" t="s">
        <v>4</v>
      </c>
      <c r="G5" s="172" t="s">
        <v>80</v>
      </c>
      <c r="H5" s="172" t="s">
        <v>136</v>
      </c>
      <c r="I5" s="172" t="s">
        <v>825</v>
      </c>
      <c r="J5" s="172" t="s">
        <v>167</v>
      </c>
      <c r="K5" s="172" t="s">
        <v>196</v>
      </c>
      <c r="L5" s="172" t="s">
        <v>123</v>
      </c>
      <c r="M5" s="172"/>
      <c r="N5" s="172" t="s">
        <v>249</v>
      </c>
    </row>
    <row r="6" spans="1:14">
      <c r="A6" s="172"/>
      <c r="B6" s="172" t="s">
        <v>207</v>
      </c>
      <c r="C6" s="172" t="s">
        <v>259</v>
      </c>
      <c r="D6" s="172" t="s">
        <v>55</v>
      </c>
      <c r="E6" s="172" t="s">
        <v>17</v>
      </c>
      <c r="F6" s="172" t="s">
        <v>6</v>
      </c>
      <c r="G6" s="172" t="s">
        <v>81</v>
      </c>
      <c r="H6" s="172" t="s">
        <v>137</v>
      </c>
      <c r="I6" s="172" t="s">
        <v>167</v>
      </c>
      <c r="J6" s="172" t="s">
        <v>27</v>
      </c>
      <c r="K6" s="172" t="s">
        <v>31</v>
      </c>
      <c r="L6" s="172" t="s">
        <v>125</v>
      </c>
      <c r="M6" s="172"/>
      <c r="N6" s="172" t="s">
        <v>250</v>
      </c>
    </row>
    <row r="7" spans="1:14">
      <c r="A7" s="172"/>
      <c r="B7" s="172" t="s">
        <v>50</v>
      </c>
      <c r="C7" s="172" t="s">
        <v>260</v>
      </c>
      <c r="D7" s="172" t="s">
        <v>56</v>
      </c>
      <c r="E7" s="172" t="s">
        <v>202</v>
      </c>
      <c r="F7" s="172" t="s">
        <v>159</v>
      </c>
      <c r="G7" s="172" t="s">
        <v>82</v>
      </c>
      <c r="H7" s="172" t="s">
        <v>787</v>
      </c>
      <c r="I7" s="172" t="s">
        <v>169</v>
      </c>
      <c r="J7" s="172" t="s">
        <v>169</v>
      </c>
      <c r="K7" s="172" t="s">
        <v>30</v>
      </c>
      <c r="L7" s="172" t="s">
        <v>124</v>
      </c>
      <c r="M7" s="172"/>
      <c r="N7" s="172" t="s">
        <v>251</v>
      </c>
    </row>
    <row r="8" spans="1:14">
      <c r="A8" s="172"/>
      <c r="B8" s="172" t="s">
        <v>208</v>
      </c>
      <c r="C8" s="172" t="s">
        <v>261</v>
      </c>
      <c r="D8" s="172" t="s">
        <v>57</v>
      </c>
      <c r="E8" s="172" t="s">
        <v>204</v>
      </c>
      <c r="F8" s="172"/>
      <c r="G8" s="172" t="s">
        <v>83</v>
      </c>
      <c r="H8" s="172" t="s">
        <v>139</v>
      </c>
      <c r="I8" s="172" t="s">
        <v>171</v>
      </c>
      <c r="J8" s="172" t="s">
        <v>826</v>
      </c>
      <c r="K8" s="172" t="s">
        <v>833</v>
      </c>
      <c r="L8" s="172" t="s">
        <v>516</v>
      </c>
      <c r="M8" s="172"/>
      <c r="N8" s="172" t="s">
        <v>252</v>
      </c>
    </row>
    <row r="9" spans="1:14">
      <c r="A9" s="172"/>
      <c r="B9" s="172" t="s">
        <v>209</v>
      </c>
      <c r="C9" s="172" t="s">
        <v>264</v>
      </c>
      <c r="D9" s="172" t="s">
        <v>58</v>
      </c>
      <c r="E9" s="172" t="s">
        <v>205</v>
      </c>
      <c r="F9" s="172"/>
      <c r="G9" s="172" t="s">
        <v>85</v>
      </c>
      <c r="H9" s="172" t="s">
        <v>140</v>
      </c>
      <c r="I9" s="172" t="s">
        <v>168</v>
      </c>
      <c r="J9" s="172"/>
      <c r="K9" s="172" t="s">
        <v>832</v>
      </c>
      <c r="L9" s="172"/>
      <c r="M9" s="172"/>
      <c r="N9" s="172" t="s">
        <v>253</v>
      </c>
    </row>
    <row r="10" spans="1:14">
      <c r="A10" s="172"/>
      <c r="B10" s="172" t="s">
        <v>211</v>
      </c>
      <c r="C10" s="172" t="s">
        <v>266</v>
      </c>
      <c r="D10" s="172" t="s">
        <v>59</v>
      </c>
      <c r="E10" s="172"/>
      <c r="F10" s="172"/>
      <c r="G10" s="172" t="s">
        <v>86</v>
      </c>
      <c r="H10" s="172" t="s">
        <v>141</v>
      </c>
      <c r="I10" s="172" t="s">
        <v>826</v>
      </c>
      <c r="J10" s="172"/>
      <c r="K10" s="172" t="s">
        <v>197</v>
      </c>
      <c r="L10" s="172"/>
      <c r="M10" s="172"/>
      <c r="N10" s="172"/>
    </row>
    <row r="11" spans="1:14">
      <c r="A11" s="172"/>
      <c r="B11" s="172" t="s">
        <v>212</v>
      </c>
      <c r="C11" s="172"/>
      <c r="D11" s="172" t="s">
        <v>60</v>
      </c>
      <c r="E11" s="172"/>
      <c r="F11" s="172"/>
      <c r="G11" s="172" t="s">
        <v>87</v>
      </c>
      <c r="H11" s="172" t="s">
        <v>142</v>
      </c>
      <c r="I11" s="172"/>
      <c r="J11" s="172"/>
      <c r="K11" s="172" t="s">
        <v>838</v>
      </c>
      <c r="L11" s="172"/>
      <c r="M11" s="172"/>
      <c r="N11" s="172"/>
    </row>
    <row r="12" spans="1:14">
      <c r="A12" s="172"/>
      <c r="B12" s="172" t="s">
        <v>214</v>
      </c>
      <c r="C12" s="172"/>
      <c r="D12" s="172" t="s">
        <v>61</v>
      </c>
      <c r="E12" s="172"/>
      <c r="F12" s="172"/>
      <c r="G12" s="172"/>
      <c r="H12" s="172" t="s">
        <v>143</v>
      </c>
      <c r="I12" s="172"/>
      <c r="J12" s="172"/>
      <c r="K12" s="172" t="s">
        <v>198</v>
      </c>
      <c r="L12" s="172"/>
      <c r="M12" s="172"/>
      <c r="N12" s="172"/>
    </row>
    <row r="13" spans="1:14">
      <c r="A13" s="172"/>
      <c r="B13" s="172"/>
      <c r="C13" s="172"/>
      <c r="D13" s="172" t="s">
        <v>62</v>
      </c>
      <c r="E13" s="172"/>
      <c r="F13" s="172"/>
      <c r="G13" s="172"/>
      <c r="H13" s="172" t="s">
        <v>144</v>
      </c>
      <c r="I13" s="172"/>
      <c r="J13" s="172"/>
      <c r="K13" s="172" t="s">
        <v>836</v>
      </c>
      <c r="L13" s="172"/>
      <c r="M13" s="172"/>
      <c r="N13" s="172"/>
    </row>
    <row r="14" spans="1:14">
      <c r="A14" s="172"/>
      <c r="B14" s="172"/>
      <c r="C14" s="172"/>
      <c r="D14" s="172" t="s">
        <v>63</v>
      </c>
      <c r="E14" s="172"/>
      <c r="F14" s="172"/>
      <c r="G14" s="172"/>
      <c r="H14" s="172" t="s">
        <v>145</v>
      </c>
      <c r="I14" s="172"/>
      <c r="J14" s="172"/>
      <c r="K14" s="172" t="s">
        <v>837</v>
      </c>
      <c r="L14" s="172"/>
      <c r="M14" s="172"/>
      <c r="N14" s="172"/>
    </row>
    <row r="15" spans="1:14">
      <c r="A15" s="172"/>
      <c r="B15" s="172"/>
      <c r="C15" s="172"/>
      <c r="D15" s="172" t="s">
        <v>64</v>
      </c>
      <c r="E15" s="172"/>
      <c r="F15" s="172"/>
      <c r="G15" s="172"/>
      <c r="H15" s="172" t="s">
        <v>146</v>
      </c>
      <c r="I15" s="172"/>
      <c r="J15" s="172"/>
      <c r="K15" s="172" t="s">
        <v>199</v>
      </c>
      <c r="L15" s="172"/>
      <c r="M15" s="172"/>
      <c r="N15" s="172"/>
    </row>
    <row r="16" spans="1:14">
      <c r="A16" s="172"/>
      <c r="B16" s="172"/>
      <c r="C16" s="172"/>
      <c r="D16" s="172"/>
      <c r="E16" s="172"/>
      <c r="F16" s="172"/>
      <c r="G16" s="172"/>
      <c r="H16" s="172" t="s">
        <v>149</v>
      </c>
      <c r="I16" s="172"/>
      <c r="J16" s="172"/>
      <c r="K16" s="172" t="s">
        <v>201</v>
      </c>
      <c r="L16" s="172"/>
      <c r="M16" s="172"/>
      <c r="N16" s="172"/>
    </row>
    <row r="17" spans="1:14">
      <c r="A17" s="172"/>
      <c r="B17" s="172"/>
      <c r="C17" s="172"/>
      <c r="D17" s="172"/>
      <c r="E17" s="172"/>
      <c r="F17" s="172"/>
      <c r="G17" s="172"/>
      <c r="H17" s="172" t="s">
        <v>147</v>
      </c>
      <c r="I17" s="172"/>
      <c r="J17" s="172"/>
      <c r="K17" s="172" t="s">
        <v>510</v>
      </c>
      <c r="L17" s="172"/>
      <c r="M17" s="172"/>
      <c r="N17" s="172"/>
    </row>
    <row r="18" spans="1:14">
      <c r="A18" s="172"/>
      <c r="B18" s="172"/>
      <c r="C18" s="172"/>
      <c r="D18" s="172"/>
      <c r="E18" s="172"/>
      <c r="F18" s="172"/>
      <c r="G18" s="172"/>
      <c r="H18" s="172" t="s">
        <v>148</v>
      </c>
      <c r="I18" s="172"/>
      <c r="J18" s="172"/>
      <c r="K18" s="172" t="s">
        <v>511</v>
      </c>
      <c r="L18" s="172"/>
      <c r="M18" s="172"/>
      <c r="N18" s="172"/>
    </row>
    <row r="19" spans="1:14">
      <c r="A19" s="172"/>
      <c r="B19" s="172"/>
      <c r="C19" s="172"/>
      <c r="D19" s="172"/>
      <c r="E19" s="172"/>
      <c r="F19" s="172"/>
      <c r="G19" s="172"/>
      <c r="H19" s="172" t="s">
        <v>150</v>
      </c>
      <c r="I19" s="172"/>
      <c r="J19" s="172"/>
      <c r="K19" s="172" t="s">
        <v>512</v>
      </c>
      <c r="L19" s="172"/>
      <c r="M19" s="172"/>
      <c r="N19" s="172"/>
    </row>
    <row r="20" spans="1:14">
      <c r="A20" s="172"/>
      <c r="B20" s="172"/>
      <c r="C20" s="172"/>
      <c r="D20" s="172"/>
      <c r="E20" s="172"/>
      <c r="F20" s="172"/>
      <c r="G20" s="172"/>
      <c r="H20" s="172" t="s">
        <v>151</v>
      </c>
      <c r="I20" s="172"/>
      <c r="J20" s="172"/>
      <c r="K20" s="172" t="s">
        <v>513</v>
      </c>
      <c r="L20" s="172"/>
      <c r="M20" s="172"/>
      <c r="N20" s="172"/>
    </row>
    <row r="21" spans="1:14">
      <c r="A21" s="172"/>
      <c r="B21" s="172"/>
      <c r="C21" s="172"/>
      <c r="D21" s="172"/>
      <c r="E21" s="172"/>
      <c r="F21" s="172"/>
      <c r="G21" s="172"/>
      <c r="H21" s="172" t="s">
        <v>379</v>
      </c>
      <c r="I21" s="172"/>
      <c r="J21" s="172"/>
      <c r="K21" s="172"/>
      <c r="L21" s="172"/>
      <c r="M21" s="172"/>
      <c r="N21" s="172"/>
    </row>
    <row r="22" spans="1:14">
      <c r="A22" s="172"/>
      <c r="B22" s="172"/>
      <c r="C22" s="172"/>
      <c r="D22" s="172"/>
      <c r="E22" s="172"/>
      <c r="F22" s="172"/>
      <c r="G22" s="172"/>
      <c r="H22" s="172" t="s">
        <v>381</v>
      </c>
      <c r="I22" s="172"/>
      <c r="J22" s="172"/>
      <c r="K22" s="172"/>
      <c r="L22" s="172"/>
      <c r="M22" s="172"/>
      <c r="N22" s="172"/>
    </row>
    <row r="23" spans="1:14">
      <c r="A23" s="173"/>
      <c r="B23" s="173"/>
      <c r="C23" s="173"/>
      <c r="D23" s="173"/>
      <c r="E23" s="173"/>
      <c r="F23" s="173"/>
      <c r="G23" s="173"/>
      <c r="H23" s="173" t="s">
        <v>383</v>
      </c>
      <c r="I23" s="173"/>
      <c r="J23" s="173"/>
      <c r="K23" s="173"/>
      <c r="L23" s="173"/>
      <c r="M23" s="173"/>
      <c r="N23" s="173"/>
    </row>
  </sheetData>
  <sortState ref="A2:N23">
    <sortCondition ref="A1"/>
  </sortState>
  <phoneticPr fontId="12" type="noConversion"/>
  <pageMargins left="0.75" right="0.75" top="1" bottom="1" header="0.5" footer="0.5"/>
  <pageSetup paperSize="9"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D16"/>
  <sheetViews>
    <sheetView workbookViewId="0">
      <selection activeCell="B5" sqref="B5"/>
    </sheetView>
  </sheetViews>
  <sheetFormatPr defaultColWidth="11.19921875" defaultRowHeight="15.6"/>
  <cols>
    <col min="1" max="1" width="14.69921875" bestFit="1" customWidth="1"/>
    <col min="2" max="2" width="11.296875" bestFit="1" customWidth="1"/>
    <col min="3" max="3" width="12.296875" bestFit="1" customWidth="1"/>
    <col min="4" max="4" width="11.296875" bestFit="1" customWidth="1"/>
  </cols>
  <sheetData>
    <row r="1" spans="1:4">
      <c r="A1" s="7" t="s">
        <v>36</v>
      </c>
      <c r="B1" s="8" t="s">
        <v>782</v>
      </c>
      <c r="C1" s="37"/>
      <c r="D1" s="38"/>
    </row>
    <row r="2" spans="1:4">
      <c r="A2" s="9"/>
      <c r="B2" s="10" t="s">
        <v>749</v>
      </c>
      <c r="C2" s="10" t="s">
        <v>750</v>
      </c>
      <c r="D2" s="9" t="s">
        <v>751</v>
      </c>
    </row>
    <row r="3" spans="1:4">
      <c r="A3" s="7" t="s">
        <v>38</v>
      </c>
      <c r="B3" s="47"/>
      <c r="C3" s="47"/>
      <c r="D3" s="48"/>
    </row>
    <row r="4" spans="1:4">
      <c r="A4" s="7" t="s">
        <v>37</v>
      </c>
      <c r="B4" s="47">
        <v>626791</v>
      </c>
      <c r="C4" s="47">
        <v>693722</v>
      </c>
      <c r="D4" s="48" t="s">
        <v>775</v>
      </c>
    </row>
    <row r="5" spans="1:4">
      <c r="A5" s="7" t="s">
        <v>39</v>
      </c>
      <c r="B5" s="47"/>
      <c r="C5" s="47"/>
      <c r="D5" s="48"/>
    </row>
    <row r="6" spans="1:4">
      <c r="A6" s="7" t="s">
        <v>40</v>
      </c>
      <c r="B6" s="47"/>
      <c r="C6" s="47"/>
      <c r="D6" s="48"/>
    </row>
    <row r="7" spans="1:4">
      <c r="A7" s="7" t="s">
        <v>41</v>
      </c>
      <c r="B7" s="47"/>
      <c r="C7" s="47"/>
      <c r="D7" s="48"/>
    </row>
    <row r="8" spans="1:4">
      <c r="A8" s="7" t="s">
        <v>42</v>
      </c>
      <c r="B8" s="47"/>
      <c r="C8" s="47"/>
      <c r="D8" s="48"/>
    </row>
    <row r="9" spans="1:4">
      <c r="A9" s="7" t="s">
        <v>43</v>
      </c>
      <c r="B9" s="47"/>
      <c r="C9" s="47"/>
      <c r="D9" s="48"/>
    </row>
    <row r="10" spans="1:4">
      <c r="A10" s="7" t="s">
        <v>305</v>
      </c>
      <c r="B10" s="47"/>
      <c r="C10" s="47"/>
      <c r="D10" s="48"/>
    </row>
    <row r="11" spans="1:4">
      <c r="A11" s="7" t="s">
        <v>307</v>
      </c>
      <c r="B11" s="47"/>
      <c r="C11" s="47"/>
      <c r="D11" s="48"/>
    </row>
    <row r="12" spans="1:4">
      <c r="A12" s="7" t="s">
        <v>309</v>
      </c>
      <c r="B12" s="47"/>
      <c r="C12" s="47"/>
      <c r="D12" s="48"/>
    </row>
    <row r="13" spans="1:4">
      <c r="A13" s="7" t="s">
        <v>311</v>
      </c>
      <c r="B13" s="47"/>
      <c r="C13" s="47"/>
      <c r="D13" s="48"/>
    </row>
    <row r="14" spans="1:4">
      <c r="A14" s="7" t="s">
        <v>313</v>
      </c>
      <c r="B14" s="47"/>
      <c r="C14" s="47"/>
      <c r="D14" s="48"/>
    </row>
    <row r="15" spans="1:4">
      <c r="A15" s="9" t="s">
        <v>315</v>
      </c>
      <c r="B15" s="49"/>
      <c r="C15" s="49"/>
      <c r="D15" s="50"/>
    </row>
    <row r="16" spans="1:4">
      <c r="A16" s="42" t="s">
        <v>780</v>
      </c>
      <c r="B16" s="51"/>
      <c r="C16" s="51"/>
      <c r="D16" s="52"/>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J25"/>
  <sheetViews>
    <sheetView topLeftCell="A14" workbookViewId="0">
      <selection activeCell="G15" sqref="G15"/>
    </sheetView>
  </sheetViews>
  <sheetFormatPr defaultColWidth="11.19921875" defaultRowHeight="15.6"/>
  <cols>
    <col min="1" max="1" width="14.296875" style="1" bestFit="1" customWidth="1"/>
    <col min="5" max="5" width="13.69921875" customWidth="1"/>
  </cols>
  <sheetData>
    <row r="1" spans="1:10" ht="17.399999999999999">
      <c r="A1" s="212" t="s">
        <v>754</v>
      </c>
      <c r="B1" s="204" t="s">
        <v>847</v>
      </c>
      <c r="C1" s="204"/>
      <c r="D1" s="204"/>
      <c r="E1" s="204"/>
      <c r="F1" s="204"/>
      <c r="G1" s="204"/>
      <c r="H1" s="204"/>
      <c r="I1" s="204"/>
      <c r="J1" s="212"/>
    </row>
    <row r="2" spans="1:10">
      <c r="A2" s="214"/>
      <c r="B2" s="97" t="s">
        <v>760</v>
      </c>
      <c r="C2" s="97" t="s">
        <v>761</v>
      </c>
      <c r="D2" s="97" t="s">
        <v>762</v>
      </c>
      <c r="E2" s="97" t="s">
        <v>763</v>
      </c>
      <c r="F2" s="97" t="s">
        <v>764</v>
      </c>
      <c r="G2" s="97" t="s">
        <v>766</v>
      </c>
      <c r="H2" s="97" t="s">
        <v>767</v>
      </c>
      <c r="I2" s="97" t="s">
        <v>768</v>
      </c>
      <c r="J2" s="214" t="s">
        <v>769</v>
      </c>
    </row>
    <row r="3" spans="1:10">
      <c r="A3" s="208" t="s">
        <v>255</v>
      </c>
      <c r="B3" s="83">
        <v>0.55179999999999996</v>
      </c>
      <c r="C3" s="83">
        <v>0.49569999999999997</v>
      </c>
      <c r="D3" s="130">
        <v>0.53420000000000001</v>
      </c>
      <c r="E3" s="98">
        <v>0.48430000000000001</v>
      </c>
      <c r="F3" s="83">
        <v>0.47660000000000002</v>
      </c>
      <c r="G3" s="83">
        <v>0.46460000000000001</v>
      </c>
      <c r="H3" s="83">
        <v>0.45619999999999999</v>
      </c>
      <c r="I3" s="83">
        <v>0.45579999999999998</v>
      </c>
      <c r="J3" s="84">
        <v>0.45779999999999998</v>
      </c>
    </row>
    <row r="4" spans="1:10">
      <c r="A4" s="208" t="s">
        <v>256</v>
      </c>
      <c r="B4" s="83">
        <v>0.20660000000000001</v>
      </c>
      <c r="C4" s="83">
        <v>0.20649999999999999</v>
      </c>
      <c r="D4" s="98">
        <v>0.1719</v>
      </c>
      <c r="E4" s="98">
        <v>0.2044</v>
      </c>
      <c r="F4" s="83">
        <v>0.20780000000000001</v>
      </c>
      <c r="G4" s="83">
        <v>0.2117</v>
      </c>
      <c r="H4" s="83">
        <v>0.2145</v>
      </c>
      <c r="I4" s="83">
        <v>0.21609999999999999</v>
      </c>
      <c r="J4" s="84">
        <v>0.21859999999999999</v>
      </c>
    </row>
    <row r="5" spans="1:10">
      <c r="A5" s="208" t="s">
        <v>257</v>
      </c>
      <c r="B5" s="83">
        <v>4.0099999999999997E-2</v>
      </c>
      <c r="C5" s="83">
        <v>3.8699999999999998E-2</v>
      </c>
      <c r="D5" s="98">
        <v>4.0599999999999997E-2</v>
      </c>
      <c r="E5" s="98">
        <v>1.41E-2</v>
      </c>
      <c r="F5" s="83">
        <v>1.4500000000000001E-2</v>
      </c>
      <c r="G5" s="83">
        <v>1.2800000000000001E-2</v>
      </c>
      <c r="H5" s="83">
        <v>1.2200000000000001E-2</v>
      </c>
      <c r="I5" s="83">
        <v>1.0800000000000001E-2</v>
      </c>
      <c r="J5" s="84">
        <v>9.7000000000000003E-3</v>
      </c>
    </row>
    <row r="6" spans="1:10">
      <c r="A6" s="208" t="s">
        <v>258</v>
      </c>
      <c r="B6" s="83">
        <v>2.52E-2</v>
      </c>
      <c r="C6" s="83">
        <v>3.2800000000000003E-2</v>
      </c>
      <c r="D6" s="98">
        <v>3.1E-2</v>
      </c>
      <c r="E6" s="98">
        <v>4.1700000000000001E-2</v>
      </c>
      <c r="F6" s="83">
        <v>4.4299999999999999E-2</v>
      </c>
      <c r="G6" s="83">
        <v>4.58E-2</v>
      </c>
      <c r="H6" s="83">
        <v>4.7300000000000002E-2</v>
      </c>
      <c r="I6" s="83">
        <v>4.7699999999999999E-2</v>
      </c>
      <c r="J6" s="84">
        <v>4.7800000000000002E-2</v>
      </c>
    </row>
    <row r="7" spans="1:10">
      <c r="A7" s="208" t="s">
        <v>259</v>
      </c>
      <c r="B7" s="83">
        <v>1.38E-2</v>
      </c>
      <c r="C7" s="83">
        <v>1.44E-2</v>
      </c>
      <c r="D7" s="98">
        <v>1.78E-2</v>
      </c>
      <c r="E7" s="98">
        <v>1.41E-2</v>
      </c>
      <c r="F7" s="83">
        <v>1.18E-2</v>
      </c>
      <c r="G7" s="83">
        <v>1.3299999999999999E-2</v>
      </c>
      <c r="H7" s="83">
        <v>1.3299999999999999E-2</v>
      </c>
      <c r="I7" s="83">
        <v>1.37E-2</v>
      </c>
      <c r="J7" s="84">
        <v>1.37E-2</v>
      </c>
    </row>
    <row r="8" spans="1:10">
      <c r="A8" s="208" t="s">
        <v>260</v>
      </c>
      <c r="B8" s="83">
        <v>1.09E-2</v>
      </c>
      <c r="C8" s="83">
        <v>1.1900000000000001E-2</v>
      </c>
      <c r="D8" s="98">
        <v>1.2999999999999999E-2</v>
      </c>
      <c r="E8" s="98">
        <v>1.14E-2</v>
      </c>
      <c r="F8" s="83">
        <v>1.2E-2</v>
      </c>
      <c r="G8" s="83">
        <v>1.23E-2</v>
      </c>
      <c r="H8" s="83">
        <v>1.32E-2</v>
      </c>
      <c r="I8" s="83">
        <v>1.3299999999999999E-2</v>
      </c>
      <c r="J8" s="84">
        <v>1.29E-2</v>
      </c>
    </row>
    <row r="9" spans="1:10">
      <c r="A9" s="208" t="s">
        <v>261</v>
      </c>
      <c r="B9" s="83">
        <v>1.12E-2</v>
      </c>
      <c r="C9" s="83">
        <v>1.18E-2</v>
      </c>
      <c r="D9" s="98">
        <v>1.4E-2</v>
      </c>
      <c r="E9" s="98">
        <v>1.5299999999999999E-2</v>
      </c>
      <c r="F9" s="83">
        <v>1.52E-2</v>
      </c>
      <c r="G9" s="83">
        <v>1.4999999999999999E-2</v>
      </c>
      <c r="H9" s="83">
        <v>1.47E-2</v>
      </c>
      <c r="I9" s="83">
        <v>1.4999999999999999E-2</v>
      </c>
      <c r="J9" s="84">
        <v>1.54E-2</v>
      </c>
    </row>
    <row r="10" spans="1:10">
      <c r="A10" s="208" t="s">
        <v>264</v>
      </c>
      <c r="B10" s="83">
        <v>7.0000000000000001E-3</v>
      </c>
      <c r="C10" s="83">
        <v>8.5000000000000006E-3</v>
      </c>
      <c r="D10" s="98">
        <v>9.5999999999999992E-3</v>
      </c>
      <c r="E10" s="98">
        <v>1.44E-2</v>
      </c>
      <c r="F10" s="83">
        <v>1.44E-2</v>
      </c>
      <c r="G10" s="83">
        <v>1.43E-2</v>
      </c>
      <c r="H10" s="83">
        <v>1.46E-2</v>
      </c>
      <c r="I10" s="83">
        <v>1.43E-2</v>
      </c>
      <c r="J10" s="84">
        <v>1.37E-2</v>
      </c>
    </row>
    <row r="11" spans="1:10">
      <c r="A11" s="209" t="s">
        <v>266</v>
      </c>
      <c r="B11" s="134">
        <v>7.6E-3</v>
      </c>
      <c r="C11" s="134">
        <v>4.36E-2</v>
      </c>
      <c r="D11" s="134">
        <v>1.8100000000000002E-2</v>
      </c>
      <c r="E11" s="134">
        <v>3.5099999999999999E-2</v>
      </c>
      <c r="F11" s="134">
        <v>3.6499999999999998E-2</v>
      </c>
      <c r="G11" s="134">
        <v>3.9199999999999999E-2</v>
      </c>
      <c r="H11" s="134">
        <v>4.1500000000000002E-2</v>
      </c>
      <c r="I11" s="134">
        <v>4.2599999999999999E-2</v>
      </c>
      <c r="J11" s="135">
        <v>4.3499999999999997E-2</v>
      </c>
    </row>
    <row r="13" spans="1:10">
      <c r="B13" s="13" t="s">
        <v>848</v>
      </c>
    </row>
    <row r="15" spans="1:10" ht="17.399999999999999">
      <c r="A15" s="114" t="s">
        <v>754</v>
      </c>
      <c r="B15" s="113" t="s">
        <v>847</v>
      </c>
      <c r="C15" s="113"/>
      <c r="D15" s="114"/>
      <c r="E15" s="149" t="s">
        <v>920</v>
      </c>
    </row>
    <row r="16" spans="1:10">
      <c r="A16" s="56"/>
      <c r="B16" s="61" t="s">
        <v>749</v>
      </c>
      <c r="C16" s="61" t="s">
        <v>750</v>
      </c>
      <c r="D16" s="56" t="s">
        <v>751</v>
      </c>
      <c r="E16" s="150" t="s">
        <v>922</v>
      </c>
    </row>
    <row r="17" spans="1:5">
      <c r="A17" s="57" t="s">
        <v>255</v>
      </c>
      <c r="B17" s="39">
        <f>AVERAGE(B3,C3,D3)</f>
        <v>0.52723333333333333</v>
      </c>
      <c r="C17" s="39">
        <f>AVERAGE(E3,F3,G3)</f>
        <v>0.47516666666666668</v>
      </c>
      <c r="D17" s="41">
        <f>AVERAGE(H3,I3,J3)</f>
        <v>0.45659999999999995</v>
      </c>
      <c r="E17" s="172" t="s">
        <v>959</v>
      </c>
    </row>
    <row r="18" spans="1:5">
      <c r="A18" s="57" t="s">
        <v>256</v>
      </c>
      <c r="B18" s="39">
        <f t="shared" ref="B18:B25" si="0">AVERAGE(B4,C4,D4)</f>
        <v>0.19499999999999998</v>
      </c>
      <c r="C18" s="39">
        <f t="shared" ref="C18:C25" si="1">AVERAGE(E4,F4,G4)</f>
        <v>0.20796666666666666</v>
      </c>
      <c r="D18" s="16">
        <f t="shared" ref="D18:D25" si="2">AVERAGE(H4,I4,J4)</f>
        <v>0.21640000000000001</v>
      </c>
      <c r="E18" s="172" t="s">
        <v>960</v>
      </c>
    </row>
    <row r="19" spans="1:5">
      <c r="A19" s="57" t="s">
        <v>257</v>
      </c>
      <c r="B19" s="39">
        <f t="shared" si="0"/>
        <v>3.9799999999999995E-2</v>
      </c>
      <c r="C19" s="39">
        <f t="shared" si="1"/>
        <v>1.38E-2</v>
      </c>
      <c r="D19" s="16">
        <f t="shared" si="2"/>
        <v>1.09E-2</v>
      </c>
      <c r="E19" s="172" t="s">
        <v>961</v>
      </c>
    </row>
    <row r="20" spans="1:5">
      <c r="A20" s="57" t="s">
        <v>258</v>
      </c>
      <c r="B20" s="39">
        <f t="shared" si="0"/>
        <v>2.9666666666666664E-2</v>
      </c>
      <c r="C20" s="39">
        <f t="shared" si="1"/>
        <v>4.3933333333333331E-2</v>
      </c>
      <c r="D20" s="16">
        <f t="shared" si="2"/>
        <v>4.7600000000000003E-2</v>
      </c>
      <c r="E20" s="172" t="s">
        <v>962</v>
      </c>
    </row>
    <row r="21" spans="1:5">
      <c r="A21" s="57" t="s">
        <v>259</v>
      </c>
      <c r="B21" s="39">
        <f t="shared" si="0"/>
        <v>1.5333333333333332E-2</v>
      </c>
      <c r="C21" s="39">
        <f t="shared" si="1"/>
        <v>1.3066666666666666E-2</v>
      </c>
      <c r="D21" s="16">
        <f t="shared" si="2"/>
        <v>1.3566666666666666E-2</v>
      </c>
      <c r="E21" s="172" t="s">
        <v>963</v>
      </c>
    </row>
    <row r="22" spans="1:5">
      <c r="A22" s="57" t="s">
        <v>260</v>
      </c>
      <c r="B22" s="39">
        <f t="shared" si="0"/>
        <v>1.1933333333333332E-2</v>
      </c>
      <c r="C22" s="39">
        <f t="shared" si="1"/>
        <v>1.1900000000000001E-2</v>
      </c>
      <c r="D22" s="16">
        <f t="shared" si="2"/>
        <v>1.3133333333333332E-2</v>
      </c>
      <c r="E22" s="172" t="s">
        <v>964</v>
      </c>
    </row>
    <row r="23" spans="1:5">
      <c r="A23" s="57" t="s">
        <v>261</v>
      </c>
      <c r="B23" s="39">
        <f t="shared" si="0"/>
        <v>1.2333333333333333E-2</v>
      </c>
      <c r="C23" s="39">
        <f t="shared" si="1"/>
        <v>1.5166666666666667E-2</v>
      </c>
      <c r="D23" s="16">
        <f t="shared" si="2"/>
        <v>1.5033333333333334E-2</v>
      </c>
      <c r="E23" s="172" t="s">
        <v>965</v>
      </c>
    </row>
    <row r="24" spans="1:5">
      <c r="A24" s="57" t="s">
        <v>264</v>
      </c>
      <c r="B24" s="39">
        <f t="shared" si="0"/>
        <v>8.3666666666666663E-3</v>
      </c>
      <c r="C24" s="39">
        <f t="shared" si="1"/>
        <v>1.4366666666666666E-2</v>
      </c>
      <c r="D24" s="16">
        <f t="shared" si="2"/>
        <v>1.4199999999999999E-2</v>
      </c>
      <c r="E24" s="172" t="s">
        <v>966</v>
      </c>
    </row>
    <row r="25" spans="1:5">
      <c r="A25" s="58" t="s">
        <v>266</v>
      </c>
      <c r="B25" s="19">
        <f t="shared" si="0"/>
        <v>2.3099999999999999E-2</v>
      </c>
      <c r="C25" s="19">
        <f t="shared" si="1"/>
        <v>3.6933333333333332E-2</v>
      </c>
      <c r="D25" s="17">
        <f t="shared" si="2"/>
        <v>4.2533333333333333E-2</v>
      </c>
      <c r="E25" s="173" t="s">
        <v>967</v>
      </c>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J13"/>
  <sheetViews>
    <sheetView workbookViewId="0">
      <selection activeCell="H9" sqref="H9"/>
    </sheetView>
  </sheetViews>
  <sheetFormatPr defaultColWidth="11.19921875" defaultRowHeight="15.6"/>
  <cols>
    <col min="1" max="1" width="14.296875" bestFit="1" customWidth="1"/>
  </cols>
  <sheetData>
    <row r="1" spans="1:10">
      <c r="A1" s="55" t="s">
        <v>754</v>
      </c>
      <c r="B1" s="67" t="s">
        <v>819</v>
      </c>
      <c r="C1" s="67"/>
      <c r="D1" s="55"/>
      <c r="E1" s="67" t="s">
        <v>820</v>
      </c>
      <c r="F1" s="67"/>
      <c r="G1" s="55"/>
      <c r="H1" s="60" t="s">
        <v>781</v>
      </c>
      <c r="I1" s="60"/>
      <c r="J1" s="55"/>
    </row>
    <row r="2" spans="1:10">
      <c r="A2" s="56"/>
      <c r="B2" s="61" t="s">
        <v>749</v>
      </c>
      <c r="C2" s="61" t="s">
        <v>750</v>
      </c>
      <c r="D2" s="56" t="s">
        <v>751</v>
      </c>
      <c r="E2" s="61" t="s">
        <v>749</v>
      </c>
      <c r="F2" s="61" t="s">
        <v>750</v>
      </c>
      <c r="G2" s="56" t="s">
        <v>751</v>
      </c>
      <c r="H2" s="62" t="s">
        <v>749</v>
      </c>
      <c r="I2" s="61" t="s">
        <v>750</v>
      </c>
      <c r="J2" s="56" t="s">
        <v>751</v>
      </c>
    </row>
    <row r="3" spans="1:10">
      <c r="A3" s="57" t="s">
        <v>255</v>
      </c>
      <c r="B3" s="78">
        <v>1441</v>
      </c>
      <c r="C3" s="78">
        <v>1490</v>
      </c>
      <c r="D3" s="79">
        <v>1545</v>
      </c>
      <c r="E3" s="82">
        <v>3543</v>
      </c>
      <c r="F3" s="82">
        <v>4042</v>
      </c>
      <c r="G3" s="12">
        <v>4501</v>
      </c>
      <c r="J3" s="12"/>
    </row>
    <row r="4" spans="1:10">
      <c r="A4" s="57" t="s">
        <v>256</v>
      </c>
      <c r="B4" s="78"/>
      <c r="C4" s="78"/>
      <c r="D4" s="79"/>
      <c r="G4" s="12"/>
      <c r="J4" s="12"/>
    </row>
    <row r="5" spans="1:10">
      <c r="A5" s="57" t="s">
        <v>257</v>
      </c>
      <c r="B5" s="78"/>
      <c r="C5" s="78"/>
      <c r="D5" s="79"/>
      <c r="G5" s="12"/>
      <c r="J5" s="12"/>
    </row>
    <row r="6" spans="1:10">
      <c r="A6" s="57" t="s">
        <v>258</v>
      </c>
      <c r="B6" s="78">
        <v>302</v>
      </c>
      <c r="C6" s="78">
        <v>316</v>
      </c>
      <c r="D6" s="79">
        <v>320</v>
      </c>
      <c r="E6" s="82">
        <v>435.93900000000002</v>
      </c>
      <c r="F6">
        <v>502.38299999999998</v>
      </c>
      <c r="G6" s="12">
        <v>569.23699999999997</v>
      </c>
      <c r="J6" s="12"/>
    </row>
    <row r="7" spans="1:10">
      <c r="A7" s="57" t="s">
        <v>259</v>
      </c>
      <c r="B7" s="78">
        <v>97</v>
      </c>
      <c r="C7" s="78">
        <v>97</v>
      </c>
      <c r="D7" s="79">
        <v>100</v>
      </c>
      <c r="E7" s="82">
        <v>638</v>
      </c>
      <c r="F7">
        <v>712</v>
      </c>
      <c r="G7" s="12">
        <v>780</v>
      </c>
      <c r="J7" s="12"/>
    </row>
    <row r="8" spans="1:10">
      <c r="A8" s="57" t="s">
        <v>260</v>
      </c>
      <c r="B8" s="78"/>
      <c r="C8" s="78"/>
      <c r="D8" s="79"/>
      <c r="G8" s="12"/>
      <c r="J8" s="12"/>
    </row>
    <row r="9" spans="1:10">
      <c r="A9" s="57" t="s">
        <v>261</v>
      </c>
      <c r="B9" s="78"/>
      <c r="C9" s="78"/>
      <c r="D9" s="79"/>
      <c r="G9" s="12"/>
      <c r="J9" s="12"/>
    </row>
    <row r="10" spans="1:10">
      <c r="A10" s="57" t="s">
        <v>262</v>
      </c>
      <c r="B10" s="78"/>
      <c r="C10" s="78"/>
      <c r="D10" s="79"/>
      <c r="G10" s="12"/>
      <c r="J10" s="12"/>
    </row>
    <row r="11" spans="1:10">
      <c r="A11" s="57" t="s">
        <v>264</v>
      </c>
      <c r="B11" s="78"/>
      <c r="C11" s="78"/>
      <c r="D11" s="79"/>
      <c r="G11" s="12"/>
      <c r="J11" s="12"/>
    </row>
    <row r="12" spans="1:10">
      <c r="A12" s="57" t="s">
        <v>265</v>
      </c>
      <c r="B12" s="78"/>
      <c r="C12" s="78"/>
      <c r="D12" s="79"/>
      <c r="G12" s="12"/>
      <c r="J12" s="12"/>
    </row>
    <row r="13" spans="1:10">
      <c r="A13" s="58" t="s">
        <v>266</v>
      </c>
      <c r="B13" s="80"/>
      <c r="C13" s="80"/>
      <c r="D13" s="81"/>
      <c r="E13" s="14"/>
      <c r="F13" s="14"/>
      <c r="G13" s="15"/>
      <c r="H13" s="20"/>
      <c r="I13" s="14"/>
      <c r="J13" s="15"/>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O18"/>
  <sheetViews>
    <sheetView workbookViewId="0">
      <selection activeCell="E23" sqref="E23"/>
    </sheetView>
  </sheetViews>
  <sheetFormatPr defaultColWidth="11.19921875" defaultRowHeight="15.6"/>
  <cols>
    <col min="1" max="1" width="30.19921875" bestFit="1" customWidth="1"/>
    <col min="2" max="4" width="11.296875" bestFit="1" customWidth="1"/>
    <col min="5" max="5" width="12" bestFit="1" customWidth="1"/>
    <col min="8" max="8" width="14.5" customWidth="1"/>
    <col min="11" max="11" width="18" customWidth="1"/>
  </cols>
  <sheetData>
    <row r="1" spans="1:15" ht="17.399999999999999">
      <c r="A1" s="55" t="s">
        <v>745</v>
      </c>
      <c r="B1" s="60" t="s">
        <v>810</v>
      </c>
      <c r="C1" s="60"/>
      <c r="D1" s="55"/>
      <c r="E1" s="60" t="s">
        <v>781</v>
      </c>
      <c r="F1" s="60"/>
      <c r="G1" s="55"/>
      <c r="H1" s="149" t="s">
        <v>920</v>
      </c>
      <c r="I1" s="204"/>
      <c r="J1" s="204"/>
      <c r="L1" s="4"/>
      <c r="M1" s="220" t="s">
        <v>860</v>
      </c>
      <c r="N1" s="218"/>
      <c r="O1" s="219"/>
    </row>
    <row r="2" spans="1:15">
      <c r="A2" s="56"/>
      <c r="B2" s="61" t="s">
        <v>749</v>
      </c>
      <c r="C2" s="61" t="s">
        <v>750</v>
      </c>
      <c r="D2" s="56" t="s">
        <v>751</v>
      </c>
      <c r="E2" s="62" t="s">
        <v>749</v>
      </c>
      <c r="F2" s="61" t="s">
        <v>750</v>
      </c>
      <c r="G2" s="56" t="s">
        <v>751</v>
      </c>
      <c r="H2" s="150" t="s">
        <v>922</v>
      </c>
      <c r="I2" s="204"/>
      <c r="J2" s="204"/>
      <c r="L2" s="4"/>
      <c r="M2" s="96" t="s">
        <v>749</v>
      </c>
      <c r="N2" s="97" t="s">
        <v>750</v>
      </c>
      <c r="O2" s="214" t="s">
        <v>751</v>
      </c>
    </row>
    <row r="3" spans="1:15">
      <c r="A3" s="57" t="s">
        <v>51</v>
      </c>
      <c r="B3" s="47">
        <v>21421</v>
      </c>
      <c r="C3" s="47">
        <v>22345</v>
      </c>
      <c r="D3" s="48">
        <v>20913</v>
      </c>
      <c r="E3" s="39">
        <f>B3/SUM(B$3:B$16)</f>
        <v>0.17689069894562057</v>
      </c>
      <c r="F3" s="39">
        <f t="shared" ref="F3:G3" si="0">C3/SUM(C$3:C$16)</f>
        <v>0.18266020910451355</v>
      </c>
      <c r="G3" s="41">
        <f t="shared" si="0"/>
        <v>0.17470261862904821</v>
      </c>
      <c r="H3" s="172" t="s">
        <v>945</v>
      </c>
      <c r="L3" s="230" t="s">
        <v>915</v>
      </c>
      <c r="M3" s="231">
        <v>0.78739999999999999</v>
      </c>
      <c r="N3" s="232">
        <v>0.80479999999999996</v>
      </c>
      <c r="O3" s="233">
        <v>0.74629999999999996</v>
      </c>
    </row>
    <row r="4" spans="1:15">
      <c r="A4" s="57" t="s">
        <v>52</v>
      </c>
      <c r="B4" s="47">
        <f>11963+10292</f>
        <v>22255</v>
      </c>
      <c r="C4" s="47">
        <f>12226+10048</f>
        <v>22274</v>
      </c>
      <c r="D4" s="48">
        <f>12445+10418</f>
        <v>22863</v>
      </c>
      <c r="E4" s="39">
        <f t="shared" ref="E4:E16" si="1">B4/SUM(B$3:B$16)</f>
        <v>0.18377771836211129</v>
      </c>
      <c r="F4" s="39">
        <f t="shared" ref="F4:F16" si="2">C4/SUM(C$3:C$16)</f>
        <v>0.18207981640608348</v>
      </c>
      <c r="G4" s="16">
        <f t="shared" ref="G4:G16" si="3">D4/SUM(D$3:D$16)</f>
        <v>0.19099249125978718</v>
      </c>
      <c r="H4" s="172" t="s">
        <v>946</v>
      </c>
    </row>
    <row r="5" spans="1:15">
      <c r="A5" s="57" t="s">
        <v>53</v>
      </c>
      <c r="B5" s="47">
        <v>24820</v>
      </c>
      <c r="C5" s="47">
        <v>24531</v>
      </c>
      <c r="D5" s="48">
        <v>23535</v>
      </c>
      <c r="E5" s="39">
        <f t="shared" si="1"/>
        <v>0.204959019085491</v>
      </c>
      <c r="F5" s="39">
        <f t="shared" si="2"/>
        <v>0.20052976458012181</v>
      </c>
      <c r="G5" s="16">
        <f t="shared" si="3"/>
        <v>0.19660623198176491</v>
      </c>
      <c r="H5" s="172" t="s">
        <v>947</v>
      </c>
    </row>
    <row r="6" spans="1:15">
      <c r="A6" s="57" t="s">
        <v>54</v>
      </c>
      <c r="B6" s="47">
        <v>19736</v>
      </c>
      <c r="C6" s="47">
        <v>19470</v>
      </c>
      <c r="D6" s="48">
        <v>18692</v>
      </c>
      <c r="E6" s="39">
        <f t="shared" si="1"/>
        <v>0.16297627722285457</v>
      </c>
      <c r="F6" s="39">
        <f t="shared" si="2"/>
        <v>0.15915839209061888</v>
      </c>
      <c r="G6" s="16">
        <f t="shared" si="3"/>
        <v>0.15614887139167835</v>
      </c>
      <c r="H6" s="172" t="s">
        <v>948</v>
      </c>
    </row>
    <row r="7" spans="1:15">
      <c r="A7" s="57" t="s">
        <v>55</v>
      </c>
      <c r="B7" s="47">
        <v>4906</v>
      </c>
      <c r="C7" s="47">
        <v>5042</v>
      </c>
      <c r="D7" s="48">
        <v>5147</v>
      </c>
      <c r="E7" s="39">
        <f t="shared" si="1"/>
        <v>4.0512850428421385E-2</v>
      </c>
      <c r="F7" s="39">
        <f t="shared" si="2"/>
        <v>4.1216056133585026E-2</v>
      </c>
      <c r="G7" s="16">
        <f t="shared" si="3"/>
        <v>4.2996909964314593E-2</v>
      </c>
      <c r="H7" s="172" t="s">
        <v>949</v>
      </c>
    </row>
    <row r="8" spans="1:15">
      <c r="A8" s="57" t="s">
        <v>56</v>
      </c>
      <c r="B8" s="47">
        <v>3731</v>
      </c>
      <c r="C8" s="47">
        <v>3866</v>
      </c>
      <c r="D8" s="48">
        <v>3775</v>
      </c>
      <c r="E8" s="39">
        <f t="shared" si="1"/>
        <v>3.0809915399192863E-2</v>
      </c>
      <c r="F8" s="39">
        <f t="shared" si="2"/>
        <v>3.1602791156771066E-2</v>
      </c>
      <c r="G8" s="16">
        <f t="shared" si="3"/>
        <v>3.1535522656943385E-2</v>
      </c>
      <c r="H8" s="172" t="s">
        <v>950</v>
      </c>
    </row>
    <row r="9" spans="1:15">
      <c r="A9" s="57" t="s">
        <v>57</v>
      </c>
      <c r="B9" s="47">
        <v>5647</v>
      </c>
      <c r="C9" s="47">
        <v>5672</v>
      </c>
      <c r="D9" s="48">
        <v>5900</v>
      </c>
      <c r="E9" s="39">
        <f t="shared" si="1"/>
        <v>4.6631892859619967E-2</v>
      </c>
      <c r="F9" s="39">
        <f t="shared" si="2"/>
        <v>4.6366019514021077E-2</v>
      </c>
      <c r="G9" s="16">
        <f t="shared" si="3"/>
        <v>4.9287306934030717E-2</v>
      </c>
      <c r="H9" s="172" t="s">
        <v>951</v>
      </c>
    </row>
    <row r="10" spans="1:15" ht="17.399999999999999">
      <c r="A10" s="57" t="s">
        <v>811</v>
      </c>
      <c r="B10" s="170">
        <f>(1/3*7614+2/3*7759)*M3</f>
        <v>6071.3789333333325</v>
      </c>
      <c r="C10" s="170">
        <f>(1/3*7759+2/3*8006)*N3</f>
        <v>6376.9669333333322</v>
      </c>
      <c r="D10" s="171">
        <f>(1/3*8006+2/3*8047)*O3</f>
        <v>5995.2766666666657</v>
      </c>
      <c r="E10" s="39">
        <f t="shared" si="1"/>
        <v>5.0136336449327738E-2</v>
      </c>
      <c r="F10" s="39">
        <f t="shared" si="2"/>
        <v>5.2128803468124194E-2</v>
      </c>
      <c r="G10" s="16">
        <f t="shared" si="3"/>
        <v>5.0083227326175005E-2</v>
      </c>
      <c r="H10" s="172" t="s">
        <v>952</v>
      </c>
    </row>
    <row r="11" spans="1:15">
      <c r="A11" s="57" t="s">
        <v>59</v>
      </c>
      <c r="B11" s="47">
        <v>2344</v>
      </c>
      <c r="C11" s="47">
        <v>2367</v>
      </c>
      <c r="D11" s="48">
        <v>2489</v>
      </c>
      <c r="E11" s="39">
        <f t="shared" si="1"/>
        <v>1.9356323156180133E-2</v>
      </c>
      <c r="F11" s="39">
        <f t="shared" si="2"/>
        <v>1.9349148129352588E-2</v>
      </c>
      <c r="G11" s="16">
        <f t="shared" si="3"/>
        <v>2.0792560501491943E-2</v>
      </c>
      <c r="H11" s="172" t="s">
        <v>953</v>
      </c>
    </row>
    <row r="12" spans="1:15">
      <c r="A12" s="57" t="s">
        <v>60</v>
      </c>
      <c r="B12" s="47">
        <v>1992</v>
      </c>
      <c r="C12" s="47">
        <v>2077</v>
      </c>
      <c r="D12" s="48">
        <v>2058</v>
      </c>
      <c r="E12" s="39">
        <f t="shared" si="1"/>
        <v>1.6449571555934652E-2</v>
      </c>
      <c r="F12" s="39">
        <f t="shared" si="2"/>
        <v>1.6978530065342345E-2</v>
      </c>
      <c r="G12" s="16">
        <f t="shared" si="3"/>
        <v>1.7192080961056816E-2</v>
      </c>
      <c r="H12" s="172" t="s">
        <v>954</v>
      </c>
    </row>
    <row r="13" spans="1:15">
      <c r="A13" s="57" t="s">
        <v>61</v>
      </c>
      <c r="B13" s="47">
        <v>3851</v>
      </c>
      <c r="C13" s="47">
        <v>3886</v>
      </c>
      <c r="D13" s="48">
        <v>3790</v>
      </c>
      <c r="E13" s="39">
        <f t="shared" si="1"/>
        <v>3.1800853444731096E-2</v>
      </c>
      <c r="F13" s="39">
        <f t="shared" si="2"/>
        <v>3.1766282057737287E-2</v>
      </c>
      <c r="G13" s="16">
        <f t="shared" si="3"/>
        <v>3.1660829369487532E-2</v>
      </c>
      <c r="H13" s="172" t="s">
        <v>955</v>
      </c>
    </row>
    <row r="14" spans="1:15">
      <c r="A14" s="57" t="s">
        <v>62</v>
      </c>
      <c r="B14" s="47">
        <v>1512</v>
      </c>
      <c r="C14" s="47">
        <v>1448</v>
      </c>
      <c r="D14" s="48">
        <v>1619</v>
      </c>
      <c r="E14" s="39">
        <f t="shared" si="1"/>
        <v>1.2485819373781723E-2</v>
      </c>
      <c r="F14" s="39">
        <f t="shared" si="2"/>
        <v>1.1836741229954605E-2</v>
      </c>
      <c r="G14" s="16">
        <f t="shared" si="3"/>
        <v>1.352477117393148E-2</v>
      </c>
      <c r="H14" s="172" t="s">
        <v>958</v>
      </c>
    </row>
    <row r="15" spans="1:15">
      <c r="A15" s="57" t="s">
        <v>63</v>
      </c>
      <c r="B15" s="47">
        <v>1285</v>
      </c>
      <c r="C15" s="47">
        <v>1410</v>
      </c>
      <c r="D15" s="48">
        <v>1333</v>
      </c>
      <c r="E15" s="39">
        <f t="shared" si="1"/>
        <v>1.0611294904305235E-2</v>
      </c>
      <c r="F15" s="39">
        <f t="shared" si="2"/>
        <v>1.1526108518118779E-2</v>
      </c>
      <c r="G15" s="16">
        <f t="shared" si="3"/>
        <v>1.1135589854756432E-2</v>
      </c>
      <c r="H15" s="172" t="s">
        <v>956</v>
      </c>
    </row>
    <row r="16" spans="1:15">
      <c r="A16" s="107" t="s">
        <v>64</v>
      </c>
      <c r="B16" s="85">
        <v>1526</v>
      </c>
      <c r="C16" s="49">
        <v>1566</v>
      </c>
      <c r="D16" s="50">
        <v>1597</v>
      </c>
      <c r="E16" s="39">
        <f t="shared" si="1"/>
        <v>1.260142881242785E-2</v>
      </c>
      <c r="F16" s="39">
        <f t="shared" si="2"/>
        <v>1.2801337545655324E-2</v>
      </c>
      <c r="G16" s="17">
        <f t="shared" si="3"/>
        <v>1.3340987995533399E-2</v>
      </c>
      <c r="H16" s="173" t="s">
        <v>957</v>
      </c>
    </row>
    <row r="17" spans="1:7">
      <c r="A17" s="64" t="s">
        <v>780</v>
      </c>
      <c r="B17" s="51">
        <f>SUM(B3:B16)</f>
        <v>121097.37893333333</v>
      </c>
      <c r="C17" s="51">
        <f t="shared" ref="C17:D17" si="4">SUM(C3:C16)</f>
        <v>122330.96693333333</v>
      </c>
      <c r="D17" s="52">
        <f t="shared" si="4"/>
        <v>119706.27666666667</v>
      </c>
      <c r="E17" s="45">
        <f>SUM(E3:E16)</f>
        <v>1</v>
      </c>
      <c r="F17" s="45">
        <f t="shared" ref="F17:G17" si="5">SUM(F3:F16)</f>
        <v>1</v>
      </c>
      <c r="G17" s="46">
        <f t="shared" si="5"/>
        <v>0.99999999999999978</v>
      </c>
    </row>
    <row r="18" spans="1:7">
      <c r="B18" s="1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1:L25"/>
  <sheetViews>
    <sheetView topLeftCell="A14" workbookViewId="0">
      <selection activeCell="E34" sqref="E34"/>
    </sheetView>
  </sheetViews>
  <sheetFormatPr defaultColWidth="11.19921875" defaultRowHeight="15.6"/>
  <cols>
    <col min="1" max="1" width="14" bestFit="1" customWidth="1"/>
    <col min="5" max="5" width="13.19921875" customWidth="1"/>
    <col min="6" max="6" width="12" customWidth="1"/>
    <col min="9" max="9" width="13.69921875" customWidth="1"/>
  </cols>
  <sheetData>
    <row r="1" spans="1:12">
      <c r="A1" s="208" t="s">
        <v>336</v>
      </c>
      <c r="B1" s="204" t="s">
        <v>849</v>
      </c>
      <c r="C1" s="204"/>
      <c r="D1" s="212"/>
      <c r="I1" s="4"/>
      <c r="J1" s="220" t="s">
        <v>860</v>
      </c>
      <c r="K1" s="218"/>
      <c r="L1" s="219"/>
    </row>
    <row r="2" spans="1:12">
      <c r="A2" s="209"/>
      <c r="B2" s="97" t="s">
        <v>749</v>
      </c>
      <c r="C2" s="97" t="s">
        <v>750</v>
      </c>
      <c r="D2" s="214" t="s">
        <v>751</v>
      </c>
      <c r="I2" s="4"/>
      <c r="J2" s="96" t="s">
        <v>749</v>
      </c>
      <c r="K2" s="97" t="s">
        <v>750</v>
      </c>
      <c r="L2" s="214" t="s">
        <v>751</v>
      </c>
    </row>
    <row r="3" spans="1:12">
      <c r="A3" s="208" t="s">
        <v>34</v>
      </c>
      <c r="B3" s="228">
        <f>686.005-553.398</f>
        <v>132.60699999999997</v>
      </c>
      <c r="C3" s="228">
        <v>134.85900000000001</v>
      </c>
      <c r="D3" s="229">
        <f>277.632-C3</f>
        <v>142.773</v>
      </c>
      <c r="E3" t="s">
        <v>850</v>
      </c>
      <c r="F3" t="s">
        <v>855</v>
      </c>
      <c r="I3" s="230" t="s">
        <v>871</v>
      </c>
      <c r="J3" s="231">
        <v>0.1084</v>
      </c>
      <c r="K3" s="232">
        <v>0.1096</v>
      </c>
      <c r="L3" s="233">
        <v>0.1011</v>
      </c>
    </row>
    <row r="4" spans="1:12">
      <c r="A4" s="208" t="s">
        <v>35</v>
      </c>
      <c r="B4" s="228">
        <v>262.65800000000002</v>
      </c>
      <c r="C4" s="228">
        <v>332.53399999999999</v>
      </c>
      <c r="D4" s="229">
        <v>302.45999999999998</v>
      </c>
      <c r="E4" t="s">
        <v>850</v>
      </c>
      <c r="F4" t="s">
        <v>854</v>
      </c>
    </row>
    <row r="5" spans="1:12">
      <c r="A5" s="208" t="s">
        <v>15</v>
      </c>
      <c r="B5" s="228">
        <f>720-201-178.6-164.6</f>
        <v>175.79999999999998</v>
      </c>
      <c r="C5" s="228">
        <v>170.4</v>
      </c>
      <c r="D5" s="229">
        <v>186</v>
      </c>
      <c r="E5" t="s">
        <v>850</v>
      </c>
      <c r="F5" t="s">
        <v>853</v>
      </c>
    </row>
    <row r="6" spans="1:12">
      <c r="A6" s="208" t="s">
        <v>176</v>
      </c>
      <c r="B6" s="228">
        <v>69.599999999999994</v>
      </c>
      <c r="C6" s="228">
        <v>64.3</v>
      </c>
      <c r="D6" s="229">
        <v>75.3</v>
      </c>
      <c r="E6" t="s">
        <v>850</v>
      </c>
      <c r="F6" t="s">
        <v>852</v>
      </c>
    </row>
    <row r="7" spans="1:12">
      <c r="A7" s="208" t="s">
        <v>17</v>
      </c>
      <c r="B7" s="4">
        <f>25.89-24.99</f>
        <v>0.90000000000000213</v>
      </c>
      <c r="C7" s="4">
        <f>26.06-25.5</f>
        <v>0.55999999999999872</v>
      </c>
      <c r="D7" s="70">
        <f>26.61-25.94</f>
        <v>0.66999999999999815</v>
      </c>
      <c r="E7" t="s">
        <v>858</v>
      </c>
      <c r="F7" t="s">
        <v>859</v>
      </c>
    </row>
    <row r="8" spans="1:12">
      <c r="A8" s="208" t="s">
        <v>202</v>
      </c>
      <c r="B8" s="4">
        <f>361-276.5</f>
        <v>84.5</v>
      </c>
      <c r="C8" s="228">
        <v>84.9</v>
      </c>
      <c r="D8" s="229">
        <f>173.1-C8</f>
        <v>88.199999999999989</v>
      </c>
      <c r="E8" t="s">
        <v>850</v>
      </c>
      <c r="F8" t="s">
        <v>851</v>
      </c>
    </row>
    <row r="9" spans="1:12">
      <c r="A9" s="208" t="s">
        <v>203</v>
      </c>
      <c r="B9" s="4"/>
      <c r="C9" s="4"/>
      <c r="D9" s="70"/>
    </row>
    <row r="10" spans="1:12">
      <c r="A10" s="208" t="s">
        <v>204</v>
      </c>
      <c r="B10" s="4">
        <f>83.825-64.306</f>
        <v>19.519000000000005</v>
      </c>
      <c r="C10" s="4">
        <v>21.533000000000001</v>
      </c>
      <c r="D10" s="70">
        <f>41.502-C10</f>
        <v>19.969000000000001</v>
      </c>
      <c r="E10" t="s">
        <v>850</v>
      </c>
      <c r="F10" t="s">
        <v>856</v>
      </c>
    </row>
    <row r="11" spans="1:12">
      <c r="A11" s="208" t="s">
        <v>205</v>
      </c>
      <c r="B11" s="4">
        <v>27.515999999999998</v>
      </c>
      <c r="C11" s="4">
        <v>26.613</v>
      </c>
      <c r="D11" s="70">
        <v>27.091000000000001</v>
      </c>
      <c r="E11" t="s">
        <v>850</v>
      </c>
      <c r="F11" t="s">
        <v>857</v>
      </c>
    </row>
    <row r="12" spans="1:12">
      <c r="A12" s="209" t="s">
        <v>206</v>
      </c>
      <c r="B12" s="227"/>
      <c r="C12" s="227"/>
      <c r="D12" s="106"/>
    </row>
    <row r="16" spans="1:12">
      <c r="A16" s="73" t="s">
        <v>336</v>
      </c>
      <c r="B16" s="113" t="s">
        <v>861</v>
      </c>
      <c r="C16" s="113"/>
      <c r="D16" s="114"/>
      <c r="E16" s="112" t="s">
        <v>862</v>
      </c>
      <c r="F16" s="137"/>
      <c r="G16" s="138"/>
      <c r="H16" s="112" t="s">
        <v>920</v>
      </c>
      <c r="I16" s="138"/>
    </row>
    <row r="17" spans="1:9">
      <c r="A17" s="58"/>
      <c r="B17" s="61" t="s">
        <v>749</v>
      </c>
      <c r="C17" s="61" t="s">
        <v>750</v>
      </c>
      <c r="D17" s="56" t="s">
        <v>751</v>
      </c>
      <c r="E17" s="66" t="s">
        <v>749</v>
      </c>
      <c r="F17" s="67" t="s">
        <v>750</v>
      </c>
      <c r="G17" s="55" t="s">
        <v>751</v>
      </c>
      <c r="H17" s="62" t="s">
        <v>922</v>
      </c>
      <c r="I17" s="56" t="s">
        <v>921</v>
      </c>
    </row>
    <row r="18" spans="1:9">
      <c r="A18" s="57" t="s">
        <v>34</v>
      </c>
      <c r="B18" s="28">
        <f>686.005-553.398</f>
        <v>132.60699999999997</v>
      </c>
      <c r="C18" s="28">
        <v>134.85900000000001</v>
      </c>
      <c r="D18" s="29">
        <f>277.632-C18</f>
        <v>142.773</v>
      </c>
      <c r="E18" s="127">
        <f>B18/SUM(B$18:B$25)</f>
        <v>0.1524638980868285</v>
      </c>
      <c r="F18" s="129">
        <f t="shared" ref="F18:G25" si="0">C18/SUM(C$18:C$25)</f>
        <v>0.15042581551898188</v>
      </c>
      <c r="G18" s="41">
        <f t="shared" si="0"/>
        <v>0.1569744813255198</v>
      </c>
      <c r="H18" s="6" t="s">
        <v>34</v>
      </c>
      <c r="I18" s="12" t="s">
        <v>940</v>
      </c>
    </row>
    <row r="19" spans="1:9">
      <c r="A19" s="57" t="s">
        <v>35</v>
      </c>
      <c r="B19" s="28">
        <v>262.65800000000002</v>
      </c>
      <c r="C19" s="28">
        <v>332.53399999999999</v>
      </c>
      <c r="D19" s="29">
        <v>302.45999999999998</v>
      </c>
      <c r="E19" s="139">
        <f t="shared" ref="E19:E25" si="1">B19/SUM(B$18:B$25)</f>
        <v>0.3019890544518028</v>
      </c>
      <c r="F19" s="18">
        <f t="shared" si="0"/>
        <v>0.37091850108475599</v>
      </c>
      <c r="G19" s="16">
        <f t="shared" si="0"/>
        <v>0.33254538058117933</v>
      </c>
      <c r="H19" s="6" t="s">
        <v>35</v>
      </c>
      <c r="I19" s="12" t="s">
        <v>941</v>
      </c>
    </row>
    <row r="20" spans="1:9">
      <c r="A20" s="57" t="s">
        <v>15</v>
      </c>
      <c r="B20" s="28">
        <f>720-201-178.6-164.6</f>
        <v>175.79999999999998</v>
      </c>
      <c r="C20" s="28">
        <v>170.4</v>
      </c>
      <c r="D20" s="29">
        <v>186</v>
      </c>
      <c r="E20" s="139">
        <f t="shared" si="1"/>
        <v>0.20212472406181012</v>
      </c>
      <c r="F20" s="18">
        <f t="shared" si="0"/>
        <v>0.1900693239934636</v>
      </c>
      <c r="G20" s="16">
        <f t="shared" si="0"/>
        <v>0.20450122590788652</v>
      </c>
      <c r="H20" s="6" t="s">
        <v>15</v>
      </c>
      <c r="I20" s="12" t="s">
        <v>943</v>
      </c>
    </row>
    <row r="21" spans="1:9">
      <c r="A21" s="57" t="s">
        <v>176</v>
      </c>
      <c r="B21" s="28">
        <v>69.599999999999994</v>
      </c>
      <c r="C21" s="28">
        <v>64.3</v>
      </c>
      <c r="D21" s="29">
        <v>75.3</v>
      </c>
      <c r="E21" s="139">
        <f t="shared" si="1"/>
        <v>8.0022075055187616E-2</v>
      </c>
      <c r="F21" s="18">
        <f t="shared" si="0"/>
        <v>7.1722168619599236E-2</v>
      </c>
      <c r="G21" s="16">
        <f t="shared" si="0"/>
        <v>8.2790012423999221E-2</v>
      </c>
      <c r="H21" s="6" t="s">
        <v>935</v>
      </c>
      <c r="I21" s="12" t="s">
        <v>942</v>
      </c>
    </row>
    <row r="22" spans="1:9">
      <c r="A22" s="57" t="s">
        <v>17</v>
      </c>
      <c r="B22" s="28">
        <f>B7*1000*J3</f>
        <v>97.56000000000023</v>
      </c>
      <c r="C22" s="28">
        <f>C7*1000*K3</f>
        <v>61.375999999999863</v>
      </c>
      <c r="D22" s="29">
        <f>D7*1000*L3</f>
        <v>67.73699999999981</v>
      </c>
      <c r="E22" s="139">
        <f t="shared" si="1"/>
        <v>0.11216887417218568</v>
      </c>
      <c r="F22" s="18">
        <f t="shared" si="0"/>
        <v>6.846065040741077E-2</v>
      </c>
      <c r="G22" s="16">
        <f t="shared" si="0"/>
        <v>7.447472870603479E-2</v>
      </c>
      <c r="H22" s="6" t="s">
        <v>936</v>
      </c>
      <c r="I22" s="12" t="s">
        <v>944</v>
      </c>
    </row>
    <row r="23" spans="1:9">
      <c r="A23" s="57" t="s">
        <v>202</v>
      </c>
      <c r="B23" s="28">
        <f>361-276.5</f>
        <v>84.5</v>
      </c>
      <c r="C23" s="28">
        <v>84.9</v>
      </c>
      <c r="D23" s="29">
        <f>173.1-C23</f>
        <v>88.199999999999989</v>
      </c>
      <c r="E23" s="139">
        <f t="shared" si="1"/>
        <v>9.7153237674760848E-2</v>
      </c>
      <c r="F23" s="18">
        <f t="shared" si="0"/>
        <v>9.470003290519402E-2</v>
      </c>
      <c r="G23" s="16">
        <f t="shared" si="0"/>
        <v>9.6973161962771989E-2</v>
      </c>
      <c r="H23" s="6" t="s">
        <v>937</v>
      </c>
      <c r="I23" s="12"/>
    </row>
    <row r="24" spans="1:9">
      <c r="A24" s="57" t="s">
        <v>204</v>
      </c>
      <c r="B24" s="28">
        <f>83.825-64.306</f>
        <v>19.519000000000005</v>
      </c>
      <c r="C24" s="28">
        <v>21.533000000000001</v>
      </c>
      <c r="D24" s="29">
        <f>41.502-C24</f>
        <v>19.969000000000001</v>
      </c>
      <c r="E24" s="139">
        <f t="shared" si="1"/>
        <v>2.2441823031640915E-2</v>
      </c>
      <c r="F24" s="18">
        <f t="shared" si="0"/>
        <v>2.4018560760277301E-2</v>
      </c>
      <c r="G24" s="16">
        <f t="shared" si="0"/>
        <v>2.1955295592228957E-2</v>
      </c>
      <c r="H24" s="6" t="s">
        <v>938</v>
      </c>
      <c r="I24" s="12"/>
    </row>
    <row r="25" spans="1:9">
      <c r="A25" s="58" t="s">
        <v>205</v>
      </c>
      <c r="B25" s="136">
        <v>27.515999999999998</v>
      </c>
      <c r="C25" s="136">
        <v>26.613</v>
      </c>
      <c r="D25" s="136">
        <v>27.091000000000001</v>
      </c>
      <c r="E25" s="40">
        <f t="shared" si="1"/>
        <v>3.1636313465783661E-2</v>
      </c>
      <c r="F25" s="19">
        <f t="shared" si="0"/>
        <v>2.9684946710317177E-2</v>
      </c>
      <c r="G25" s="17">
        <f t="shared" si="0"/>
        <v>2.9785713500379323E-2</v>
      </c>
      <c r="H25" s="20" t="s">
        <v>939</v>
      </c>
      <c r="I25" s="15"/>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M22"/>
  <sheetViews>
    <sheetView topLeftCell="A13" workbookViewId="0">
      <selection activeCell="F26" sqref="F26"/>
    </sheetView>
  </sheetViews>
  <sheetFormatPr defaultColWidth="11.19921875" defaultRowHeight="15.6"/>
  <cols>
    <col min="1" max="1" width="21" bestFit="1" customWidth="1"/>
    <col min="2" max="4" width="13.796875" bestFit="1" customWidth="1"/>
    <col min="8" max="8" width="61.5" customWidth="1"/>
  </cols>
  <sheetData>
    <row r="1" spans="1:13">
      <c r="A1" s="215" t="s">
        <v>0</v>
      </c>
      <c r="B1" s="218" t="s">
        <v>863</v>
      </c>
      <c r="C1" s="218"/>
      <c r="D1" s="219"/>
      <c r="J1" s="4"/>
      <c r="K1" s="220" t="s">
        <v>873</v>
      </c>
      <c r="L1" s="218"/>
      <c r="M1" s="219"/>
    </row>
    <row r="2" spans="1:13">
      <c r="A2" s="216"/>
      <c r="B2" s="97" t="s">
        <v>749</v>
      </c>
      <c r="C2" s="97" t="s">
        <v>750</v>
      </c>
      <c r="D2" s="214" t="s">
        <v>751</v>
      </c>
      <c r="J2" s="4"/>
      <c r="K2" s="96" t="s">
        <v>749</v>
      </c>
      <c r="L2" s="97" t="s">
        <v>750</v>
      </c>
      <c r="M2" s="214" t="s">
        <v>751</v>
      </c>
    </row>
    <row r="3" spans="1:13">
      <c r="A3" s="217" t="s">
        <v>866</v>
      </c>
      <c r="B3" s="125">
        <v>4570</v>
      </c>
      <c r="C3" s="126">
        <v>4781</v>
      </c>
      <c r="D3" s="11">
        <v>5123</v>
      </c>
      <c r="E3" t="s">
        <v>864</v>
      </c>
      <c r="J3" s="221" t="s">
        <v>870</v>
      </c>
      <c r="K3" s="222">
        <v>1.0773999999999999</v>
      </c>
      <c r="L3" s="223">
        <v>1.1182000000000001</v>
      </c>
      <c r="M3" s="224">
        <v>1.1216999999999999</v>
      </c>
    </row>
    <row r="4" spans="1:13">
      <c r="A4" s="217" t="s">
        <v>867</v>
      </c>
      <c r="B4" s="6">
        <v>2087</v>
      </c>
      <c r="C4" s="23">
        <f>4049-B4</f>
        <v>1962</v>
      </c>
      <c r="D4" s="12">
        <f>6405-B4-C4</f>
        <v>2356</v>
      </c>
      <c r="J4" s="225" t="s">
        <v>872</v>
      </c>
      <c r="K4" s="226">
        <v>8.3000000000000001E-3</v>
      </c>
      <c r="L4" s="227">
        <v>8.2000000000000007E-3</v>
      </c>
      <c r="M4" s="106">
        <v>8.3000000000000001E-3</v>
      </c>
    </row>
    <row r="5" spans="1:13">
      <c r="A5" s="217" t="s">
        <v>3</v>
      </c>
      <c r="B5" s="6">
        <v>117445</v>
      </c>
      <c r="C5" s="23">
        <f>221658-B5</f>
        <v>104213</v>
      </c>
      <c r="D5" s="12">
        <f>336807-C5-B5</f>
        <v>115149</v>
      </c>
      <c r="E5" t="s">
        <v>865</v>
      </c>
    </row>
    <row r="6" spans="1:13">
      <c r="A6" s="217" t="s">
        <v>4</v>
      </c>
      <c r="B6" s="6">
        <v>767.99699999999996</v>
      </c>
      <c r="C6" s="23">
        <v>800.46400000000006</v>
      </c>
      <c r="D6" s="12">
        <v>856.17899999999997</v>
      </c>
      <c r="E6" t="s">
        <v>868</v>
      </c>
    </row>
    <row r="7" spans="1:13">
      <c r="A7" s="217" t="s">
        <v>6</v>
      </c>
      <c r="B7" s="6">
        <v>160.96600000000001</v>
      </c>
      <c r="C7" s="23">
        <v>153.619</v>
      </c>
      <c r="D7" s="12">
        <v>196.279</v>
      </c>
    </row>
    <row r="8" spans="1:13">
      <c r="A8" s="217" t="s">
        <v>5</v>
      </c>
      <c r="B8" s="6"/>
      <c r="C8" s="23"/>
      <c r="D8" s="12"/>
    </row>
    <row r="9" spans="1:13">
      <c r="A9" s="217" t="s">
        <v>156</v>
      </c>
      <c r="B9" s="6"/>
      <c r="C9" s="23"/>
      <c r="D9" s="12"/>
    </row>
    <row r="10" spans="1:13">
      <c r="A10" s="217" t="s">
        <v>157</v>
      </c>
      <c r="B10" s="6"/>
      <c r="C10" s="23"/>
      <c r="D10" s="12"/>
    </row>
    <row r="11" spans="1:13">
      <c r="A11" s="216" t="s">
        <v>159</v>
      </c>
      <c r="B11" s="20">
        <v>378.1</v>
      </c>
      <c r="C11" s="14">
        <v>358.8</v>
      </c>
      <c r="D11" s="15">
        <v>408.4</v>
      </c>
      <c r="E11" t="s">
        <v>869</v>
      </c>
    </row>
    <row r="15" spans="1:13">
      <c r="A15" s="140" t="s">
        <v>0</v>
      </c>
      <c r="B15" s="113" t="s">
        <v>863</v>
      </c>
      <c r="C15" s="113"/>
      <c r="D15" s="114"/>
      <c r="E15" s="112" t="s">
        <v>781</v>
      </c>
      <c r="F15" s="113"/>
      <c r="G15" s="113"/>
      <c r="H15" s="112" t="s">
        <v>920</v>
      </c>
      <c r="I15" s="137"/>
      <c r="J15" s="137"/>
      <c r="K15" s="137"/>
      <c r="L15" s="138"/>
    </row>
    <row r="16" spans="1:13">
      <c r="A16" s="145"/>
      <c r="B16" s="67" t="s">
        <v>749</v>
      </c>
      <c r="C16" s="67" t="s">
        <v>750</v>
      </c>
      <c r="D16" s="55" t="s">
        <v>751</v>
      </c>
      <c r="E16" s="66" t="s">
        <v>749</v>
      </c>
      <c r="F16" s="67" t="s">
        <v>750</v>
      </c>
      <c r="G16" s="67" t="s">
        <v>751</v>
      </c>
      <c r="H16" s="62" t="s">
        <v>921</v>
      </c>
      <c r="I16" s="61" t="s">
        <v>922</v>
      </c>
      <c r="J16" s="206"/>
      <c r="K16" s="206"/>
      <c r="L16" s="207"/>
    </row>
    <row r="17" spans="1:12">
      <c r="A17" s="160" t="s">
        <v>866</v>
      </c>
      <c r="B17" s="154">
        <f>2/3*B3+1/3*C3</f>
        <v>4640.333333333333</v>
      </c>
      <c r="C17" s="155">
        <f>2/3*C3+1/3*D3</f>
        <v>4895</v>
      </c>
      <c r="D17" s="155">
        <f>2/3*D3+1/3*4592</f>
        <v>4946</v>
      </c>
      <c r="E17" s="127">
        <f t="shared" ref="E17:E22" si="0">B17/SUM(B$17:B$22)</f>
        <v>0.51339896583030675</v>
      </c>
      <c r="F17" s="129">
        <f t="shared" ref="F17:G22" si="1">C17/SUM(C$17:C$22)</f>
        <v>0.53987939894947468</v>
      </c>
      <c r="G17" s="129">
        <f t="shared" si="1"/>
        <v>0.50633186215843329</v>
      </c>
      <c r="H17" s="125" t="s">
        <v>992</v>
      </c>
      <c r="I17" s="23" t="s">
        <v>1000</v>
      </c>
      <c r="J17" s="23"/>
      <c r="K17" s="23"/>
      <c r="L17" s="12"/>
    </row>
    <row r="18" spans="1:12">
      <c r="A18" s="160" t="s">
        <v>867</v>
      </c>
      <c r="B18" s="156">
        <v>2087</v>
      </c>
      <c r="C18" s="157">
        <f>4049-B18</f>
        <v>1962</v>
      </c>
      <c r="D18" s="157">
        <f>6405-B18-C18</f>
        <v>2356</v>
      </c>
      <c r="E18" s="139">
        <f t="shared" si="0"/>
        <v>0.23090230048585239</v>
      </c>
      <c r="F18" s="18">
        <f t="shared" si="1"/>
        <v>0.21639292762796106</v>
      </c>
      <c r="G18" s="18">
        <f t="shared" si="1"/>
        <v>0.24118840825824281</v>
      </c>
      <c r="H18" s="6" t="s">
        <v>993</v>
      </c>
      <c r="I18" s="23" t="s">
        <v>923</v>
      </c>
      <c r="J18" s="23"/>
      <c r="K18" s="23"/>
      <c r="L18" s="12"/>
    </row>
    <row r="19" spans="1:12">
      <c r="A19" s="160" t="s">
        <v>3</v>
      </c>
      <c r="B19" s="156">
        <f>B5*K4</f>
        <v>974.79349999999999</v>
      </c>
      <c r="C19" s="157">
        <f>C5*L4</f>
        <v>854.54660000000013</v>
      </c>
      <c r="D19" s="157">
        <f>D5*M4</f>
        <v>955.73670000000004</v>
      </c>
      <c r="E19" s="139">
        <f t="shared" si="0"/>
        <v>0.10784957434051545</v>
      </c>
      <c r="F19" s="18">
        <f t="shared" si="1"/>
        <v>9.4249663898328354E-2</v>
      </c>
      <c r="G19" s="18">
        <f t="shared" si="1"/>
        <v>9.7840667821301242E-2</v>
      </c>
      <c r="H19" s="6" t="s">
        <v>994</v>
      </c>
      <c r="I19" s="23"/>
      <c r="J19" s="23"/>
      <c r="K19" s="23"/>
      <c r="L19" s="12"/>
    </row>
    <row r="20" spans="1:12">
      <c r="A20" s="160" t="s">
        <v>4</v>
      </c>
      <c r="B20" s="156">
        <v>767.99699999999996</v>
      </c>
      <c r="C20" s="157">
        <v>800.46400000000006</v>
      </c>
      <c r="D20" s="157">
        <v>856.17899999999997</v>
      </c>
      <c r="E20" s="139">
        <f t="shared" si="0"/>
        <v>8.4969944449560686E-2</v>
      </c>
      <c r="F20" s="18">
        <f t="shared" si="1"/>
        <v>8.8284785127822743E-2</v>
      </c>
      <c r="G20" s="18">
        <f t="shared" si="1"/>
        <v>8.7648747960158771E-2</v>
      </c>
      <c r="H20" s="6" t="s">
        <v>995</v>
      </c>
      <c r="I20" s="23"/>
      <c r="J20" s="23"/>
      <c r="K20" s="23"/>
      <c r="L20" s="12"/>
    </row>
    <row r="21" spans="1:12">
      <c r="A21" s="160" t="s">
        <v>6</v>
      </c>
      <c r="B21" s="156">
        <v>160.96600000000001</v>
      </c>
      <c r="C21" s="157">
        <v>153.619</v>
      </c>
      <c r="D21" s="157">
        <v>196.279</v>
      </c>
      <c r="E21" s="139">
        <f t="shared" si="0"/>
        <v>1.7809017585053051E-2</v>
      </c>
      <c r="F21" s="18">
        <f t="shared" si="1"/>
        <v>1.6942948598001911E-2</v>
      </c>
      <c r="G21" s="18">
        <f t="shared" si="1"/>
        <v>2.0093471810067758E-2</v>
      </c>
      <c r="H21" s="6" t="s">
        <v>996</v>
      </c>
      <c r="I21" s="23" t="s">
        <v>999</v>
      </c>
      <c r="J21" s="23"/>
      <c r="K21" s="23"/>
      <c r="L21" s="12"/>
    </row>
    <row r="22" spans="1:12">
      <c r="A22" s="147" t="s">
        <v>159</v>
      </c>
      <c r="B22" s="158">
        <f>B11*K3</f>
        <v>407.36493999999999</v>
      </c>
      <c r="C22" s="159">
        <f>C11*L3</f>
        <v>401.21016000000003</v>
      </c>
      <c r="D22" s="159">
        <f>D11*M3</f>
        <v>458.10227999999995</v>
      </c>
      <c r="E22" s="40">
        <f t="shared" si="0"/>
        <v>4.5070197308711653E-2</v>
      </c>
      <c r="F22" s="19">
        <f t="shared" si="1"/>
        <v>4.4250275798411155E-2</v>
      </c>
      <c r="G22" s="19">
        <f t="shared" si="1"/>
        <v>4.6896841991796195E-2</v>
      </c>
      <c r="H22" s="20" t="s">
        <v>997</v>
      </c>
      <c r="I22" s="14" t="s">
        <v>998</v>
      </c>
      <c r="J22" s="14"/>
      <c r="K22" s="14"/>
      <c r="L22" s="1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S33"/>
  <sheetViews>
    <sheetView tabSelected="1" topLeftCell="E20" workbookViewId="0">
      <selection activeCell="N34" sqref="N34"/>
    </sheetView>
  </sheetViews>
  <sheetFormatPr defaultColWidth="11.19921875" defaultRowHeight="15.6"/>
  <cols>
    <col min="1" max="1" width="16.296875" bestFit="1" customWidth="1"/>
    <col min="2" max="2" width="12.19921875" style="2" customWidth="1"/>
    <col min="3" max="3" width="12.5" style="2" customWidth="1"/>
    <col min="4" max="4" width="12.19921875" style="2" customWidth="1"/>
    <col min="5" max="12" width="12.796875" bestFit="1" customWidth="1"/>
    <col min="13" max="13" width="13.796875" customWidth="1"/>
    <col min="14" max="19" width="12.796875" bestFit="1" customWidth="1"/>
  </cols>
  <sheetData>
    <row r="1" spans="1:19" s="1" customFormat="1" ht="17.399999999999999">
      <c r="A1" s="208" t="s">
        <v>347</v>
      </c>
      <c r="B1" s="210" t="s">
        <v>765</v>
      </c>
      <c r="C1" s="210"/>
      <c r="D1" s="210"/>
      <c r="E1" s="204"/>
      <c r="F1" s="204"/>
      <c r="G1" s="204"/>
      <c r="H1" s="211"/>
      <c r="I1" s="211"/>
      <c r="J1" s="212"/>
      <c r="K1" s="205" t="s">
        <v>758</v>
      </c>
      <c r="L1" s="204"/>
      <c r="M1" s="204"/>
      <c r="N1" s="211"/>
      <c r="O1" s="211"/>
      <c r="P1" s="211"/>
      <c r="Q1" s="211"/>
      <c r="R1" s="211"/>
      <c r="S1" s="212"/>
    </row>
    <row r="2" spans="1:19" s="1" customFormat="1">
      <c r="A2" s="209"/>
      <c r="B2" s="213" t="s">
        <v>760</v>
      </c>
      <c r="C2" s="213" t="s">
        <v>761</v>
      </c>
      <c r="D2" s="213" t="s">
        <v>762</v>
      </c>
      <c r="E2" s="97" t="s">
        <v>763</v>
      </c>
      <c r="F2" s="97" t="s">
        <v>764</v>
      </c>
      <c r="G2" s="97" t="s">
        <v>766</v>
      </c>
      <c r="H2" s="97" t="s">
        <v>767</v>
      </c>
      <c r="I2" s="97" t="s">
        <v>768</v>
      </c>
      <c r="J2" s="214" t="s">
        <v>769</v>
      </c>
      <c r="K2" s="96" t="s">
        <v>760</v>
      </c>
      <c r="L2" s="97" t="s">
        <v>761</v>
      </c>
      <c r="M2" s="97" t="s">
        <v>762</v>
      </c>
      <c r="N2" s="97" t="s">
        <v>763</v>
      </c>
      <c r="O2" s="97" t="s">
        <v>764</v>
      </c>
      <c r="P2" s="97" t="s">
        <v>766</v>
      </c>
      <c r="Q2" s="97" t="s">
        <v>767</v>
      </c>
      <c r="R2" s="97" t="s">
        <v>768</v>
      </c>
      <c r="S2" s="214" t="s">
        <v>769</v>
      </c>
    </row>
    <row r="3" spans="1:19">
      <c r="A3" s="208" t="s">
        <v>77</v>
      </c>
      <c r="B3" s="24">
        <v>21.506644000000001</v>
      </c>
      <c r="C3" s="24">
        <v>18.869209000000001</v>
      </c>
      <c r="D3" s="25">
        <v>22.413685000000001</v>
      </c>
      <c r="E3" s="26">
        <v>22.129799999999999</v>
      </c>
      <c r="F3" s="26">
        <v>23.344132999999999</v>
      </c>
      <c r="G3" s="29">
        <v>23.926280999999999</v>
      </c>
      <c r="H3" s="28">
        <v>24.93167</v>
      </c>
      <c r="I3" s="28">
        <v>24.304228999999999</v>
      </c>
      <c r="J3" s="27">
        <v>21.855708</v>
      </c>
      <c r="K3" s="28">
        <v>16.817478000000001</v>
      </c>
      <c r="L3" s="28">
        <v>14.970882</v>
      </c>
      <c r="M3" s="29">
        <v>18.400697999999998</v>
      </c>
      <c r="N3" s="28">
        <v>18.062539000000001</v>
      </c>
      <c r="O3" s="28">
        <v>19.333393000000001</v>
      </c>
      <c r="P3" s="28">
        <v>20.424954</v>
      </c>
      <c r="Q3" s="28">
        <v>21.776122999999998</v>
      </c>
      <c r="R3" s="28">
        <v>24.304228999999999</v>
      </c>
      <c r="S3" s="27">
        <v>18.066261999999998</v>
      </c>
    </row>
    <row r="4" spans="1:19">
      <c r="A4" s="208" t="s">
        <v>78</v>
      </c>
      <c r="B4" s="24">
        <v>18.949141999999998</v>
      </c>
      <c r="C4" s="24">
        <v>17.016127000000001</v>
      </c>
      <c r="D4" s="25">
        <v>20.635155000000001</v>
      </c>
      <c r="E4" s="26">
        <v>20.295345999999999</v>
      </c>
      <c r="F4" s="26">
        <v>21.320436000000001</v>
      </c>
      <c r="G4" s="26">
        <v>22.310182000000001</v>
      </c>
      <c r="H4" s="26">
        <v>23.773043000000001</v>
      </c>
      <c r="I4" s="26">
        <v>23.834838999999999</v>
      </c>
      <c r="J4" s="27">
        <v>20.429603</v>
      </c>
      <c r="K4" s="28">
        <v>15.014372</v>
      </c>
      <c r="L4" s="26">
        <v>13.660088</v>
      </c>
      <c r="M4" s="26">
        <v>17.546804999999999</v>
      </c>
      <c r="N4" s="26">
        <v>16.879639999999998</v>
      </c>
      <c r="O4" s="26">
        <v>18.217874999999999</v>
      </c>
      <c r="P4" s="26">
        <v>19.647641</v>
      </c>
      <c r="Q4" s="26">
        <v>20.905749</v>
      </c>
      <c r="R4" s="26">
        <v>20.819120999999999</v>
      </c>
      <c r="S4" s="27">
        <v>17.356922000000001</v>
      </c>
    </row>
    <row r="5" spans="1:19">
      <c r="A5" s="208" t="s">
        <v>79</v>
      </c>
      <c r="B5" s="24">
        <v>19.081873999999999</v>
      </c>
      <c r="C5" s="24">
        <v>17.219232999999999</v>
      </c>
      <c r="D5" s="25">
        <v>20.967901000000001</v>
      </c>
      <c r="E5" s="28">
        <v>20.504719999999999</v>
      </c>
      <c r="F5" s="28">
        <v>21.741931999999998</v>
      </c>
      <c r="G5" s="29">
        <v>22.438012000000001</v>
      </c>
      <c r="H5" s="28">
        <v>23.509443999999998</v>
      </c>
      <c r="I5" s="28">
        <v>22.901364999999998</v>
      </c>
      <c r="J5" s="27">
        <v>20.334803000000001</v>
      </c>
      <c r="K5" s="30">
        <v>15.401241000000001</v>
      </c>
      <c r="L5" s="28">
        <v>13.692823000000001</v>
      </c>
      <c r="M5" s="29">
        <v>17.349807999999999</v>
      </c>
      <c r="N5" s="28">
        <v>16.684885000000001</v>
      </c>
      <c r="O5" s="28">
        <v>18.245056999999999</v>
      </c>
      <c r="P5" s="28">
        <v>19.359667000000002</v>
      </c>
      <c r="Q5" s="28">
        <v>19.898311</v>
      </c>
      <c r="R5" s="28">
        <v>19.832113</v>
      </c>
      <c r="S5" s="27">
        <v>16.864805</v>
      </c>
    </row>
    <row r="6" spans="1:19">
      <c r="A6" s="208" t="s">
        <v>80</v>
      </c>
      <c r="B6" s="24">
        <v>10.709292</v>
      </c>
      <c r="C6" s="24">
        <v>9.4745629999999998</v>
      </c>
      <c r="D6" s="25">
        <v>12.113609</v>
      </c>
      <c r="E6" s="28">
        <v>11.91168</v>
      </c>
      <c r="F6" s="28">
        <v>12.088512</v>
      </c>
      <c r="G6" s="29">
        <v>12.475838</v>
      </c>
      <c r="H6" s="28">
        <v>13.120858</v>
      </c>
      <c r="I6" s="28">
        <v>12.105854000000001</v>
      </c>
      <c r="J6" s="27">
        <v>11.133628</v>
      </c>
      <c r="K6" s="30">
        <v>8.0479939999999992</v>
      </c>
      <c r="L6" s="28">
        <v>7.5721499999999997</v>
      </c>
      <c r="M6" s="29">
        <v>10.240506999999999</v>
      </c>
      <c r="N6" s="28">
        <v>9.8984550000000002</v>
      </c>
      <c r="O6" s="28">
        <v>10.202484999999999</v>
      </c>
      <c r="P6" s="28">
        <v>10.757440000000001</v>
      </c>
      <c r="Q6" s="28">
        <v>11.503195</v>
      </c>
      <c r="R6" s="28">
        <v>10.342510000000001</v>
      </c>
      <c r="S6" s="27">
        <v>9.2069550000000007</v>
      </c>
    </row>
    <row r="7" spans="1:19">
      <c r="A7" s="208" t="s">
        <v>81</v>
      </c>
      <c r="B7" s="24">
        <v>3.8855879999999998</v>
      </c>
      <c r="C7" s="24">
        <v>3.4750969999999999</v>
      </c>
      <c r="D7" s="25">
        <v>4.0579669999999997</v>
      </c>
      <c r="E7" s="28">
        <v>4.0377980000000004</v>
      </c>
      <c r="F7" s="28">
        <v>4.0480479999999996</v>
      </c>
      <c r="G7" s="30">
        <v>4.1516310000000001</v>
      </c>
      <c r="H7" s="28">
        <v>4.5955399999999997</v>
      </c>
      <c r="I7" s="28">
        <v>4.5589009999999996</v>
      </c>
      <c r="J7" s="27">
        <v>3.8219110000000001</v>
      </c>
      <c r="K7" s="30">
        <v>3.183017</v>
      </c>
      <c r="L7" s="28">
        <v>2.9007480000000001</v>
      </c>
      <c r="M7" s="30">
        <v>3.5378500000000002</v>
      </c>
      <c r="N7" s="28">
        <v>3.4615909999999999</v>
      </c>
      <c r="O7" s="28">
        <v>3.4680550000000001</v>
      </c>
      <c r="P7" s="28">
        <v>3.5420790000000002</v>
      </c>
      <c r="Q7" s="28">
        <v>3.9988990000000002</v>
      </c>
      <c r="R7" s="28">
        <v>3.966602</v>
      </c>
      <c r="S7" s="27">
        <v>3.0977030000000001</v>
      </c>
    </row>
    <row r="8" spans="1:19">
      <c r="A8" s="208" t="s">
        <v>82</v>
      </c>
      <c r="B8" s="3">
        <v>3.1</v>
      </c>
      <c r="C8" s="3">
        <v>2.7919999999999998</v>
      </c>
      <c r="D8" s="22">
        <v>3.3650000000000002</v>
      </c>
      <c r="E8" s="28">
        <v>3.2730000000000001</v>
      </c>
      <c r="F8" s="28">
        <v>2.952</v>
      </c>
      <c r="G8" s="30">
        <v>3.371</v>
      </c>
      <c r="H8" s="28">
        <v>3.573</v>
      </c>
      <c r="I8" s="28">
        <v>3.3149999999999999</v>
      </c>
      <c r="J8" s="12">
        <v>3.2250000000000001</v>
      </c>
      <c r="K8" s="30">
        <v>2.496</v>
      </c>
      <c r="L8" s="28">
        <v>2.3279999999999998</v>
      </c>
      <c r="M8" s="30">
        <v>2.899</v>
      </c>
      <c r="N8" s="28">
        <v>2.7349999999999999</v>
      </c>
      <c r="O8" s="28">
        <v>2.5310000000000001</v>
      </c>
      <c r="P8" s="28">
        <v>2.9209999999999998</v>
      </c>
      <c r="Q8" s="28">
        <v>3.15</v>
      </c>
      <c r="R8" s="28">
        <v>2.8929999999999998</v>
      </c>
      <c r="S8" s="12">
        <v>2.633</v>
      </c>
    </row>
    <row r="9" spans="1:19">
      <c r="A9" s="208" t="s">
        <v>83</v>
      </c>
      <c r="B9" s="24">
        <v>1.6012280000000001</v>
      </c>
      <c r="C9" s="24">
        <v>1.4559740000000001</v>
      </c>
      <c r="D9" s="25">
        <v>1.6722600000000001</v>
      </c>
      <c r="E9" s="28">
        <v>1.699163</v>
      </c>
      <c r="F9" s="28">
        <v>1.7848520000000001</v>
      </c>
      <c r="G9" s="30">
        <v>1.729284</v>
      </c>
      <c r="H9" s="28">
        <v>1.8932659999999999</v>
      </c>
      <c r="I9" s="28">
        <v>1.8991819999999999</v>
      </c>
      <c r="J9" s="27">
        <v>1.8051600000000001</v>
      </c>
      <c r="K9" s="30">
        <v>1.318954</v>
      </c>
      <c r="L9" s="28">
        <v>1.2253069999999999</v>
      </c>
      <c r="M9" s="30">
        <v>1.4732970000000001</v>
      </c>
      <c r="N9" s="28">
        <v>1.4297260000000001</v>
      </c>
      <c r="O9" s="28">
        <v>1.5456099999999999</v>
      </c>
      <c r="P9" s="28">
        <v>1.505728</v>
      </c>
      <c r="Q9" s="28">
        <v>1.6820280000000001</v>
      </c>
      <c r="R9" s="28">
        <v>1.6372279999999999</v>
      </c>
      <c r="S9" s="27">
        <v>1.4494359999999999</v>
      </c>
    </row>
    <row r="10" spans="1:19" hidden="1">
      <c r="A10" s="208" t="s">
        <v>84</v>
      </c>
      <c r="B10" s="3"/>
      <c r="C10" s="3"/>
      <c r="D10" s="22"/>
      <c r="G10" s="23"/>
      <c r="J10" s="12"/>
      <c r="M10" s="23"/>
      <c r="S10" s="12"/>
    </row>
    <row r="11" spans="1:19">
      <c r="A11" s="208" t="s">
        <v>85</v>
      </c>
      <c r="B11" s="24">
        <v>1.4797</v>
      </c>
      <c r="C11" s="24">
        <v>1.3074239999999999</v>
      </c>
      <c r="D11" s="25">
        <v>1.4425570000000001</v>
      </c>
      <c r="E11" s="28">
        <v>1.4028579999999999</v>
      </c>
      <c r="F11" s="28">
        <v>1.5004630000000001</v>
      </c>
      <c r="G11" s="30">
        <v>1.538321</v>
      </c>
      <c r="H11" s="28">
        <v>1.612312</v>
      </c>
      <c r="I11" s="28">
        <v>1.610136</v>
      </c>
      <c r="J11" s="27">
        <v>1.4407479999999999</v>
      </c>
      <c r="K11" s="30">
        <v>1.1578630000000001</v>
      </c>
      <c r="L11" s="28">
        <v>1.018489</v>
      </c>
      <c r="M11" s="30">
        <v>1.171257</v>
      </c>
      <c r="N11" s="28">
        <v>1.0872139999999999</v>
      </c>
      <c r="O11" s="28">
        <v>1.20861</v>
      </c>
      <c r="P11" s="28">
        <v>1.2946850000000001</v>
      </c>
      <c r="Q11" s="28">
        <v>1.3627309999999999</v>
      </c>
      <c r="R11" s="28">
        <v>1.3393299999999999</v>
      </c>
      <c r="S11" s="27">
        <v>1.1827939999999999</v>
      </c>
    </row>
    <row r="12" spans="1:19" ht="17.399999999999999">
      <c r="A12" s="208" t="s">
        <v>771</v>
      </c>
      <c r="B12" s="250">
        <v>2.5260310000000001</v>
      </c>
      <c r="C12" s="251"/>
      <c r="D12" s="251"/>
      <c r="E12" s="249">
        <v>2.6282049999999999</v>
      </c>
      <c r="F12" s="249"/>
      <c r="G12" s="249"/>
      <c r="H12" s="249">
        <v>2.597658</v>
      </c>
      <c r="I12" s="249"/>
      <c r="J12" s="252"/>
      <c r="K12" s="253">
        <v>2.191468</v>
      </c>
      <c r="L12" s="249"/>
      <c r="M12" s="249"/>
      <c r="N12" s="249">
        <v>2.2795999999999998</v>
      </c>
      <c r="O12" s="249"/>
      <c r="P12" s="249"/>
      <c r="Q12" s="249">
        <v>2.2356829999999999</v>
      </c>
      <c r="R12" s="249"/>
      <c r="S12" s="252"/>
    </row>
    <row r="13" spans="1:19">
      <c r="A13" s="209" t="s">
        <v>87</v>
      </c>
      <c r="B13" s="108">
        <v>0.96639900000000001</v>
      </c>
      <c r="C13" s="108">
        <v>0.83956399999999998</v>
      </c>
      <c r="D13" s="108">
        <v>1.012912</v>
      </c>
      <c r="E13" s="109">
        <v>1.0419639999999999</v>
      </c>
      <c r="F13" s="109">
        <v>1.067196</v>
      </c>
      <c r="G13" s="109">
        <v>1.0907899999999999</v>
      </c>
      <c r="H13" s="109">
        <v>1.1300209999999999</v>
      </c>
      <c r="I13" s="109">
        <v>1.141438</v>
      </c>
      <c r="J13" s="110">
        <v>1.04305</v>
      </c>
      <c r="K13" s="109">
        <v>0.73911800000000005</v>
      </c>
      <c r="L13" s="109">
        <v>0.66456599999999999</v>
      </c>
      <c r="M13" s="109">
        <v>0.85301099999999996</v>
      </c>
      <c r="N13" s="109">
        <v>0.88937999999999995</v>
      </c>
      <c r="O13" s="109">
        <v>0.89898199999999995</v>
      </c>
      <c r="P13" s="109">
        <v>0.93369500000000005</v>
      </c>
      <c r="Q13" s="109">
        <v>0.96729900000000002</v>
      </c>
      <c r="R13" s="109">
        <v>0.954152</v>
      </c>
      <c r="S13" s="110">
        <v>0.81461700000000004</v>
      </c>
    </row>
    <row r="14" spans="1:19" hidden="1">
      <c r="A14" s="31" t="s">
        <v>88</v>
      </c>
      <c r="B14" s="21"/>
      <c r="C14" s="21"/>
      <c r="D14" s="21"/>
      <c r="E14" s="14"/>
      <c r="F14" s="14"/>
      <c r="G14" s="14"/>
      <c r="H14" s="14"/>
      <c r="I14" s="14"/>
      <c r="J14" s="15"/>
      <c r="K14" s="20"/>
      <c r="L14" s="14"/>
      <c r="M14" s="14"/>
      <c r="N14" s="14"/>
      <c r="O14" s="14"/>
      <c r="P14" s="14"/>
      <c r="Q14" s="14"/>
      <c r="R14" s="14"/>
      <c r="S14" s="15"/>
    </row>
    <row r="16" spans="1:19">
      <c r="B16" s="13" t="s">
        <v>757</v>
      </c>
    </row>
    <row r="17" spans="1:15">
      <c r="B17" s="13" t="s">
        <v>759</v>
      </c>
    </row>
    <row r="18" spans="1:15">
      <c r="B18" s="13" t="s">
        <v>770</v>
      </c>
    </row>
    <row r="22" spans="1:15" ht="17.399999999999999">
      <c r="A22" s="73" t="s">
        <v>347</v>
      </c>
      <c r="B22" s="111" t="s">
        <v>765</v>
      </c>
      <c r="C22" s="111"/>
      <c r="D22" s="111"/>
      <c r="E22" s="112" t="s">
        <v>758</v>
      </c>
      <c r="F22" s="113"/>
      <c r="G22" s="114"/>
      <c r="H22" s="112" t="s">
        <v>844</v>
      </c>
      <c r="I22" s="113"/>
      <c r="J22" s="114"/>
      <c r="K22" s="112" t="s">
        <v>843</v>
      </c>
      <c r="L22" s="113"/>
      <c r="M22" s="114"/>
      <c r="N22" s="112" t="s">
        <v>920</v>
      </c>
      <c r="O22" s="138"/>
    </row>
    <row r="23" spans="1:15">
      <c r="A23" s="58"/>
      <c r="B23" s="107" t="s">
        <v>749</v>
      </c>
      <c r="C23" s="107" t="s">
        <v>750</v>
      </c>
      <c r="D23" s="107" t="s">
        <v>751</v>
      </c>
      <c r="E23" s="62" t="s">
        <v>749</v>
      </c>
      <c r="F23" s="61" t="s">
        <v>750</v>
      </c>
      <c r="G23" s="56" t="s">
        <v>751</v>
      </c>
      <c r="H23" s="62" t="s">
        <v>749</v>
      </c>
      <c r="I23" s="61" t="s">
        <v>750</v>
      </c>
      <c r="J23" s="56" t="s">
        <v>751</v>
      </c>
      <c r="K23" s="66" t="s">
        <v>749</v>
      </c>
      <c r="L23" s="67" t="s">
        <v>750</v>
      </c>
      <c r="M23" s="55" t="s">
        <v>751</v>
      </c>
      <c r="N23" s="62" t="s">
        <v>924</v>
      </c>
      <c r="O23" s="207"/>
    </row>
    <row r="24" spans="1:15">
      <c r="A24" s="57" t="s">
        <v>77</v>
      </c>
      <c r="B24" s="115">
        <f>B3+C3+D3</f>
        <v>62.789538000000007</v>
      </c>
      <c r="C24" s="115">
        <f>E3+F3+G3</f>
        <v>69.400214000000005</v>
      </c>
      <c r="D24" s="118">
        <f>H3+I3+J3</f>
        <v>71.09160700000001</v>
      </c>
      <c r="E24" s="121">
        <f>K3+L3+M3</f>
        <v>50.189058000000003</v>
      </c>
      <c r="F24" s="121">
        <f>N3+O3+P3</f>
        <v>57.820886000000002</v>
      </c>
      <c r="G24" s="123">
        <f>Q3+R3+S3</f>
        <v>64.146614</v>
      </c>
      <c r="H24" s="39">
        <f>E24/B24</f>
        <v>0.79932198258888287</v>
      </c>
      <c r="I24" s="39">
        <f>F24/C24</f>
        <v>0.83315140786165298</v>
      </c>
      <c r="J24" s="129">
        <f>G24/D24</f>
        <v>0.90230924165211224</v>
      </c>
      <c r="K24" s="127">
        <f>E24/(SUM(E$24:E$33))</f>
        <v>0.25364304888184452</v>
      </c>
      <c r="L24" s="129">
        <f>F24/(SUM(F$24:F$33))</f>
        <v>0.25200216838833689</v>
      </c>
      <c r="M24" s="41">
        <f>G24/(SUM(G$24:G$33))</f>
        <v>0.26263676989229612</v>
      </c>
      <c r="N24" s="6" t="s">
        <v>925</v>
      </c>
      <c r="O24" s="12"/>
    </row>
    <row r="25" spans="1:15">
      <c r="A25" s="57" t="s">
        <v>78</v>
      </c>
      <c r="B25" s="115">
        <f t="shared" ref="B25:B30" si="0">B4+C4+D4</f>
        <v>56.600424000000004</v>
      </c>
      <c r="C25" s="115">
        <f t="shared" ref="C25:C30" si="1">E4+F4+G4</f>
        <v>63.925963999999993</v>
      </c>
      <c r="D25" s="119">
        <f t="shared" ref="D25:D30" si="2">H4+I4+J4</f>
        <v>68.037485000000004</v>
      </c>
      <c r="E25" s="121">
        <f t="shared" ref="E25:E30" si="3">K4+L4+M4</f>
        <v>46.221265000000002</v>
      </c>
      <c r="F25" s="121">
        <f t="shared" ref="F25:F30" si="4">N4+O4+P4</f>
        <v>54.745156000000001</v>
      </c>
      <c r="G25" s="123">
        <f t="shared" ref="G25:G30" si="5">Q4+R4+S4</f>
        <v>59.081791999999993</v>
      </c>
      <c r="H25" s="39">
        <f t="shared" ref="H25:H33" si="6">E25/B25</f>
        <v>0.81662400620885811</v>
      </c>
      <c r="I25" s="39">
        <f t="shared" ref="I25:I33" si="7">F25/C25</f>
        <v>0.85638373791281441</v>
      </c>
      <c r="J25" s="18">
        <f t="shared" ref="J25:J33" si="8">G25/D25</f>
        <v>0.86837119273294694</v>
      </c>
      <c r="K25" s="139">
        <f t="shared" ref="K25:K33" si="9">E25/(SUM(E$24:E$33))</f>
        <v>0.23359080733843796</v>
      </c>
      <c r="L25" s="18">
        <f t="shared" ref="L25:L33" si="10">F25/(SUM(F$24:F$33))</f>
        <v>0.23859713980788486</v>
      </c>
      <c r="M25" s="16">
        <f t="shared" ref="M25:M33" si="11">G25/(SUM(G$24:G$33))</f>
        <v>0.24189976746595698</v>
      </c>
      <c r="N25" s="6" t="s">
        <v>928</v>
      </c>
      <c r="O25" s="12"/>
    </row>
    <row r="26" spans="1:15">
      <c r="A26" s="57" t="s">
        <v>79</v>
      </c>
      <c r="B26" s="115">
        <f t="shared" si="0"/>
        <v>57.269007999999999</v>
      </c>
      <c r="C26" s="115">
        <f t="shared" si="1"/>
        <v>64.684663999999998</v>
      </c>
      <c r="D26" s="119">
        <f t="shared" si="2"/>
        <v>66.745611999999994</v>
      </c>
      <c r="E26" s="121">
        <f t="shared" si="3"/>
        <v>46.443871999999999</v>
      </c>
      <c r="F26" s="121">
        <f t="shared" si="4"/>
        <v>54.289608999999999</v>
      </c>
      <c r="G26" s="123">
        <f t="shared" si="5"/>
        <v>56.595229000000003</v>
      </c>
      <c r="H26" s="39">
        <f t="shared" si="6"/>
        <v>0.81097741382214961</v>
      </c>
      <c r="I26" s="39">
        <f t="shared" si="7"/>
        <v>0.8392964520925702</v>
      </c>
      <c r="J26" s="18">
        <f t="shared" si="8"/>
        <v>0.84792433995511207</v>
      </c>
      <c r="K26" s="139">
        <f t="shared" si="9"/>
        <v>0.23471580789498236</v>
      </c>
      <c r="L26" s="18">
        <f t="shared" si="10"/>
        <v>0.23661171828039734</v>
      </c>
      <c r="M26" s="16">
        <f t="shared" si="11"/>
        <v>0.23171898263990684</v>
      </c>
      <c r="N26" s="6" t="s">
        <v>929</v>
      </c>
      <c r="O26" s="12"/>
    </row>
    <row r="27" spans="1:15">
      <c r="A27" s="57" t="s">
        <v>80</v>
      </c>
      <c r="B27" s="115">
        <f t="shared" si="0"/>
        <v>32.297464000000005</v>
      </c>
      <c r="C27" s="115">
        <f t="shared" si="1"/>
        <v>36.476029999999994</v>
      </c>
      <c r="D27" s="119">
        <f t="shared" si="2"/>
        <v>36.360340000000001</v>
      </c>
      <c r="E27" s="121">
        <f t="shared" si="3"/>
        <v>25.860650999999997</v>
      </c>
      <c r="F27" s="121">
        <f t="shared" si="4"/>
        <v>30.858380000000004</v>
      </c>
      <c r="G27" s="123">
        <f t="shared" si="5"/>
        <v>31.052660000000003</v>
      </c>
      <c r="H27" s="39">
        <f t="shared" si="6"/>
        <v>0.8007022161244608</v>
      </c>
      <c r="I27" s="39">
        <f t="shared" si="7"/>
        <v>0.84599064097710219</v>
      </c>
      <c r="J27" s="18">
        <f t="shared" si="8"/>
        <v>0.85402556741768643</v>
      </c>
      <c r="K27" s="139">
        <f t="shared" si="9"/>
        <v>0.13069331497931919</v>
      </c>
      <c r="L27" s="18">
        <f t="shared" si="10"/>
        <v>0.1344908252175743</v>
      </c>
      <c r="M27" s="16">
        <f t="shared" si="11"/>
        <v>0.1271395294374183</v>
      </c>
      <c r="N27" s="6" t="s">
        <v>926</v>
      </c>
      <c r="O27" s="12"/>
    </row>
    <row r="28" spans="1:15">
      <c r="A28" s="57" t="s">
        <v>81</v>
      </c>
      <c r="B28" s="115">
        <f t="shared" si="0"/>
        <v>11.418652</v>
      </c>
      <c r="C28" s="115">
        <f t="shared" si="1"/>
        <v>12.237477</v>
      </c>
      <c r="D28" s="119">
        <f t="shared" si="2"/>
        <v>12.976351999999999</v>
      </c>
      <c r="E28" s="121">
        <f t="shared" si="3"/>
        <v>9.6216150000000003</v>
      </c>
      <c r="F28" s="121">
        <f t="shared" si="4"/>
        <v>10.471724999999999</v>
      </c>
      <c r="G28" s="123">
        <f t="shared" si="5"/>
        <v>11.063203999999999</v>
      </c>
      <c r="H28" s="39">
        <f t="shared" si="6"/>
        <v>0.84262266684368703</v>
      </c>
      <c r="I28" s="39">
        <f t="shared" si="7"/>
        <v>0.85570947344783566</v>
      </c>
      <c r="J28" s="18">
        <f t="shared" si="8"/>
        <v>0.85256657649237633</v>
      </c>
      <c r="K28" s="139">
        <f t="shared" si="9"/>
        <v>4.8625255404620031E-2</v>
      </c>
      <c r="L28" s="18">
        <f t="shared" si="10"/>
        <v>4.5639172785528696E-2</v>
      </c>
      <c r="M28" s="16">
        <f t="shared" si="11"/>
        <v>4.5296298308427158E-2</v>
      </c>
      <c r="N28" s="6" t="s">
        <v>927</v>
      </c>
      <c r="O28" s="12"/>
    </row>
    <row r="29" spans="1:15">
      <c r="A29" s="57" t="s">
        <v>82</v>
      </c>
      <c r="B29" s="115">
        <f t="shared" si="0"/>
        <v>9.2569999999999997</v>
      </c>
      <c r="C29" s="115">
        <f t="shared" si="1"/>
        <v>9.5960000000000001</v>
      </c>
      <c r="D29" s="119">
        <f t="shared" si="2"/>
        <v>10.113</v>
      </c>
      <c r="E29" s="121">
        <f t="shared" si="3"/>
        <v>7.7229999999999999</v>
      </c>
      <c r="F29" s="121">
        <f t="shared" si="4"/>
        <v>8.1869999999999994</v>
      </c>
      <c r="G29" s="123">
        <f t="shared" si="5"/>
        <v>8.6759999999999984</v>
      </c>
      <c r="H29" s="39">
        <f t="shared" si="6"/>
        <v>0.83428756616614452</v>
      </c>
      <c r="I29" s="39">
        <f t="shared" si="7"/>
        <v>0.85316798666110871</v>
      </c>
      <c r="J29" s="18">
        <f t="shared" si="8"/>
        <v>0.85790566597448814</v>
      </c>
      <c r="K29" s="139">
        <f t="shared" si="9"/>
        <v>3.9030126178389024E-2</v>
      </c>
      <c r="L29" s="18">
        <f t="shared" si="10"/>
        <v>3.5681600461731321E-2</v>
      </c>
      <c r="M29" s="16">
        <f t="shared" si="11"/>
        <v>3.5522321031404104E-2</v>
      </c>
      <c r="N29" s="6" t="s">
        <v>930</v>
      </c>
      <c r="O29" s="12"/>
    </row>
    <row r="30" spans="1:15">
      <c r="A30" s="57" t="s">
        <v>83</v>
      </c>
      <c r="B30" s="115">
        <f t="shared" si="0"/>
        <v>4.7294619999999998</v>
      </c>
      <c r="C30" s="115">
        <f t="shared" si="1"/>
        <v>5.2132990000000001</v>
      </c>
      <c r="D30" s="119">
        <f t="shared" si="2"/>
        <v>5.5976080000000001</v>
      </c>
      <c r="E30" s="121">
        <f t="shared" si="3"/>
        <v>4.0175579999999993</v>
      </c>
      <c r="F30" s="121">
        <f t="shared" si="4"/>
        <v>4.4810639999999999</v>
      </c>
      <c r="G30" s="123">
        <f t="shared" si="5"/>
        <v>4.7686919999999997</v>
      </c>
      <c r="H30" s="39">
        <f t="shared" si="6"/>
        <v>0.84947463368983611</v>
      </c>
      <c r="I30" s="39">
        <f t="shared" si="7"/>
        <v>0.85954479111978799</v>
      </c>
      <c r="J30" s="18">
        <f t="shared" si="8"/>
        <v>0.8519160327053984</v>
      </c>
      <c r="K30" s="139">
        <f t="shared" si="9"/>
        <v>2.0303741508351188E-2</v>
      </c>
      <c r="L30" s="18">
        <f t="shared" si="10"/>
        <v>1.9529929802302139E-2</v>
      </c>
      <c r="M30" s="16">
        <f t="shared" si="11"/>
        <v>1.9524551420457413E-2</v>
      </c>
      <c r="N30" s="6" t="s">
        <v>931</v>
      </c>
      <c r="O30" s="12"/>
    </row>
    <row r="31" spans="1:15">
      <c r="A31" s="57" t="s">
        <v>85</v>
      </c>
      <c r="B31" s="115">
        <f>B11+C11+D11</f>
        <v>4.2296810000000002</v>
      </c>
      <c r="C31" s="115">
        <f>E11+F11+G11</f>
        <v>4.4416419999999999</v>
      </c>
      <c r="D31" s="119">
        <f>H11+I11+J11</f>
        <v>4.6631960000000001</v>
      </c>
      <c r="E31" s="121">
        <f>K11+L11+M11</f>
        <v>3.3476090000000003</v>
      </c>
      <c r="F31" s="121">
        <f>N11+O11+P11</f>
        <v>3.590509</v>
      </c>
      <c r="G31" s="123">
        <f>Q11+R11+S11</f>
        <v>3.8848549999999995</v>
      </c>
      <c r="H31" s="39">
        <f t="shared" si="6"/>
        <v>0.79145661339472173</v>
      </c>
      <c r="I31" s="39">
        <f t="shared" si="7"/>
        <v>0.80837424538042468</v>
      </c>
      <c r="J31" s="18">
        <f t="shared" si="8"/>
        <v>0.83308850839638726</v>
      </c>
      <c r="K31" s="139">
        <f t="shared" si="9"/>
        <v>1.6917985454604521E-2</v>
      </c>
      <c r="L31" s="18">
        <f t="shared" si="10"/>
        <v>1.5648602368663792E-2</v>
      </c>
      <c r="M31" s="16">
        <f t="shared" si="11"/>
        <v>1.5905839842145619E-2</v>
      </c>
      <c r="N31" s="6" t="s">
        <v>932</v>
      </c>
      <c r="O31" s="12"/>
    </row>
    <row r="32" spans="1:15" ht="17.399999999999999">
      <c r="A32" s="57" t="s">
        <v>771</v>
      </c>
      <c r="B32" s="115">
        <f>B12+C12+D12</f>
        <v>2.5260310000000001</v>
      </c>
      <c r="C32" s="115">
        <f>E12+F12+G12</f>
        <v>2.6282049999999999</v>
      </c>
      <c r="D32" s="119">
        <f>H12+I12+J12</f>
        <v>2.597658</v>
      </c>
      <c r="E32" s="121">
        <f>K12+L12+M12</f>
        <v>2.191468</v>
      </c>
      <c r="F32" s="121">
        <f>N12+O12+P12</f>
        <v>2.2795999999999998</v>
      </c>
      <c r="G32" s="123">
        <f>Q12+R12+S12</f>
        <v>2.2356829999999999</v>
      </c>
      <c r="H32" s="39">
        <f t="shared" si="6"/>
        <v>0.86755388195948502</v>
      </c>
      <c r="I32" s="39">
        <f t="shared" si="7"/>
        <v>0.86736004231024599</v>
      </c>
      <c r="J32" s="18">
        <f t="shared" si="8"/>
        <v>0.86065332695836017</v>
      </c>
      <c r="K32" s="139">
        <f t="shared" si="9"/>
        <v>1.1075135641059412E-2</v>
      </c>
      <c r="L32" s="18">
        <f t="shared" si="10"/>
        <v>9.9352359121244321E-3</v>
      </c>
      <c r="M32" s="16">
        <f t="shared" si="11"/>
        <v>9.1536018038788185E-3</v>
      </c>
      <c r="N32" s="6" t="s">
        <v>933</v>
      </c>
      <c r="O32" s="12"/>
    </row>
    <row r="33" spans="1:15">
      <c r="A33" s="58" t="s">
        <v>87</v>
      </c>
      <c r="B33" s="116">
        <f>B13+C13+D13</f>
        <v>2.8188750000000002</v>
      </c>
      <c r="C33" s="117">
        <f>E13+F13+G13</f>
        <v>3.1999500000000003</v>
      </c>
      <c r="D33" s="120">
        <f>H13+I13+J13</f>
        <v>3.3145090000000001</v>
      </c>
      <c r="E33" s="122">
        <f>K13+L13+M13</f>
        <v>2.2566950000000001</v>
      </c>
      <c r="F33" s="122">
        <f>N13+O13+P13</f>
        <v>2.7220569999999999</v>
      </c>
      <c r="G33" s="124">
        <f>Q13+R13+S13</f>
        <v>2.7360679999999999</v>
      </c>
      <c r="H33" s="40">
        <f t="shared" si="6"/>
        <v>0.80056582856636072</v>
      </c>
      <c r="I33" s="19">
        <f t="shared" si="7"/>
        <v>0.85065610400162495</v>
      </c>
      <c r="J33" s="19">
        <f t="shared" si="8"/>
        <v>0.82548214531926145</v>
      </c>
      <c r="K33" s="40">
        <f t="shared" si="9"/>
        <v>1.1404776718391768E-2</v>
      </c>
      <c r="L33" s="19">
        <f t="shared" si="10"/>
        <v>1.1863606975456086E-2</v>
      </c>
      <c r="M33" s="17">
        <f t="shared" si="11"/>
        <v>1.120233815810878E-2</v>
      </c>
      <c r="N33" s="20" t="s">
        <v>934</v>
      </c>
      <c r="O33" s="15"/>
    </row>
  </sheetData>
  <mergeCells count="6">
    <mergeCell ref="E12:G12"/>
    <mergeCell ref="B12:D12"/>
    <mergeCell ref="Q12:S12"/>
    <mergeCell ref="H12:J12"/>
    <mergeCell ref="K12:M12"/>
    <mergeCell ref="N12:P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21</vt:i4>
      </vt:variant>
    </vt:vector>
  </HeadingPairs>
  <TitlesOfParts>
    <vt:vector size="21" baseType="lpstr">
      <vt:lpstr>Consoles</vt:lpstr>
      <vt:lpstr>Fast food restaurants</vt:lpstr>
      <vt:lpstr>Energy drinks</vt:lpstr>
      <vt:lpstr>Social networks</vt:lpstr>
      <vt:lpstr>Social networks 2</vt:lpstr>
      <vt:lpstr>Banks</vt:lpstr>
      <vt:lpstr>Digital cameras</vt:lpstr>
      <vt:lpstr>Sneakers</vt:lpstr>
      <vt:lpstr>Airline companies</vt:lpstr>
      <vt:lpstr>Retailers</vt:lpstr>
      <vt:lpstr>Record labels</vt:lpstr>
      <vt:lpstr>Oil &amp; gas companies</vt:lpstr>
      <vt:lpstr>(Smart)phones</vt:lpstr>
      <vt:lpstr>Tablets</vt:lpstr>
      <vt:lpstr>Cars</vt:lpstr>
      <vt:lpstr>Film studios</vt:lpstr>
      <vt:lpstr>(niet) Game developers</vt:lpstr>
      <vt:lpstr>(niet) Hotel chains</vt:lpstr>
      <vt:lpstr>Sheet1</vt:lpstr>
      <vt:lpstr>Hashtags</vt:lpstr>
      <vt:lpstr>Sample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Dieter</dc:creator>
  <cp:lastModifiedBy>Lorenz Verschingel</cp:lastModifiedBy>
  <cp:lastPrinted>2016-02-18T15:59:53Z</cp:lastPrinted>
  <dcterms:created xsi:type="dcterms:W3CDTF">2014-11-29T09:26:30Z</dcterms:created>
  <dcterms:modified xsi:type="dcterms:W3CDTF">2016-03-16T11:26:23Z</dcterms:modified>
</cp:coreProperties>
</file>