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e8893985934bb6/FINM3422/"/>
    </mc:Choice>
  </mc:AlternateContent>
  <xr:revisionPtr revIDLastSave="1" documentId="8_{87843D2D-6163-499A-B9F0-691A5A7AFB58}" xr6:coauthVersionLast="47" xr6:coauthVersionMax="47" xr10:uidLastSave="{0B2346ED-B557-4400-85A5-9F6FA0F2870A}"/>
  <bookViews>
    <workbookView xWindow="22932" yWindow="-108" windowWidth="23256" windowHeight="13176" xr2:uid="{F0102A9B-36AC-4C7A-A837-319374F56A27}"/>
  </bookViews>
  <sheets>
    <sheet name="DCF" sheetId="1" r:id="rId1"/>
  </sheets>
  <calcPr calcId="191029" iterateDelta="9.999999999999445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/>
  <c r="J35" i="1" s="1"/>
  <c r="G35" i="1"/>
  <c r="F35" i="1" s="1"/>
  <c r="E37" i="1"/>
  <c r="E36" i="1" s="1"/>
  <c r="E39" i="1"/>
  <c r="E40" i="1" s="1"/>
  <c r="C46" i="1"/>
  <c r="C42" i="1"/>
  <c r="F25" i="1"/>
  <c r="G25" i="1"/>
  <c r="H25" i="1"/>
  <c r="I25" i="1"/>
  <c r="J25" i="1"/>
  <c r="D26" i="1" l="1"/>
  <c r="E26" i="1"/>
  <c r="F26" i="1"/>
  <c r="F28" i="1" s="1"/>
  <c r="G26" i="1"/>
  <c r="G28" i="1" s="1"/>
  <c r="H26" i="1"/>
  <c r="H28" i="1" s="1"/>
  <c r="I26" i="1"/>
  <c r="I28" i="1" s="1"/>
  <c r="C26" i="1"/>
  <c r="J22" i="1"/>
  <c r="J26" i="1" s="1"/>
  <c r="D18" i="1"/>
  <c r="E18" i="1"/>
  <c r="F18" i="1"/>
  <c r="G18" i="1"/>
  <c r="H18" i="1"/>
  <c r="I18" i="1"/>
  <c r="J18" i="1"/>
  <c r="C18" i="1"/>
  <c r="C31" i="1" l="1"/>
  <c r="C32" i="1" s="1"/>
  <c r="C34" i="1" s="1"/>
  <c r="C35" i="1" s="1"/>
  <c r="J28" i="1"/>
  <c r="C36" i="1" s="1"/>
  <c r="C37" i="1" l="1"/>
  <c r="C43" i="1" s="1"/>
  <c r="C49" i="1" s="1"/>
  <c r="E35" i="1" s="1"/>
  <c r="C50" i="1" l="1"/>
</calcChain>
</file>

<file path=xl/sharedStrings.xml><?xml version="1.0" encoding="utf-8"?>
<sst xmlns="http://schemas.openxmlformats.org/spreadsheetml/2006/main" count="42" uniqueCount="37">
  <si>
    <t>Revenue</t>
  </si>
  <si>
    <t>EBITDA</t>
  </si>
  <si>
    <t>EBIT</t>
  </si>
  <si>
    <t>EBT</t>
  </si>
  <si>
    <t>Net Income</t>
  </si>
  <si>
    <t>Cash From Operations</t>
  </si>
  <si>
    <t>CAPEX</t>
  </si>
  <si>
    <t xml:space="preserve">Forecasts used were the median values of 17 broker reports </t>
  </si>
  <si>
    <t>Interest Expense</t>
  </si>
  <si>
    <t>FCFF</t>
  </si>
  <si>
    <t>WACC</t>
  </si>
  <si>
    <t>PV of FCFF</t>
  </si>
  <si>
    <t>Share price</t>
  </si>
  <si>
    <t>Latest closing share price date</t>
  </si>
  <si>
    <t>Latest basic share count (m)</t>
  </si>
  <si>
    <t>HUB24 Limited (ASX:HUB) - Operating Model &amp; DCF (FOR FINM3422)</t>
  </si>
  <si>
    <t>Calculating EV</t>
  </si>
  <si>
    <t>Unlevered FCF in last forecast period (t)</t>
  </si>
  <si>
    <t>Long term growth rate (g)</t>
  </si>
  <si>
    <t xml:space="preserve">Terminal value </t>
  </si>
  <si>
    <t>Present value of terminal value</t>
  </si>
  <si>
    <t>Present value of stage 1 cash flows</t>
  </si>
  <si>
    <t xml:space="preserve">Enterprise value </t>
  </si>
  <si>
    <t>Calculating equity value</t>
  </si>
  <si>
    <t>Cash and cash equivalents</t>
  </si>
  <si>
    <t>Borrowings</t>
  </si>
  <si>
    <t>Net debt</t>
  </si>
  <si>
    <t>Equity value</t>
  </si>
  <si>
    <t xml:space="preserve">Shares outstanding </t>
  </si>
  <si>
    <t>Valuation</t>
  </si>
  <si>
    <t>Discount Period</t>
  </si>
  <si>
    <t>Fiscal Year</t>
  </si>
  <si>
    <t>Fiscal Year End Date</t>
  </si>
  <si>
    <r>
      <t>FCF</t>
    </r>
    <r>
      <rPr>
        <vertAlign val="superscript"/>
        <sz val="11"/>
        <color theme="1"/>
        <rFont val="Aptos Narrow"/>
        <family val="2"/>
        <scheme val="minor"/>
      </rPr>
      <t xml:space="preserve">t+1 </t>
    </r>
  </si>
  <si>
    <t xml:space="preserve">Upside (Downside) potential </t>
  </si>
  <si>
    <t>-</t>
  </si>
  <si>
    <t>TGR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</si>
</sst>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\A"/>
    <numFmt numFmtId="165" formatCode="0000\P"/>
    <numFmt numFmtId="166" formatCode="0.00_);\(0.00\)"/>
    <numFmt numFmtId="167" formatCode="0.0%"/>
  </numFmts>
  <fonts count="9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rgb="FF003366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37415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1" fillId="2" borderId="0" xfId="0" applyFont="1" applyFill="1"/>
    <xf numFmtId="9" fontId="0" fillId="0" borderId="0" xfId="1" applyFont="1"/>
    <xf numFmtId="0" fontId="1" fillId="0" borderId="0" xfId="0" applyFont="1"/>
    <xf numFmtId="10" fontId="0" fillId="0" borderId="0" xfId="1" applyNumberFormat="1" applyFont="1"/>
    <xf numFmtId="0" fontId="5" fillId="2" borderId="0" xfId="0" applyFont="1" applyFill="1"/>
    <xf numFmtId="0" fontId="0" fillId="2" borderId="0" xfId="0" applyFont="1" applyFill="1"/>
    <xf numFmtId="0" fontId="0" fillId="0" borderId="0" xfId="0" applyFont="1"/>
    <xf numFmtId="14" fontId="0" fillId="0" borderId="0" xfId="0" applyNumberFormat="1" applyFont="1"/>
    <xf numFmtId="164" fontId="6" fillId="2" borderId="0" xfId="0" applyNumberFormat="1" applyFont="1" applyFill="1" applyAlignment="1">
      <alignment horizontal="right" vertical="center"/>
    </xf>
    <xf numFmtId="164" fontId="6" fillId="2" borderId="4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Alignment="1">
      <alignment horizontal="right" vertical="center"/>
    </xf>
    <xf numFmtId="14" fontId="0" fillId="0" borderId="4" xfId="0" applyNumberFormat="1" applyFont="1" applyBorder="1"/>
    <xf numFmtId="0" fontId="0" fillId="0" borderId="4" xfId="0" applyFont="1" applyBorder="1"/>
    <xf numFmtId="4" fontId="0" fillId="0" borderId="0" xfId="0" applyNumberFormat="1" applyFont="1"/>
    <xf numFmtId="4" fontId="0" fillId="0" borderId="1" xfId="0" applyNumberFormat="1" applyFont="1" applyBorder="1"/>
    <xf numFmtId="39" fontId="0" fillId="0" borderId="0" xfId="0" applyNumberFormat="1" applyFont="1"/>
    <xf numFmtId="39" fontId="0" fillId="0" borderId="1" xfId="0" applyNumberFormat="1" applyFont="1" applyBorder="1"/>
    <xf numFmtId="0" fontId="0" fillId="0" borderId="1" xfId="0" applyFont="1" applyBorder="1"/>
    <xf numFmtId="2" fontId="0" fillId="0" borderId="0" xfId="0" applyNumberFormat="1" applyFont="1"/>
    <xf numFmtId="0" fontId="7" fillId="0" borderId="0" xfId="0" applyFont="1"/>
    <xf numFmtId="0" fontId="6" fillId="0" borderId="0" xfId="2" applyFont="1" applyAlignment="1">
      <alignment horizontal="left"/>
    </xf>
    <xf numFmtId="0" fontId="0" fillId="0" borderId="2" xfId="0" applyFont="1" applyBorder="1"/>
    <xf numFmtId="0" fontId="3" fillId="0" borderId="0" xfId="0" applyFont="1"/>
    <xf numFmtId="0" fontId="3" fillId="0" borderId="3" xfId="0" applyFont="1" applyBorder="1"/>
    <xf numFmtId="2" fontId="0" fillId="0" borderId="1" xfId="0" applyNumberFormat="1" applyFont="1" applyBorder="1"/>
    <xf numFmtId="166" fontId="0" fillId="0" borderId="0" xfId="0" applyNumberFormat="1" applyFont="1"/>
    <xf numFmtId="167" fontId="0" fillId="0" borderId="0" xfId="1" applyNumberFormat="1" applyFont="1"/>
    <xf numFmtId="0" fontId="0" fillId="0" borderId="0" xfId="0" applyFont="1" applyAlignment="1">
      <alignment horizontal="center" vertical="center"/>
    </xf>
    <xf numFmtId="10" fontId="0" fillId="0" borderId="0" xfId="0" applyNumberFormat="1" applyFont="1"/>
    <xf numFmtId="9" fontId="4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 textRotation="90"/>
    </xf>
    <xf numFmtId="0" fontId="3" fillId="0" borderId="0" xfId="0" applyFont="1" applyAlignment="1"/>
  </cellXfs>
  <cellStyles count="3">
    <cellStyle name="Normal" xfId="0" builtinId="0"/>
    <cellStyle name="Normal 2 2" xfId="2" xr:uid="{5C298C7B-5D8C-4103-867E-66EE42EE4B9D}"/>
    <cellStyle name="Percent" xfId="1" builtinId="5"/>
  </cellStyles>
  <dxfs count="4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0EA8-4E51-493A-8FC3-7447671A7ADF}">
  <dimension ref="B1:M50"/>
  <sheetViews>
    <sheetView showGridLines="0" tabSelected="1" zoomScale="55" zoomScaleNormal="55" workbookViewId="0">
      <selection activeCell="S30" sqref="S30"/>
    </sheetView>
  </sheetViews>
  <sheetFormatPr defaultRowHeight="14.5" x14ac:dyDescent="0.35"/>
  <cols>
    <col min="1" max="1" width="8.7265625" style="7"/>
    <col min="2" max="2" width="27.36328125" style="7" customWidth="1"/>
    <col min="3" max="11" width="15.6328125" style="7" customWidth="1"/>
    <col min="12" max="16384" width="8.7265625" style="7"/>
  </cols>
  <sheetData>
    <row r="1" spans="2:10" s="6" customFormat="1" ht="21" x14ac:dyDescent="0.5">
      <c r="B1" s="5" t="s">
        <v>15</v>
      </c>
    </row>
    <row r="2" spans="2:10" s="6" customFormat="1" x14ac:dyDescent="0.35">
      <c r="B2" s="1" t="s">
        <v>7</v>
      </c>
    </row>
    <row r="3" spans="2:10" s="6" customFormat="1" x14ac:dyDescent="0.35">
      <c r="B3" s="1"/>
    </row>
    <row r="4" spans="2:10" x14ac:dyDescent="0.35">
      <c r="B4" s="3"/>
    </row>
    <row r="5" spans="2:10" x14ac:dyDescent="0.35">
      <c r="B5" s="7" t="s">
        <v>12</v>
      </c>
      <c r="C5" s="7">
        <v>69.84</v>
      </c>
    </row>
    <row r="6" spans="2:10" x14ac:dyDescent="0.35">
      <c r="B6" s="7" t="s">
        <v>13</v>
      </c>
      <c r="C6" s="8">
        <v>45775</v>
      </c>
    </row>
    <row r="7" spans="2:10" x14ac:dyDescent="0.35">
      <c r="B7" s="7" t="s">
        <v>14</v>
      </c>
      <c r="C7" s="7">
        <v>81.010000000000005</v>
      </c>
    </row>
    <row r="8" spans="2:10" x14ac:dyDescent="0.35">
      <c r="B8" s="7" t="s">
        <v>10</v>
      </c>
      <c r="C8" s="27">
        <v>6.5000000000000002E-2</v>
      </c>
    </row>
    <row r="9" spans="2:10" x14ac:dyDescent="0.35">
      <c r="B9" s="3"/>
    </row>
    <row r="10" spans="2:10" x14ac:dyDescent="0.35">
      <c r="B10" s="3"/>
    </row>
    <row r="11" spans="2:10" x14ac:dyDescent="0.35">
      <c r="B11" s="7" t="s">
        <v>31</v>
      </c>
      <c r="C11" s="9">
        <v>2022</v>
      </c>
      <c r="D11" s="9">
        <v>2023</v>
      </c>
      <c r="E11" s="10">
        <v>2024</v>
      </c>
      <c r="F11" s="11">
        <v>2025</v>
      </c>
      <c r="G11" s="11">
        <v>2026</v>
      </c>
      <c r="H11" s="11">
        <v>2027</v>
      </c>
      <c r="I11" s="11">
        <v>2028</v>
      </c>
      <c r="J11" s="11">
        <v>2029</v>
      </c>
    </row>
    <row r="12" spans="2:10" x14ac:dyDescent="0.35">
      <c r="B12" s="7" t="s">
        <v>32</v>
      </c>
      <c r="C12" s="8">
        <v>44742</v>
      </c>
      <c r="D12" s="8">
        <v>45107</v>
      </c>
      <c r="E12" s="12">
        <v>45473</v>
      </c>
      <c r="F12" s="8">
        <v>45838</v>
      </c>
      <c r="G12" s="8">
        <v>46203</v>
      </c>
      <c r="H12" s="8">
        <v>46568</v>
      </c>
      <c r="I12" s="8">
        <v>46934</v>
      </c>
      <c r="J12" s="8">
        <v>47299</v>
      </c>
    </row>
    <row r="13" spans="2:10" x14ac:dyDescent="0.35">
      <c r="E13" s="13"/>
    </row>
    <row r="14" spans="2:10" ht="20" customHeight="1" x14ac:dyDescent="0.35">
      <c r="B14" s="7" t="s">
        <v>0</v>
      </c>
      <c r="C14" s="14">
        <v>189.50800000000001</v>
      </c>
      <c r="D14" s="14">
        <v>276.30700000000002</v>
      </c>
      <c r="E14" s="14">
        <v>327.3</v>
      </c>
      <c r="F14" s="15">
        <v>405.25040000000001</v>
      </c>
      <c r="G14" s="14">
        <v>469.9</v>
      </c>
      <c r="H14" s="14">
        <v>532.42039999999997</v>
      </c>
      <c r="I14" s="14">
        <v>594.10979999999995</v>
      </c>
      <c r="J14" s="14">
        <v>669.39935000000003</v>
      </c>
    </row>
    <row r="15" spans="2:10" ht="20" customHeight="1" x14ac:dyDescent="0.35">
      <c r="B15" s="7" t="s">
        <v>1</v>
      </c>
      <c r="C15" s="14">
        <v>70.400000000000006</v>
      </c>
      <c r="D15" s="14">
        <v>102.41200000000001</v>
      </c>
      <c r="E15" s="14">
        <v>118</v>
      </c>
      <c r="F15" s="15">
        <v>162.44999999999999</v>
      </c>
      <c r="G15" s="14">
        <v>193.5</v>
      </c>
      <c r="H15" s="14">
        <v>230.05373</v>
      </c>
      <c r="I15" s="14">
        <v>260.43</v>
      </c>
      <c r="J15" s="14">
        <v>288.7697</v>
      </c>
    </row>
    <row r="16" spans="2:10" ht="20" customHeight="1" x14ac:dyDescent="0.35">
      <c r="B16" s="7" t="s">
        <v>2</v>
      </c>
      <c r="C16" s="14">
        <v>50.543999999999997</v>
      </c>
      <c r="D16" s="14">
        <v>74.706000000000003</v>
      </c>
      <c r="E16" s="14">
        <v>104.1</v>
      </c>
      <c r="F16" s="15">
        <v>130.7818</v>
      </c>
      <c r="G16" s="14">
        <v>159.08931999999999</v>
      </c>
      <c r="H16" s="14">
        <v>197.51124999999999</v>
      </c>
      <c r="I16" s="14">
        <v>238.6028</v>
      </c>
      <c r="J16" s="14">
        <v>286.71769999999998</v>
      </c>
    </row>
    <row r="17" spans="2:13" ht="20" customHeight="1" x14ac:dyDescent="0.35">
      <c r="B17" s="7" t="s">
        <v>8</v>
      </c>
      <c r="C17" s="16">
        <v>-0.77800000000000002</v>
      </c>
      <c r="D17" s="16">
        <v>-1.929</v>
      </c>
      <c r="E17" s="16">
        <v>-2.4</v>
      </c>
      <c r="F17" s="17">
        <v>-3.1</v>
      </c>
      <c r="G17" s="16">
        <v>-2.7</v>
      </c>
      <c r="H17" s="16">
        <v>-2.4</v>
      </c>
      <c r="I17" s="16">
        <v>-1.625</v>
      </c>
      <c r="J17" s="16">
        <v>-1.55</v>
      </c>
    </row>
    <row r="18" spans="2:13" ht="20" customHeight="1" x14ac:dyDescent="0.35">
      <c r="B18" s="7" t="s">
        <v>3</v>
      </c>
      <c r="C18" s="14">
        <f>SUM(C16:C17)</f>
        <v>49.765999999999998</v>
      </c>
      <c r="D18" s="14">
        <f t="shared" ref="D18:J18" si="0">SUM(D16:D17)</f>
        <v>72.777000000000001</v>
      </c>
      <c r="E18" s="14">
        <f t="shared" si="0"/>
        <v>101.69999999999999</v>
      </c>
      <c r="F18" s="15">
        <f t="shared" si="0"/>
        <v>127.68180000000001</v>
      </c>
      <c r="G18" s="14">
        <f t="shared" si="0"/>
        <v>156.38932</v>
      </c>
      <c r="H18" s="14">
        <f t="shared" si="0"/>
        <v>195.11124999999998</v>
      </c>
      <c r="I18" s="14">
        <f t="shared" si="0"/>
        <v>236.9778</v>
      </c>
      <c r="J18" s="14">
        <f t="shared" si="0"/>
        <v>285.16769999999997</v>
      </c>
    </row>
    <row r="19" spans="2:13" ht="20" customHeight="1" x14ac:dyDescent="0.35">
      <c r="B19" s="7" t="s">
        <v>4</v>
      </c>
      <c r="C19" s="14">
        <v>35.9</v>
      </c>
      <c r="D19" s="14">
        <v>58.8</v>
      </c>
      <c r="E19" s="14">
        <v>67.8</v>
      </c>
      <c r="F19" s="15">
        <v>93.024699999999996</v>
      </c>
      <c r="G19" s="14">
        <v>115.76443999999999</v>
      </c>
      <c r="H19" s="14">
        <v>138.82140000000001</v>
      </c>
      <c r="I19" s="14">
        <v>155.82</v>
      </c>
      <c r="J19" s="14">
        <v>180.59739999999999</v>
      </c>
    </row>
    <row r="20" spans="2:13" ht="20" customHeight="1" x14ac:dyDescent="0.35">
      <c r="F20" s="18"/>
      <c r="M20" s="20"/>
    </row>
    <row r="21" spans="2:13" ht="20" customHeight="1" x14ac:dyDescent="0.35">
      <c r="F21" s="18"/>
    </row>
    <row r="22" spans="2:13" ht="20" customHeight="1" x14ac:dyDescent="0.35">
      <c r="B22" s="7" t="s">
        <v>5</v>
      </c>
      <c r="C22" s="14">
        <v>56.210500000000003</v>
      </c>
      <c r="D22" s="14">
        <v>81.844999999999999</v>
      </c>
      <c r="E22" s="14">
        <v>102.9004</v>
      </c>
      <c r="F22" s="15">
        <v>130.69999999999999</v>
      </c>
      <c r="G22" s="14">
        <v>154.22499999999999</v>
      </c>
      <c r="H22" s="14">
        <v>165.13829999999999</v>
      </c>
      <c r="I22" s="14">
        <v>171.0558</v>
      </c>
      <c r="J22" s="14">
        <f>I22*(1+0.07)</f>
        <v>183.029706</v>
      </c>
    </row>
    <row r="23" spans="2:13" ht="20" customHeight="1" x14ac:dyDescent="0.35">
      <c r="B23" s="7" t="s">
        <v>6</v>
      </c>
      <c r="C23" s="16">
        <v>-15.208500000000001</v>
      </c>
      <c r="D23" s="16">
        <v>-20.263000000000002</v>
      </c>
      <c r="E23" s="16">
        <v>-24.074200000000001</v>
      </c>
      <c r="F23" s="17">
        <v>-24.695799999999998</v>
      </c>
      <c r="G23" s="16">
        <v>-25.024999999999999</v>
      </c>
      <c r="H23" s="16">
        <v>-24.5</v>
      </c>
      <c r="I23" s="16">
        <v>-24.8</v>
      </c>
      <c r="J23" s="16">
        <v>-23.7</v>
      </c>
    </row>
    <row r="24" spans="2:13" x14ac:dyDescent="0.35">
      <c r="F24" s="18"/>
    </row>
    <row r="25" spans="2:13" x14ac:dyDescent="0.35">
      <c r="B25" s="7" t="s">
        <v>30</v>
      </c>
      <c r="F25" s="25">
        <f>YEARFRAC(F12,$C$6)</f>
        <v>0.17222222222222222</v>
      </c>
      <c r="G25" s="19">
        <f>YEARFRAC(G12,$C$6)</f>
        <v>1.1722222222222223</v>
      </c>
      <c r="H25" s="19">
        <f>YEARFRAC(H12,$C$6)</f>
        <v>2.1722222222222221</v>
      </c>
      <c r="I25" s="19">
        <f>YEARFRAC(I12,$C$6)</f>
        <v>3.1722222222222221</v>
      </c>
      <c r="J25" s="19">
        <f>YEARFRAC(J12,$C$6)</f>
        <v>4.1722222222222225</v>
      </c>
    </row>
    <row r="26" spans="2:13" x14ac:dyDescent="0.35">
      <c r="B26" s="7" t="s">
        <v>9</v>
      </c>
      <c r="C26" s="7">
        <f>C22+C17*(1-0.3)+C23</f>
        <v>40.4574</v>
      </c>
      <c r="D26" s="7">
        <f t="shared" ref="D26:J26" si="1">D22+D17*(1-0.3)+D23</f>
        <v>60.231699999999989</v>
      </c>
      <c r="E26" s="7">
        <f t="shared" si="1"/>
        <v>77.146199999999993</v>
      </c>
      <c r="F26" s="25">
        <f t="shared" si="1"/>
        <v>103.83420000000001</v>
      </c>
      <c r="G26" s="19">
        <f t="shared" si="1"/>
        <v>127.31</v>
      </c>
      <c r="H26" s="19">
        <f t="shared" si="1"/>
        <v>138.95829999999998</v>
      </c>
      <c r="I26" s="19">
        <f t="shared" si="1"/>
        <v>145.1183</v>
      </c>
      <c r="J26" s="19">
        <f t="shared" si="1"/>
        <v>158.24470600000001</v>
      </c>
    </row>
    <row r="27" spans="2:13" x14ac:dyDescent="0.35">
      <c r="E27" s="13"/>
    </row>
    <row r="28" spans="2:13" x14ac:dyDescent="0.35">
      <c r="B28" s="7" t="s">
        <v>11</v>
      </c>
      <c r="C28" s="28" t="s">
        <v>35</v>
      </c>
      <c r="D28" s="28" t="s">
        <v>35</v>
      </c>
      <c r="E28" s="28" t="s">
        <v>35</v>
      </c>
      <c r="F28" s="25">
        <f>F26/(1+$C$8)^F25</f>
        <v>102.71413448946164</v>
      </c>
      <c r="G28" s="19">
        <f>G26/(1+$C$8)^G25</f>
        <v>118.25042223420198</v>
      </c>
      <c r="H28" s="19">
        <f>H26/(1+$C$8)^H25</f>
        <v>121.19231086846094</v>
      </c>
      <c r="I28" s="19">
        <f>I26/(1+$C$8)^I25</f>
        <v>118.84013832043408</v>
      </c>
      <c r="J28" s="19">
        <f>J26/(1+$C$8)^J25</f>
        <v>121.68037752690303</v>
      </c>
    </row>
    <row r="30" spans="2:13" x14ac:dyDescent="0.35">
      <c r="B30" s="21" t="s">
        <v>16</v>
      </c>
    </row>
    <row r="31" spans="2:13" x14ac:dyDescent="0.35">
      <c r="B31" s="7" t="s">
        <v>17</v>
      </c>
      <c r="C31" s="19">
        <f>J26</f>
        <v>158.24470600000001</v>
      </c>
    </row>
    <row r="32" spans="2:13" ht="16.5" x14ac:dyDescent="0.35">
      <c r="B32" s="7" t="s">
        <v>33</v>
      </c>
      <c r="C32" s="19">
        <f>C31*(1+C33)</f>
        <v>162.20082364999999</v>
      </c>
    </row>
    <row r="33" spans="2:11" x14ac:dyDescent="0.35">
      <c r="B33" s="7" t="s">
        <v>18</v>
      </c>
      <c r="C33" s="4">
        <v>2.5000000000000001E-2</v>
      </c>
    </row>
    <row r="34" spans="2:11" x14ac:dyDescent="0.35">
      <c r="B34" s="7" t="s">
        <v>19</v>
      </c>
      <c r="C34" s="19">
        <f>C32/(C8-C33)</f>
        <v>4055.0205912499996</v>
      </c>
      <c r="F34" s="31" t="s">
        <v>10</v>
      </c>
      <c r="G34" s="31"/>
      <c r="H34" s="31"/>
      <c r="I34" s="31"/>
      <c r="J34" s="31"/>
      <c r="K34" s="33"/>
    </row>
    <row r="35" spans="2:11" x14ac:dyDescent="0.35">
      <c r="B35" s="7" t="s">
        <v>20</v>
      </c>
      <c r="C35" s="19">
        <f>C34/(1+$C$8)^J25</f>
        <v>3118.0596741268896</v>
      </c>
      <c r="E35" s="30">
        <f>C49</f>
        <v>46.399334126235658</v>
      </c>
      <c r="F35" s="29">
        <f>G35-0.005</f>
        <v>5.5000000000000007E-2</v>
      </c>
      <c r="G35" s="29">
        <f>H35-0.005</f>
        <v>6.0000000000000005E-2</v>
      </c>
      <c r="H35" s="4">
        <v>6.5000000000000002E-2</v>
      </c>
      <c r="I35" s="29">
        <f>H35+0.005</f>
        <v>7.0000000000000007E-2</v>
      </c>
      <c r="J35" s="29">
        <f>I35+0.005</f>
        <v>7.5000000000000011E-2</v>
      </c>
    </row>
    <row r="36" spans="2:11" ht="15" thickBot="1" x14ac:dyDescent="0.4">
      <c r="B36" s="22" t="s">
        <v>21</v>
      </c>
      <c r="C36" s="19">
        <f>SUM(F28:J28)</f>
        <v>582.67738343946166</v>
      </c>
      <c r="D36" s="32" t="s">
        <v>36</v>
      </c>
      <c r="E36" s="4">
        <f>E37-0.0025</f>
        <v>2.0000000000000004E-2</v>
      </c>
      <c r="F36" s="26">
        <f t="dataTable" ref="F36:J40" dt2D="1" dtr="1" r1="C8" r2="C33"/>
        <v>53.594767974150713</v>
      </c>
      <c r="G36" s="26">
        <v>47.047353253092126</v>
      </c>
      <c r="H36" s="26">
        <v>41.955794848980744</v>
      </c>
      <c r="I36" s="26">
        <v>37.883317284277396</v>
      </c>
      <c r="J36" s="26">
        <v>34.551972991411759</v>
      </c>
    </row>
    <row r="37" spans="2:11" x14ac:dyDescent="0.35">
      <c r="B37" s="23" t="s">
        <v>22</v>
      </c>
      <c r="C37" s="19">
        <f>SUM(C35:C36)</f>
        <v>3700.7370575663513</v>
      </c>
      <c r="D37" s="32"/>
      <c r="E37" s="4">
        <f>E38-0.0025</f>
        <v>2.2500000000000003E-2</v>
      </c>
      <c r="F37" s="26">
        <v>57.217341357326767</v>
      </c>
      <c r="G37" s="26">
        <v>49.753575619735045</v>
      </c>
      <c r="H37" s="26">
        <v>44.046872155924234</v>
      </c>
      <c r="I37" s="26">
        <v>39.542350494788451</v>
      </c>
      <c r="J37" s="26">
        <v>35.896513666831304</v>
      </c>
    </row>
    <row r="38" spans="2:11" x14ac:dyDescent="0.35">
      <c r="D38" s="32"/>
      <c r="E38" s="4">
        <v>2.5000000000000001E-2</v>
      </c>
      <c r="F38" s="26">
        <v>61.443676971032147</v>
      </c>
      <c r="G38" s="26">
        <v>52.84640118161267</v>
      </c>
      <c r="H38" s="26">
        <v>46.399334126235658</v>
      </c>
      <c r="I38" s="26">
        <v>41.385720728689627</v>
      </c>
      <c r="J38" s="26">
        <v>37.375508409792808</v>
      </c>
    </row>
    <row r="39" spans="2:11" x14ac:dyDescent="0.35">
      <c r="B39" s="21" t="s">
        <v>23</v>
      </c>
      <c r="D39" s="32"/>
      <c r="E39" s="4">
        <f>E38+0.0025</f>
        <v>2.75E-2</v>
      </c>
      <c r="F39" s="26">
        <v>66.438437241774892</v>
      </c>
      <c r="G39" s="26">
        <v>56.415046060702267</v>
      </c>
      <c r="H39" s="26">
        <v>49.065457692588623</v>
      </c>
      <c r="I39" s="26">
        <v>43.44595804893212</v>
      </c>
      <c r="J39" s="26">
        <v>39.010186809908163</v>
      </c>
    </row>
    <row r="40" spans="2:11" x14ac:dyDescent="0.35">
      <c r="B40" s="7" t="s">
        <v>24</v>
      </c>
      <c r="C40" s="26">
        <v>88.048000000000002</v>
      </c>
      <c r="D40" s="32"/>
      <c r="E40" s="4">
        <f>E39+0.0025</f>
        <v>0.03</v>
      </c>
      <c r="F40" s="26">
        <v>72.432149566666169</v>
      </c>
      <c r="G40" s="26">
        <v>60.578465086306764</v>
      </c>
      <c r="H40" s="26">
        <v>52.11245605413486</v>
      </c>
      <c r="I40" s="26">
        <v>45.763725034204924</v>
      </c>
      <c r="J40" s="26">
        <v>40.826496143369653</v>
      </c>
    </row>
    <row r="41" spans="2:11" x14ac:dyDescent="0.35">
      <c r="B41" s="7" t="s">
        <v>25</v>
      </c>
      <c r="C41" s="26">
        <v>29.975000000000001</v>
      </c>
    </row>
    <row r="42" spans="2:11" ht="15" thickBot="1" x14ac:dyDescent="0.4">
      <c r="B42" s="22" t="s">
        <v>26</v>
      </c>
      <c r="C42" s="26">
        <f>C41-C40</f>
        <v>-58.073</v>
      </c>
    </row>
    <row r="43" spans="2:11" x14ac:dyDescent="0.35">
      <c r="B43" s="23" t="s">
        <v>27</v>
      </c>
      <c r="C43" s="26">
        <f>C37-C42</f>
        <v>3758.8100575663511</v>
      </c>
    </row>
    <row r="44" spans="2:11" x14ac:dyDescent="0.35">
      <c r="B44" s="23"/>
    </row>
    <row r="45" spans="2:11" x14ac:dyDescent="0.35">
      <c r="B45" s="23" t="s">
        <v>28</v>
      </c>
    </row>
    <row r="46" spans="2:11" x14ac:dyDescent="0.35">
      <c r="B46" s="7" t="s">
        <v>28</v>
      </c>
      <c r="C46" s="7">
        <f>C7</f>
        <v>81.010000000000005</v>
      </c>
    </row>
    <row r="48" spans="2:11" x14ac:dyDescent="0.35">
      <c r="B48" s="21" t="s">
        <v>29</v>
      </c>
    </row>
    <row r="49" spans="2:3" ht="15" thickBot="1" x14ac:dyDescent="0.4">
      <c r="B49" s="24" t="s">
        <v>12</v>
      </c>
      <c r="C49" s="19">
        <f>C43/C46</f>
        <v>46.399334126235658</v>
      </c>
    </row>
    <row r="50" spans="2:3" ht="15" thickTop="1" x14ac:dyDescent="0.35">
      <c r="B50" s="7" t="s">
        <v>34</v>
      </c>
      <c r="C50" s="2">
        <f>C49/C5-1</f>
        <v>-0.33563381835286865</v>
      </c>
    </row>
  </sheetData>
  <mergeCells count="2">
    <mergeCell ref="F34:J34"/>
    <mergeCell ref="D36:D40"/>
  </mergeCells>
  <conditionalFormatting sqref="C50">
    <cfRule type="cellIs" dxfId="1" priority="2" operator="lessThan">
      <formula>0</formula>
    </cfRule>
    <cfRule type="cellIs" dxfId="0" priority="3" operator="greaterThan">
      <formula>0</formula>
    </cfRule>
  </conditionalFormatting>
  <conditionalFormatting sqref="F36:J4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Shami</dc:creator>
  <cp:lastModifiedBy>Roshan Shami</cp:lastModifiedBy>
  <dcterms:created xsi:type="dcterms:W3CDTF">2025-04-17T02:24:28Z</dcterms:created>
  <dcterms:modified xsi:type="dcterms:W3CDTF">2025-04-28T03:54:32Z</dcterms:modified>
</cp:coreProperties>
</file>