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urfab20\Dropbox\Curso de Cientista de Dados\GIFs\"/>
    </mc:Choice>
  </mc:AlternateContent>
  <bookViews>
    <workbookView xWindow="240" yWindow="156" windowWidth="20112" windowHeight="7680"/>
  </bookViews>
  <sheets>
    <sheet name="Memorial de Cálculo" sheetId="1" r:id="rId1"/>
    <sheet name="IPTU" sheetId="2" state="hidden" r:id="rId2"/>
    <sheet name="Indicadores" sheetId="4" r:id="rId3"/>
    <sheet name="Viabilidade" sheetId="6" r:id="rId4"/>
    <sheet name="Sheet1" sheetId="7" state="hidden" r:id="rId5"/>
  </sheets>
  <calcPr calcId="162913"/>
</workbook>
</file>

<file path=xl/calcChain.xml><?xml version="1.0" encoding="utf-8"?>
<calcChain xmlns="http://schemas.openxmlformats.org/spreadsheetml/2006/main">
  <c r="E4" i="6" l="1"/>
  <c r="F4" i="6"/>
  <c r="G4" i="6"/>
  <c r="H4" i="6"/>
  <c r="B35" i="4"/>
  <c r="B36" i="4"/>
  <c r="B37" i="4"/>
  <c r="B38" i="4"/>
  <c r="B39" i="4"/>
  <c r="B40" i="4"/>
  <c r="B41" i="4"/>
  <c r="B42" i="4"/>
  <c r="B43" i="4"/>
  <c r="B44" i="4"/>
  <c r="B45" i="4"/>
  <c r="B46" i="4"/>
  <c r="D18" i="4"/>
  <c r="C39" i="4" s="1"/>
  <c r="D17" i="4"/>
  <c r="C38" i="4" s="1"/>
  <c r="D16" i="4"/>
  <c r="C37" i="4" s="1"/>
  <c r="D15" i="4"/>
  <c r="C36" i="4" s="1"/>
  <c r="D14" i="4"/>
  <c r="C35" i="4" s="1"/>
  <c r="E24" i="4"/>
  <c r="F24" i="4"/>
  <c r="F34" i="4" s="1"/>
  <c r="G24" i="4"/>
  <c r="G34" i="4" s="1"/>
  <c r="D24" i="4"/>
  <c r="D34" i="4" s="1"/>
  <c r="D9" i="4"/>
  <c r="E8" i="4"/>
  <c r="F8" i="4" s="1"/>
  <c r="E7" i="4"/>
  <c r="F7" i="4" s="1"/>
  <c r="E6" i="4"/>
  <c r="F6" i="4" s="1"/>
  <c r="E5" i="4"/>
  <c r="F5" i="4" s="1"/>
  <c r="C40" i="4" l="1"/>
  <c r="C41" i="4" s="1"/>
  <c r="C42" i="4" s="1"/>
  <c r="C43" i="4" s="1"/>
  <c r="C44" i="4" s="1"/>
  <c r="C45" i="4" s="1"/>
  <c r="C46" i="4" s="1"/>
  <c r="G35" i="4"/>
  <c r="G36" i="4" s="1"/>
  <c r="G37" i="4" s="1"/>
  <c r="G38" i="4" s="1"/>
  <c r="G39" i="4" s="1"/>
  <c r="E29" i="4"/>
  <c r="F10" i="6" s="1"/>
  <c r="E34" i="4"/>
  <c r="E35" i="4" s="1"/>
  <c r="E36" i="4" s="1"/>
  <c r="E37" i="4" s="1"/>
  <c r="E38" i="4" s="1"/>
  <c r="E39" i="4" s="1"/>
  <c r="D19" i="4"/>
  <c r="D29" i="4"/>
  <c r="G29" i="4"/>
  <c r="F29" i="4"/>
  <c r="D35" i="4"/>
  <c r="D36" i="4" s="1"/>
  <c r="D37" i="4" s="1"/>
  <c r="D38" i="4" s="1"/>
  <c r="D39" i="4" s="1"/>
  <c r="F35" i="4"/>
  <c r="F36" i="4" s="1"/>
  <c r="F37" i="4" s="1"/>
  <c r="F38" i="4" s="1"/>
  <c r="F39" i="4" s="1"/>
  <c r="F9" i="4"/>
  <c r="E40" i="4" l="1"/>
  <c r="F40" i="4"/>
  <c r="D40" i="4"/>
  <c r="E30" i="4"/>
  <c r="G40" i="4"/>
  <c r="H10" i="6"/>
  <c r="G30" i="4"/>
  <c r="E10" i="6"/>
  <c r="D30" i="4"/>
  <c r="E27" i="4"/>
  <c r="E25" i="4"/>
  <c r="F27" i="4"/>
  <c r="F25" i="4"/>
  <c r="G27" i="4"/>
  <c r="G25" i="4"/>
  <c r="D27" i="4"/>
  <c r="D25" i="4"/>
  <c r="F30" i="4"/>
  <c r="G10" i="6"/>
  <c r="G49" i="4" l="1"/>
  <c r="G48" i="4"/>
  <c r="E49" i="4"/>
  <c r="E48" i="4"/>
  <c r="E50" i="4" s="1"/>
  <c r="F11" i="6" s="1"/>
  <c r="F48" i="4"/>
  <c r="F49" i="4"/>
  <c r="D41" i="4"/>
  <c r="D42" i="4" s="1"/>
  <c r="D43" i="4" s="1"/>
  <c r="D44" i="4" s="1"/>
  <c r="D45" i="4" s="1"/>
  <c r="D46" i="4" s="1"/>
  <c r="F41" i="4"/>
  <c r="F42" i="4" s="1"/>
  <c r="F43" i="4" s="1"/>
  <c r="F44" i="4" s="1"/>
  <c r="F45" i="4" s="1"/>
  <c r="F46" i="4" s="1"/>
  <c r="E41" i="4"/>
  <c r="E42" i="4" s="1"/>
  <c r="E43" i="4" s="1"/>
  <c r="E44" i="4" s="1"/>
  <c r="E45" i="4" s="1"/>
  <c r="E46" i="4" s="1"/>
  <c r="G41" i="4"/>
  <c r="G42" i="4" s="1"/>
  <c r="G43" i="4" s="1"/>
  <c r="G44" i="4" s="1"/>
  <c r="G45" i="4" s="1"/>
  <c r="G46" i="4" s="1"/>
  <c r="F28" i="4"/>
  <c r="G9" i="6" s="1"/>
  <c r="G8" i="6"/>
  <c r="D26" i="4"/>
  <c r="E7" i="6" s="1"/>
  <c r="E6" i="6"/>
  <c r="E28" i="4"/>
  <c r="F9" i="6" s="1"/>
  <c r="F8" i="6"/>
  <c r="E8" i="6"/>
  <c r="D28" i="4"/>
  <c r="E9" i="6" s="1"/>
  <c r="H6" i="6"/>
  <c r="G26" i="4"/>
  <c r="H7" i="6" s="1"/>
  <c r="H8" i="6"/>
  <c r="G28" i="4"/>
  <c r="H9" i="6" s="1"/>
  <c r="E26" i="4"/>
  <c r="F7" i="6" s="1"/>
  <c r="F6" i="6"/>
  <c r="F26" i="4"/>
  <c r="G7" i="6" s="1"/>
  <c r="G6" i="6"/>
  <c r="G50" i="4" l="1"/>
  <c r="H11" i="6" s="1"/>
  <c r="D48" i="4"/>
  <c r="F50" i="4"/>
  <c r="G11" i="6" s="1"/>
  <c r="D49" i="4"/>
  <c r="D50" i="4" l="1"/>
  <c r="E11" i="6" s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BB16" i="1"/>
  <c r="AO16" i="1"/>
  <c r="AB16" i="1"/>
  <c r="O16" i="1"/>
  <c r="O4" i="1"/>
  <c r="Q7" i="1" s="1"/>
  <c r="D7" i="1"/>
  <c r="E7" i="1"/>
  <c r="F7" i="1"/>
  <c r="G7" i="1"/>
  <c r="H7" i="1"/>
  <c r="I7" i="1"/>
  <c r="J7" i="1"/>
  <c r="K7" i="1"/>
  <c r="L7" i="1"/>
  <c r="M7" i="1"/>
  <c r="N7" i="1"/>
  <c r="C7" i="1"/>
  <c r="AB4" i="1" l="1"/>
  <c r="V7" i="1"/>
  <c r="T7" i="1"/>
  <c r="X7" i="1"/>
  <c r="W7" i="1"/>
  <c r="U7" i="1"/>
  <c r="AA7" i="1"/>
  <c r="Z7" i="1"/>
  <c r="R7" i="1"/>
  <c r="P7" i="1"/>
  <c r="S7" i="1"/>
  <c r="Y7" i="1"/>
  <c r="AG7" i="1" l="1"/>
  <c r="AC7" i="1"/>
  <c r="AH7" i="1"/>
  <c r="AO4" i="1"/>
  <c r="AI7" i="1"/>
  <c r="AJ7" i="1"/>
  <c r="AK7" i="1"/>
  <c r="AM7" i="1"/>
  <c r="AF7" i="1"/>
  <c r="AN7" i="1"/>
  <c r="AD7" i="1"/>
  <c r="AL7" i="1"/>
  <c r="AE7" i="1"/>
  <c r="BB4" i="1" l="1"/>
  <c r="AX7" i="1"/>
  <c r="AQ7" i="1"/>
  <c r="AY7" i="1"/>
  <c r="AR7" i="1"/>
  <c r="AZ7" i="1"/>
  <c r="AS7" i="1"/>
  <c r="BA7" i="1"/>
  <c r="AT7" i="1"/>
  <c r="AP7" i="1"/>
  <c r="AW7" i="1"/>
  <c r="AU7" i="1"/>
  <c r="AV7" i="1"/>
  <c r="B16" i="1"/>
  <c r="BH7" i="1" l="1"/>
  <c r="BI7" i="1"/>
  <c r="BJ7" i="1"/>
  <c r="BN7" i="1"/>
  <c r="BK7" i="1"/>
  <c r="BD7" i="1"/>
  <c r="BL7" i="1"/>
  <c r="BG7" i="1"/>
  <c r="BC7" i="1"/>
  <c r="BE7" i="1"/>
  <c r="BM7" i="1"/>
  <c r="BF7" i="1"/>
  <c r="B33" i="1"/>
  <c r="B32" i="1"/>
  <c r="B31" i="1"/>
  <c r="B30" i="1"/>
  <c r="B29" i="1"/>
  <c r="B28" i="1"/>
  <c r="B27" i="1"/>
  <c r="B26" i="1"/>
  <c r="B25" i="1"/>
  <c r="B24" i="1"/>
  <c r="B23" i="1"/>
  <c r="B22" i="1"/>
  <c r="O33" i="1"/>
  <c r="O32" i="1"/>
  <c r="O31" i="1"/>
  <c r="O30" i="1"/>
  <c r="O29" i="1"/>
  <c r="O28" i="1"/>
  <c r="O27" i="1"/>
  <c r="O26" i="1"/>
  <c r="O25" i="1"/>
  <c r="O24" i="1"/>
  <c r="O23" i="1"/>
  <c r="O22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E7" i="2"/>
  <c r="E8" i="2"/>
  <c r="E9" i="2"/>
  <c r="E10" i="2"/>
  <c r="F7" i="2"/>
  <c r="F8" i="2" s="1"/>
  <c r="F9" i="2" s="1"/>
  <c r="F10" i="2" s="1"/>
  <c r="F11" i="2" s="1"/>
  <c r="E11" i="2" s="1"/>
  <c r="E14" i="2" s="1"/>
  <c r="E15" i="2" s="1"/>
  <c r="BL9" i="1"/>
  <c r="BJ9" i="1"/>
  <c r="BH9" i="1"/>
  <c r="BF9" i="1"/>
  <c r="BD9" i="1"/>
  <c r="AY9" i="1"/>
  <c r="AW9" i="1"/>
  <c r="AU9" i="1"/>
  <c r="AS9" i="1"/>
  <c r="AQ9" i="1"/>
  <c r="AL9" i="1"/>
  <c r="AJ9" i="1"/>
  <c r="AH9" i="1"/>
  <c r="AF9" i="1"/>
  <c r="AD9" i="1"/>
  <c r="Y9" i="1"/>
  <c r="W9" i="1"/>
  <c r="U9" i="1"/>
  <c r="S9" i="1"/>
  <c r="Q9" i="1"/>
  <c r="L9" i="1"/>
  <c r="J9" i="1"/>
  <c r="H9" i="1"/>
  <c r="F9" i="1"/>
  <c r="D9" i="1"/>
  <c r="O9" i="1"/>
  <c r="AB9" i="1" s="1"/>
  <c r="AO9" i="1" s="1"/>
  <c r="BB9" i="1" s="1"/>
  <c r="O10" i="1"/>
  <c r="AB10" i="1" s="1"/>
  <c r="AO10" i="1" s="1"/>
  <c r="BB10" i="1" s="1"/>
  <c r="O11" i="1"/>
  <c r="AB11" i="1" s="1"/>
  <c r="AO11" i="1" s="1"/>
  <c r="BB11" i="1" s="1"/>
  <c r="O12" i="1"/>
  <c r="AB12" i="1" s="1"/>
  <c r="AO12" i="1" s="1"/>
  <c r="BB12" i="1" s="1"/>
  <c r="O13" i="1"/>
  <c r="AB13" i="1" s="1"/>
  <c r="AO13" i="1" s="1"/>
  <c r="BB13" i="1" s="1"/>
  <c r="O8" i="1" l="1"/>
  <c r="N14" i="1"/>
  <c r="N21" i="1" s="1"/>
  <c r="J14" i="1"/>
  <c r="J21" i="1" s="1"/>
  <c r="F14" i="1"/>
  <c r="F21" i="1" s="1"/>
  <c r="I14" i="1"/>
  <c r="I21" i="1" s="1"/>
  <c r="G14" i="1"/>
  <c r="G21" i="1" s="1"/>
  <c r="L14" i="1"/>
  <c r="L21" i="1" s="1"/>
  <c r="C14" i="1"/>
  <c r="C21" i="1" s="1"/>
  <c r="H14" i="1"/>
  <c r="H21" i="1" s="1"/>
  <c r="M14" i="1"/>
  <c r="M21" i="1" s="1"/>
  <c r="D14" i="1"/>
  <c r="D21" i="1" s="1"/>
  <c r="E14" i="1"/>
  <c r="E21" i="1" s="1"/>
  <c r="K14" i="1"/>
  <c r="K21" i="1" s="1"/>
  <c r="K18" i="1" l="1"/>
  <c r="K20" i="1"/>
  <c r="C18" i="1"/>
  <c r="N18" i="1"/>
  <c r="N20" i="1"/>
  <c r="E20" i="1"/>
  <c r="E18" i="1"/>
  <c r="H18" i="1"/>
  <c r="H20" i="1"/>
  <c r="L18" i="1"/>
  <c r="L20" i="1"/>
  <c r="J18" i="1"/>
  <c r="J20" i="1"/>
  <c r="G18" i="1"/>
  <c r="G20" i="1"/>
  <c r="B14" i="1"/>
  <c r="D18" i="1"/>
  <c r="D20" i="1"/>
  <c r="I20" i="1"/>
  <c r="I18" i="1"/>
  <c r="AB8" i="1"/>
  <c r="AA14" i="1"/>
  <c r="AA21" i="1" s="1"/>
  <c r="W14" i="1"/>
  <c r="W21" i="1" s="1"/>
  <c r="S14" i="1"/>
  <c r="S21" i="1" s="1"/>
  <c r="V14" i="1"/>
  <c r="V21" i="1" s="1"/>
  <c r="Q14" i="1"/>
  <c r="Q21" i="1" s="1"/>
  <c r="Z14" i="1"/>
  <c r="Z21" i="1" s="1"/>
  <c r="P14" i="1"/>
  <c r="P21" i="1" s="1"/>
  <c r="Y14" i="1"/>
  <c r="Y21" i="1" s="1"/>
  <c r="T14" i="1"/>
  <c r="T21" i="1" s="1"/>
  <c r="X14" i="1"/>
  <c r="X21" i="1" s="1"/>
  <c r="R14" i="1"/>
  <c r="R21" i="1" s="1"/>
  <c r="U14" i="1"/>
  <c r="U21" i="1" s="1"/>
  <c r="M20" i="1"/>
  <c r="M18" i="1"/>
  <c r="F18" i="1"/>
  <c r="F20" i="1"/>
  <c r="F35" i="1" l="1"/>
  <c r="I35" i="1"/>
  <c r="G35" i="1"/>
  <c r="J35" i="1"/>
  <c r="L35" i="1"/>
  <c r="H35" i="1"/>
  <c r="K35" i="1"/>
  <c r="N35" i="1"/>
  <c r="C20" i="1"/>
  <c r="C35" i="1" s="1"/>
  <c r="B21" i="1"/>
  <c r="M35" i="1"/>
  <c r="D35" i="1"/>
  <c r="E35" i="1"/>
  <c r="T18" i="1"/>
  <c r="T20" i="1"/>
  <c r="AA18" i="1"/>
  <c r="AA20" i="1"/>
  <c r="U20" i="1"/>
  <c r="U18" i="1"/>
  <c r="V18" i="1"/>
  <c r="V20" i="1"/>
  <c r="X18" i="1"/>
  <c r="X20" i="1"/>
  <c r="Z18" i="1"/>
  <c r="Z20" i="1"/>
  <c r="W18" i="1"/>
  <c r="W20" i="1"/>
  <c r="Q20" i="1"/>
  <c r="Q18" i="1"/>
  <c r="Y20" i="1"/>
  <c r="Y18" i="1"/>
  <c r="AO8" i="1"/>
  <c r="AN14" i="1"/>
  <c r="AJ14" i="1"/>
  <c r="AF14" i="1"/>
  <c r="AM14" i="1"/>
  <c r="AH14" i="1"/>
  <c r="AC14" i="1"/>
  <c r="AL14" i="1"/>
  <c r="AK14" i="1"/>
  <c r="AE14" i="1"/>
  <c r="AI14" i="1"/>
  <c r="AD14" i="1"/>
  <c r="AG14" i="1"/>
  <c r="O14" i="1"/>
  <c r="R18" i="1"/>
  <c r="R20" i="1"/>
  <c r="P18" i="1"/>
  <c r="S18" i="1"/>
  <c r="S20" i="1"/>
  <c r="B18" i="1"/>
  <c r="C36" i="1" l="1"/>
  <c r="B35" i="1"/>
  <c r="B20" i="1"/>
  <c r="P20" i="1"/>
  <c r="O20" i="1" s="1"/>
  <c r="O21" i="1"/>
  <c r="S35" i="1"/>
  <c r="R35" i="1"/>
  <c r="W35" i="1"/>
  <c r="X35" i="1"/>
  <c r="T35" i="1"/>
  <c r="Q35" i="1"/>
  <c r="Y35" i="1"/>
  <c r="U35" i="1"/>
  <c r="Z35" i="1"/>
  <c r="V35" i="1"/>
  <c r="AA35" i="1"/>
  <c r="AD18" i="1"/>
  <c r="AD21" i="1"/>
  <c r="AD20" i="1" s="1"/>
  <c r="AL18" i="1"/>
  <c r="AL21" i="1"/>
  <c r="AL20" i="1" s="1"/>
  <c r="AF18" i="1"/>
  <c r="AF21" i="1"/>
  <c r="AF20" i="1" s="1"/>
  <c r="O18" i="1"/>
  <c r="AE18" i="1"/>
  <c r="AE21" i="1"/>
  <c r="AE20" i="1" s="1"/>
  <c r="AH18" i="1"/>
  <c r="AH21" i="1"/>
  <c r="AH20" i="1" s="1"/>
  <c r="AN18" i="1"/>
  <c r="AN21" i="1"/>
  <c r="AN20" i="1" s="1"/>
  <c r="AG21" i="1"/>
  <c r="AG20" i="1" s="1"/>
  <c r="AG18" i="1"/>
  <c r="AK21" i="1"/>
  <c r="AK20" i="1" s="1"/>
  <c r="AK18" i="1"/>
  <c r="AM18" i="1"/>
  <c r="AM21" i="1"/>
  <c r="AM20" i="1" s="1"/>
  <c r="BB8" i="1"/>
  <c r="BA14" i="1"/>
  <c r="AW14" i="1"/>
  <c r="AS14" i="1"/>
  <c r="AY14" i="1"/>
  <c r="AT14" i="1"/>
  <c r="AV14" i="1"/>
  <c r="AQ14" i="1"/>
  <c r="AZ14" i="1"/>
  <c r="AU14" i="1"/>
  <c r="AP14" i="1"/>
  <c r="AX14" i="1"/>
  <c r="AR14" i="1"/>
  <c r="AI18" i="1"/>
  <c r="AI21" i="1"/>
  <c r="AI20" i="1" s="1"/>
  <c r="AB14" i="1"/>
  <c r="AC21" i="1"/>
  <c r="AC18" i="1"/>
  <c r="AJ18" i="1"/>
  <c r="AJ21" i="1"/>
  <c r="AJ20" i="1" s="1"/>
  <c r="B36" i="1" l="1"/>
  <c r="P35" i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AC20" i="1"/>
  <c r="AB21" i="1"/>
  <c r="AI35" i="1"/>
  <c r="AF35" i="1"/>
  <c r="AD35" i="1"/>
  <c r="AJ35" i="1"/>
  <c r="AM35" i="1"/>
  <c r="AH35" i="1"/>
  <c r="AN35" i="1"/>
  <c r="AE35" i="1"/>
  <c r="AG35" i="1"/>
  <c r="AK35" i="1"/>
  <c r="AL35" i="1"/>
  <c r="AU18" i="1"/>
  <c r="AU21" i="1"/>
  <c r="AU20" i="1" s="1"/>
  <c r="AT18" i="1"/>
  <c r="AT21" i="1"/>
  <c r="AT20" i="1" s="1"/>
  <c r="AB18" i="1"/>
  <c r="AX18" i="1"/>
  <c r="AX21" i="1"/>
  <c r="AX20" i="1" s="1"/>
  <c r="AQ18" i="1"/>
  <c r="AQ21" i="1"/>
  <c r="AQ20" i="1" s="1"/>
  <c r="AS21" i="1"/>
  <c r="AS20" i="1" s="1"/>
  <c r="AS18" i="1"/>
  <c r="AP18" i="1"/>
  <c r="AP21" i="1"/>
  <c r="AV18" i="1"/>
  <c r="AV21" i="1"/>
  <c r="AV20" i="1" s="1"/>
  <c r="AW21" i="1"/>
  <c r="AW20" i="1" s="1"/>
  <c r="AW18" i="1"/>
  <c r="BA21" i="1"/>
  <c r="BA20" i="1" s="1"/>
  <c r="BA18" i="1"/>
  <c r="AO14" i="1"/>
  <c r="AR18" i="1"/>
  <c r="AR21" i="1"/>
  <c r="AR20" i="1" s="1"/>
  <c r="AZ18" i="1"/>
  <c r="AZ21" i="1"/>
  <c r="AZ20" i="1" s="1"/>
  <c r="AY18" i="1"/>
  <c r="AY21" i="1"/>
  <c r="AY20" i="1" s="1"/>
  <c r="BN14" i="1"/>
  <c r="BJ14" i="1"/>
  <c r="BF14" i="1"/>
  <c r="BK14" i="1"/>
  <c r="BE14" i="1"/>
  <c r="BD14" i="1"/>
  <c r="BM14" i="1"/>
  <c r="BH14" i="1"/>
  <c r="BC14" i="1"/>
  <c r="BL14" i="1"/>
  <c r="BG14" i="1"/>
  <c r="BI14" i="1"/>
  <c r="O35" i="1" l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20" i="1"/>
  <c r="AC35" i="1"/>
  <c r="AB35" i="1" s="1"/>
  <c r="AP20" i="1"/>
  <c r="AO21" i="1"/>
  <c r="AZ35" i="1"/>
  <c r="AT35" i="1"/>
  <c r="AW35" i="1"/>
  <c r="AY35" i="1"/>
  <c r="AR35" i="1"/>
  <c r="AU35" i="1"/>
  <c r="AV35" i="1"/>
  <c r="AX35" i="1"/>
  <c r="BA35" i="1"/>
  <c r="AS35" i="1"/>
  <c r="AQ35" i="1"/>
  <c r="BB14" i="1"/>
  <c r="BC18" i="1"/>
  <c r="BC21" i="1"/>
  <c r="BE21" i="1"/>
  <c r="BE20" i="1" s="1"/>
  <c r="BE18" i="1"/>
  <c r="BN18" i="1"/>
  <c r="BN21" i="1"/>
  <c r="BN20" i="1" s="1"/>
  <c r="BI21" i="1"/>
  <c r="BI20" i="1" s="1"/>
  <c r="BI18" i="1"/>
  <c r="BH18" i="1"/>
  <c r="BH21" i="1"/>
  <c r="BH20" i="1" s="1"/>
  <c r="BK21" i="1"/>
  <c r="BK20" i="1" s="1"/>
  <c r="BK18" i="1"/>
  <c r="BG18" i="1"/>
  <c r="BG21" i="1"/>
  <c r="BG20" i="1" s="1"/>
  <c r="BM21" i="1"/>
  <c r="BM20" i="1" s="1"/>
  <c r="BM18" i="1"/>
  <c r="BF18" i="1"/>
  <c r="BF21" i="1"/>
  <c r="BF20" i="1" s="1"/>
  <c r="BL18" i="1"/>
  <c r="BL21" i="1"/>
  <c r="BL20" i="1" s="1"/>
  <c r="BD18" i="1"/>
  <c r="BD21" i="1"/>
  <c r="BD20" i="1" s="1"/>
  <c r="BJ18" i="1"/>
  <c r="BJ21" i="1"/>
  <c r="BJ20" i="1" s="1"/>
  <c r="AO18" i="1"/>
  <c r="O36" i="1" l="1"/>
  <c r="AC36" i="1"/>
  <c r="AD36" i="1" s="1"/>
  <c r="AB36" i="1"/>
  <c r="BD35" i="1"/>
  <c r="AO20" i="1"/>
  <c r="BC20" i="1"/>
  <c r="BB21" i="1"/>
  <c r="AP35" i="1"/>
  <c r="BF35" i="1"/>
  <c r="BJ35" i="1"/>
  <c r="BL35" i="1"/>
  <c r="BG35" i="1"/>
  <c r="BH35" i="1"/>
  <c r="BN35" i="1"/>
  <c r="BM35" i="1"/>
  <c r="BK35" i="1"/>
  <c r="BI35" i="1"/>
  <c r="BE35" i="1"/>
  <c r="BB18" i="1"/>
  <c r="AE36" i="1" l="1"/>
  <c r="AF36" i="1" s="1"/>
  <c r="AG36" i="1" s="1"/>
  <c r="AH36" i="1" s="1"/>
  <c r="AI36" i="1" s="1"/>
  <c r="AJ36" i="1" s="1"/>
  <c r="AK36" i="1" s="1"/>
  <c r="AL36" i="1" s="1"/>
  <c r="AM36" i="1" s="1"/>
  <c r="AN36" i="1" s="1"/>
  <c r="AP36" i="1" s="1"/>
  <c r="AO35" i="1"/>
  <c r="BB20" i="1"/>
  <c r="BC35" i="1"/>
  <c r="AO36" i="1" l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C36" i="1" s="1"/>
  <c r="BD36" i="1" s="1"/>
  <c r="BE36" i="1" s="1"/>
  <c r="BF36" i="1" s="1"/>
  <c r="BB35" i="1"/>
  <c r="BB36" i="1" l="1"/>
  <c r="BG36" i="1"/>
  <c r="BH36" i="1" s="1"/>
  <c r="BI36" i="1" s="1"/>
  <c r="BJ36" i="1" s="1"/>
  <c r="BK36" i="1" s="1"/>
  <c r="BL36" i="1" s="1"/>
  <c r="BM36" i="1" s="1"/>
  <c r="BN36" i="1" s="1"/>
  <c r="I6" i="6" l="1"/>
  <c r="I7" i="6" s="1"/>
  <c r="I8" i="6" s="1"/>
  <c r="I9" i="6" s="1"/>
  <c r="I10" i="6" s="1"/>
  <c r="I11" i="6" s="1"/>
</calcChain>
</file>

<file path=xl/comments1.xml><?xml version="1.0" encoding="utf-8"?>
<comments xmlns="http://schemas.openxmlformats.org/spreadsheetml/2006/main">
  <authors>
    <author>Baldini Fabio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Baldini Fabio:</t>
        </r>
        <r>
          <rPr>
            <sz val="9"/>
            <color indexed="81"/>
            <rFont val="Tahoma"/>
            <family val="2"/>
          </rPr>
          <t xml:space="preserve">
Quantidade de Alunos</t>
        </r>
      </text>
    </comment>
  </commentList>
</comments>
</file>

<file path=xl/comments2.xml><?xml version="1.0" encoding="utf-8"?>
<comments xmlns="http://schemas.openxmlformats.org/spreadsheetml/2006/main">
  <authors>
    <author>Rodrigo Bueno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VPL: É</t>
        </r>
        <r>
          <rPr>
            <sz val="9"/>
            <color indexed="81"/>
            <rFont val="Tahoma"/>
            <family val="2"/>
          </rPr>
          <t xml:space="preserve"> a concentração de todos valores esperados de um fluxo de caixa na data zero.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VPLa: </t>
        </r>
        <r>
          <rPr>
            <sz val="9"/>
            <color indexed="81"/>
            <rFont val="Tahoma"/>
            <family val="2"/>
          </rPr>
          <t xml:space="preserve">É o fluxo de caixa representativo do projeto de investimento transformado em uma série uniforme, ou seja, ganhos anuais ao longo do projeto. 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IBC: </t>
        </r>
        <r>
          <rPr>
            <sz val="9"/>
            <color indexed="81"/>
            <rFont val="Tahoma"/>
            <family val="2"/>
          </rPr>
          <t xml:space="preserve">É uma medida de quanto se espera ganhar por unidade de capital investido.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ROIA: </t>
        </r>
        <r>
          <rPr>
            <sz val="9"/>
            <color indexed="81"/>
            <rFont val="Tahoma"/>
            <family val="2"/>
          </rPr>
          <t xml:space="preserve">É a melhor estimativa de rentabilidade para um projeto de investimeno. Representa em termos percentuais, a riqueza gerada pelo projeto.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TIR: </t>
        </r>
        <r>
          <rPr>
            <sz val="9"/>
            <color indexed="81"/>
            <rFont val="Tahoma"/>
            <family val="2"/>
          </rPr>
          <t xml:space="preserve">É a taxa que torna o Valor Presente Líquido (VPL) de um fluxo de caixa igual a zero.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Payback: </t>
        </r>
        <r>
          <rPr>
            <sz val="9"/>
            <color indexed="81"/>
            <rFont val="Tahoma"/>
            <family val="2"/>
          </rPr>
          <t xml:space="preserve">Nada mais é do que o número de períodos necessários para que o fluxo de benefícios supere o capital investido.
</t>
        </r>
      </text>
    </comment>
  </commentList>
</comments>
</file>

<file path=xl/sharedStrings.xml><?xml version="1.0" encoding="utf-8"?>
<sst xmlns="http://schemas.openxmlformats.org/spreadsheetml/2006/main" count="94" uniqueCount="78">
  <si>
    <t>Receita Estimada</t>
  </si>
  <si>
    <t>Consultorias</t>
  </si>
  <si>
    <t>Total</t>
  </si>
  <si>
    <t>Despesas</t>
  </si>
  <si>
    <t>Impostos Simples Federal</t>
  </si>
  <si>
    <t>Pro Labore</t>
  </si>
  <si>
    <t>Agua</t>
  </si>
  <si>
    <t>Luz</t>
  </si>
  <si>
    <t>Internet/Telefone</t>
  </si>
  <si>
    <t>Limpeza</t>
  </si>
  <si>
    <t>Segurança</t>
  </si>
  <si>
    <t>Publicidade</t>
  </si>
  <si>
    <t>Taxa de Coleta de Lixo</t>
  </si>
  <si>
    <t>Secretária</t>
  </si>
  <si>
    <t>Assistente</t>
  </si>
  <si>
    <t>Receita Liquida Mensal</t>
  </si>
  <si>
    <t>Receita Liquida Acumulada</t>
  </si>
  <si>
    <t>Produto financeiro</t>
  </si>
  <si>
    <t>Remuneração acumulada nos últimos 12 meses</t>
  </si>
  <si>
    <t>Imposto de renda (15%)</t>
  </si>
  <si>
    <t xml:space="preserve">Rendimento líquido </t>
  </si>
  <si>
    <t>CDB</t>
  </si>
  <si>
    <t>RDB</t>
  </si>
  <si>
    <t>Tesouro Direto</t>
  </si>
  <si>
    <t>Poupança</t>
  </si>
  <si>
    <t>Média</t>
  </si>
  <si>
    <t>TMA</t>
  </si>
  <si>
    <t>VPL</t>
  </si>
  <si>
    <t xml:space="preserve">Período </t>
  </si>
  <si>
    <t>R$</t>
  </si>
  <si>
    <t>VPLa</t>
  </si>
  <si>
    <t>IBC</t>
  </si>
  <si>
    <t>ROIA</t>
  </si>
  <si>
    <t xml:space="preserve">Valor Presente Líquido </t>
  </si>
  <si>
    <t>Índice Benefício/Custo</t>
  </si>
  <si>
    <t xml:space="preserve">Retorno Sobre Investimento Adicionado </t>
  </si>
  <si>
    <t xml:space="preserve">Valor Presente Líquido Anualizado </t>
  </si>
  <si>
    <t>TIR</t>
  </si>
  <si>
    <t>Diferença</t>
  </si>
  <si>
    <t>Fluxo</t>
  </si>
  <si>
    <t>Pay Back</t>
  </si>
  <si>
    <t>Capital de Giro</t>
  </si>
  <si>
    <t>Projetos</t>
  </si>
  <si>
    <t>Método</t>
  </si>
  <si>
    <t xml:space="preserve">Decisão Preliminar </t>
  </si>
  <si>
    <t>Valor Presente Líquido</t>
  </si>
  <si>
    <t>Valor Presente Líquido Anualizado</t>
  </si>
  <si>
    <t>Índice Benefício Custo</t>
  </si>
  <si>
    <t>Retorno Adicional Sobre o Investimento</t>
  </si>
  <si>
    <t xml:space="preserve">ROIA </t>
  </si>
  <si>
    <t>Taxa Interna de Retorno</t>
  </si>
  <si>
    <t>Tempo de Retorno do Investimento</t>
  </si>
  <si>
    <t>PayBack</t>
  </si>
  <si>
    <t>Investimento B</t>
  </si>
  <si>
    <t>Investimento C</t>
  </si>
  <si>
    <t>Investimento D</t>
  </si>
  <si>
    <t>Investimento A</t>
  </si>
  <si>
    <t>Indicação</t>
  </si>
  <si>
    <t>Google Adwords</t>
  </si>
  <si>
    <t>Flyer</t>
  </si>
  <si>
    <t>Indicadores Financeiros</t>
  </si>
  <si>
    <t>Item 1</t>
  </si>
  <si>
    <t>Item 2</t>
  </si>
  <si>
    <t>Item 3</t>
  </si>
  <si>
    <t>Item 4</t>
  </si>
  <si>
    <t>Item 5</t>
  </si>
  <si>
    <t>Item 6</t>
  </si>
  <si>
    <t>Total de Itens</t>
  </si>
  <si>
    <t>Reajuste Anual</t>
  </si>
  <si>
    <t>Colaboradores</t>
  </si>
  <si>
    <t>IPTU/Seguro</t>
  </si>
  <si>
    <t>Imposto Simples</t>
  </si>
  <si>
    <t>Anos</t>
  </si>
  <si>
    <t>Meses</t>
  </si>
  <si>
    <t>---</t>
  </si>
  <si>
    <t>Investimento</t>
  </si>
  <si>
    <t>Tipos de Investimentos - TMA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</si>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</sst>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_-;\-* #,##0_-;_-* &quot;-&quot;??_-;_-@_-"/>
    <numFmt numFmtId="167" formatCode="_*\ #,##0_-;\-* #,##0_-;_-* &quot;-&quot;??_-;_-@_-"/>
    <numFmt numFmtId="168" formatCode="_*\ #,##0.00_ &quot;Anos&quot;;\-* #,##0.00_-;_-* &quot;-&quot;??_-;_-@_-"/>
    <numFmt numFmtId="169" formatCode="0.0%"/>
    <numFmt numFmtId="170" formatCode="&quot;R$&quot;\ #,##0.00"/>
    <numFmt numFmtId="171" formatCode="_-&quot;R$&quot;\ \ #,##0_-;\-&quot;R$&quot;\ \ #,##0_-;_-&quot;R$&quot;\ \ &quot;-&quot;??_-;_-@_-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666666"/>
      <name val="Tahoma"/>
      <family val="2"/>
    </font>
    <font>
      <sz val="10"/>
      <color rgb="FF666666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Arial"/>
      <family val="2"/>
    </font>
    <font>
      <sz val="14"/>
      <color theme="4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6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medium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medium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medium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medium">
        <color theme="4" tint="0.39994506668294322"/>
      </left>
      <right style="medium">
        <color theme="4" tint="0.39991454817346722"/>
      </right>
      <top/>
      <bottom/>
      <diagonal/>
    </border>
    <border>
      <left style="medium">
        <color theme="4" tint="0.39991454817346722"/>
      </left>
      <right style="medium">
        <color theme="4" tint="0.39988402966399123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9" tint="0.39991454817346722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88402966399123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theme="4"/>
      </bottom>
      <diagonal/>
    </border>
    <border>
      <left style="medium">
        <color theme="4"/>
      </left>
      <right style="medium">
        <color theme="4"/>
      </right>
      <top style="hair">
        <color theme="4"/>
      </top>
      <bottom style="hair">
        <color theme="4"/>
      </bottom>
      <diagonal/>
    </border>
    <border>
      <left style="medium">
        <color theme="4"/>
      </left>
      <right style="medium">
        <color theme="4"/>
      </right>
      <top style="hair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6" tint="-0.24994659260841701"/>
      </right>
      <top style="medium">
        <color theme="4"/>
      </top>
      <bottom style="hair">
        <color theme="6" tint="-0.24994659260841701"/>
      </bottom>
      <diagonal/>
    </border>
    <border>
      <left style="medium">
        <color theme="6" tint="-0.24994659260841701"/>
      </left>
      <right style="medium">
        <color theme="4"/>
      </right>
      <top style="medium">
        <color theme="4"/>
      </top>
      <bottom style="hair">
        <color theme="6" tint="-0.24994659260841701"/>
      </bottom>
      <diagonal/>
    </border>
    <border>
      <left style="medium">
        <color theme="4"/>
      </left>
      <right style="medium">
        <color theme="6" tint="-0.24994659260841701"/>
      </right>
      <top style="hair">
        <color theme="6" tint="-0.24994659260841701"/>
      </top>
      <bottom style="medium">
        <color theme="4"/>
      </bottom>
      <diagonal/>
    </border>
    <border>
      <left style="medium">
        <color theme="6" tint="-0.24994659260841701"/>
      </left>
      <right style="medium">
        <color theme="4"/>
      </right>
      <top style="hair">
        <color theme="6" tint="-0.24994659260841701"/>
      </top>
      <bottom style="medium">
        <color theme="4"/>
      </bottom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hair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theme="6" tint="0.39994506668294322"/>
      </bottom>
      <diagonal/>
    </border>
    <border>
      <left style="medium">
        <color theme="4"/>
      </left>
      <right style="medium">
        <color theme="4"/>
      </right>
      <top style="hair">
        <color theme="6" tint="0.39994506668294322"/>
      </top>
      <bottom style="hair">
        <color theme="6" tint="0.39994506668294322"/>
      </bottom>
      <diagonal/>
    </border>
    <border>
      <left style="medium">
        <color theme="4"/>
      </left>
      <right style="medium">
        <color theme="4"/>
      </right>
      <top style="hair">
        <color theme="6" tint="0.39994506668294322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hair">
        <color theme="6" tint="0.39994506668294322"/>
      </bottom>
      <diagonal/>
    </border>
    <border>
      <left/>
      <right style="medium">
        <color theme="4"/>
      </right>
      <top style="medium">
        <color theme="4"/>
      </top>
      <bottom style="hair">
        <color theme="6" tint="0.39994506668294322"/>
      </bottom>
      <diagonal/>
    </border>
    <border>
      <left style="medium">
        <color theme="4"/>
      </left>
      <right/>
      <top style="hair">
        <color theme="6" tint="0.39994506668294322"/>
      </top>
      <bottom style="hair">
        <color theme="6" tint="0.39994506668294322"/>
      </bottom>
      <diagonal/>
    </border>
    <border>
      <left/>
      <right style="medium">
        <color theme="4"/>
      </right>
      <top style="hair">
        <color theme="6" tint="0.39994506668294322"/>
      </top>
      <bottom style="hair">
        <color theme="6" tint="0.39994506668294322"/>
      </bottom>
      <diagonal/>
    </border>
    <border>
      <left style="medium">
        <color theme="4"/>
      </left>
      <right/>
      <top style="hair">
        <color theme="6" tint="0.39994506668294322"/>
      </top>
      <bottom style="medium">
        <color theme="4"/>
      </bottom>
      <diagonal/>
    </border>
    <border>
      <left/>
      <right style="medium">
        <color theme="4"/>
      </right>
      <top style="hair">
        <color theme="6" tint="0.39994506668294322"/>
      </top>
      <bottom style="medium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2">
    <xf numFmtId="0" fontId="0" fillId="0" borderId="0" xfId="0"/>
    <xf numFmtId="43" fontId="0" fillId="0" borderId="0" xfId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4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/>
    <xf numFmtId="10" fontId="12" fillId="0" borderId="15" xfId="0" applyNumberFormat="1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16" xfId="0" applyNumberFormat="1" applyFont="1" applyBorder="1" applyAlignment="1">
      <alignment horizontal="center"/>
    </xf>
    <xf numFmtId="0" fontId="13" fillId="4" borderId="0" xfId="0" applyFont="1" applyFill="1"/>
    <xf numFmtId="0" fontId="13" fillId="4" borderId="9" xfId="0" applyFont="1" applyFill="1" applyBorder="1" applyAlignment="1">
      <alignment horizontal="center"/>
    </xf>
    <xf numFmtId="0" fontId="13" fillId="4" borderId="0" xfId="0" applyFont="1" applyFill="1" applyBorder="1"/>
    <xf numFmtId="0" fontId="13" fillId="4" borderId="10" xfId="0" applyFont="1" applyFill="1" applyBorder="1"/>
    <xf numFmtId="0" fontId="10" fillId="0" borderId="7" xfId="0" applyFont="1" applyBorder="1"/>
    <xf numFmtId="43" fontId="10" fillId="0" borderId="11" xfId="1" applyFont="1" applyBorder="1"/>
    <xf numFmtId="0" fontId="10" fillId="0" borderId="8" xfId="0" applyFont="1" applyBorder="1"/>
    <xf numFmtId="0" fontId="10" fillId="0" borderId="12" xfId="0" applyFont="1" applyBorder="1"/>
    <xf numFmtId="166" fontId="10" fillId="0" borderId="11" xfId="0" applyNumberFormat="1" applyFont="1" applyBorder="1"/>
    <xf numFmtId="166" fontId="10" fillId="0" borderId="8" xfId="1" applyNumberFormat="1" applyFont="1" applyBorder="1"/>
    <xf numFmtId="166" fontId="10" fillId="0" borderId="12" xfId="1" applyNumberFormat="1" applyFont="1" applyBorder="1"/>
    <xf numFmtId="0" fontId="10" fillId="0" borderId="0" xfId="0" applyFont="1" applyBorder="1"/>
    <xf numFmtId="166" fontId="10" fillId="0" borderId="0" xfId="1" applyNumberFormat="1" applyFont="1" applyBorder="1"/>
    <xf numFmtId="166" fontId="10" fillId="0" borderId="14" xfId="1" applyNumberFormat="1" applyFont="1" applyBorder="1"/>
    <xf numFmtId="0" fontId="11" fillId="5" borderId="7" xfId="0" applyFont="1" applyFill="1" applyBorder="1"/>
    <xf numFmtId="166" fontId="11" fillId="5" borderId="11" xfId="0" applyNumberFormat="1" applyFont="1" applyFill="1" applyBorder="1"/>
    <xf numFmtId="166" fontId="11" fillId="5" borderId="8" xfId="1" applyNumberFormat="1" applyFont="1" applyFill="1" applyBorder="1"/>
    <xf numFmtId="166" fontId="11" fillId="5" borderId="14" xfId="1" applyNumberFormat="1" applyFont="1" applyFill="1" applyBorder="1"/>
    <xf numFmtId="0" fontId="11" fillId="2" borderId="0" xfId="0" applyFont="1" applyFill="1"/>
    <xf numFmtId="166" fontId="11" fillId="2" borderId="3" xfId="0" applyNumberFormat="1" applyFont="1" applyFill="1" applyBorder="1"/>
    <xf numFmtId="166" fontId="11" fillId="2" borderId="0" xfId="0" applyNumberFormat="1" applyFont="1" applyFill="1" applyBorder="1"/>
    <xf numFmtId="166" fontId="11" fillId="2" borderId="4" xfId="0" applyNumberFormat="1" applyFont="1" applyFill="1" applyBorder="1"/>
    <xf numFmtId="166" fontId="10" fillId="0" borderId="1" xfId="0" applyNumberFormat="1" applyFont="1" applyBorder="1"/>
    <xf numFmtId="166" fontId="10" fillId="0" borderId="5" xfId="0" applyNumberFormat="1" applyFont="1" applyBorder="1"/>
    <xf numFmtId="166" fontId="10" fillId="0" borderId="2" xfId="0" applyNumberFormat="1" applyFont="1" applyBorder="1"/>
    <xf numFmtId="166" fontId="10" fillId="0" borderId="6" xfId="0" applyNumberFormat="1" applyFont="1" applyBorder="1"/>
    <xf numFmtId="166" fontId="10" fillId="0" borderId="0" xfId="0" applyNumberFormat="1" applyFont="1"/>
    <xf numFmtId="0" fontId="10" fillId="0" borderId="1" xfId="0" applyFont="1" applyBorder="1"/>
    <xf numFmtId="0" fontId="10" fillId="0" borderId="2" xfId="0" applyFont="1" applyBorder="1"/>
    <xf numFmtId="9" fontId="10" fillId="0" borderId="0" xfId="2" applyFont="1"/>
    <xf numFmtId="170" fontId="10" fillId="0" borderId="0" xfId="0" applyNumberFormat="1" applyFont="1"/>
    <xf numFmtId="10" fontId="10" fillId="0" borderId="0" xfId="2" applyNumberFormat="1" applyFont="1"/>
    <xf numFmtId="0" fontId="11" fillId="0" borderId="0" xfId="0" applyFont="1"/>
    <xf numFmtId="0" fontId="14" fillId="0" borderId="0" xfId="0" applyFont="1"/>
    <xf numFmtId="166" fontId="13" fillId="4" borderId="0" xfId="0" applyNumberFormat="1" applyFont="1" applyFill="1"/>
    <xf numFmtId="0" fontId="13" fillId="4" borderId="17" xfId="0" applyFont="1" applyFill="1" applyBorder="1" applyAlignment="1">
      <alignment horizontal="center"/>
    </xf>
    <xf numFmtId="43" fontId="10" fillId="0" borderId="13" xfId="1" applyFont="1" applyBorder="1"/>
    <xf numFmtId="166" fontId="10" fillId="0" borderId="13" xfId="0" applyNumberFormat="1" applyFont="1" applyBorder="1"/>
    <xf numFmtId="166" fontId="10" fillId="0" borderId="18" xfId="0" applyNumberFormat="1" applyFont="1" applyBorder="1"/>
    <xf numFmtId="166" fontId="11" fillId="5" borderId="18" xfId="0" applyNumberFormat="1" applyFont="1" applyFill="1" applyBorder="1"/>
    <xf numFmtId="166" fontId="11" fillId="2" borderId="19" xfId="0" applyNumberFormat="1" applyFont="1" applyFill="1" applyBorder="1"/>
    <xf numFmtId="166" fontId="10" fillId="0" borderId="20" xfId="0" applyNumberFormat="1" applyFont="1" applyBorder="1"/>
    <xf numFmtId="169" fontId="12" fillId="0" borderId="21" xfId="0" applyNumberFormat="1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9" fontId="16" fillId="0" borderId="30" xfId="0" applyNumberFormat="1" applyFont="1" applyBorder="1" applyAlignment="1">
      <alignment horizontal="center" vertical="center"/>
    </xf>
    <xf numFmtId="10" fontId="16" fillId="0" borderId="30" xfId="0" applyNumberFormat="1" applyFont="1" applyBorder="1" applyAlignment="1">
      <alignment horizontal="center" vertical="center"/>
    </xf>
    <xf numFmtId="169" fontId="16" fillId="0" borderId="31" xfId="0" applyNumberFormat="1" applyFont="1" applyBorder="1" applyAlignment="1">
      <alignment horizontal="center" vertical="center"/>
    </xf>
    <xf numFmtId="10" fontId="16" fillId="0" borderId="30" xfId="2" applyNumberFormat="1" applyFont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10" fontId="16" fillId="3" borderId="30" xfId="0" applyNumberFormat="1" applyFont="1" applyFill="1" applyBorder="1" applyAlignment="1">
      <alignment horizontal="center" vertical="center"/>
    </xf>
    <xf numFmtId="9" fontId="17" fillId="6" borderId="31" xfId="0" applyNumberFormat="1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65" fontId="19" fillId="0" borderId="22" xfId="3" applyFont="1" applyBorder="1" applyAlignment="1">
      <alignment horizontal="center" vertical="center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165" fontId="19" fillId="0" borderId="30" xfId="3" applyFont="1" applyBorder="1" applyAlignment="1">
      <alignment horizontal="center"/>
    </xf>
    <xf numFmtId="165" fontId="19" fillId="0" borderId="31" xfId="3" applyFont="1" applyBorder="1" applyAlignment="1">
      <alignment horizontal="center"/>
    </xf>
    <xf numFmtId="169" fontId="19" fillId="0" borderId="22" xfId="0" applyNumberFormat="1" applyFont="1" applyBorder="1" applyAlignment="1">
      <alignment horizontal="center" vertical="center"/>
    </xf>
    <xf numFmtId="0" fontId="19" fillId="0" borderId="36" xfId="0" applyFont="1" applyBorder="1" applyAlignment="1">
      <alignment horizontal="left"/>
    </xf>
    <xf numFmtId="0" fontId="20" fillId="7" borderId="22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70" fontId="19" fillId="0" borderId="29" xfId="0" applyNumberFormat="1" applyFont="1" applyBorder="1" applyAlignment="1">
      <alignment horizontal="center"/>
    </xf>
    <xf numFmtId="0" fontId="15" fillId="0" borderId="30" xfId="0" applyFont="1" applyBorder="1" applyAlignment="1">
      <alignment horizontal="center" vertical="center"/>
    </xf>
    <xf numFmtId="164" fontId="19" fillId="0" borderId="30" xfId="0" applyNumberFormat="1" applyFont="1" applyBorder="1" applyAlignment="1">
      <alignment horizontal="center" vertical="center"/>
    </xf>
    <xf numFmtId="10" fontId="19" fillId="0" borderId="30" xfId="0" applyNumberFormat="1" applyFont="1" applyBorder="1" applyAlignment="1">
      <alignment horizontal="center" vertical="center"/>
    </xf>
    <xf numFmtId="169" fontId="19" fillId="0" borderId="30" xfId="0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9" fontId="15" fillId="0" borderId="31" xfId="0" applyNumberFormat="1" applyFont="1" applyBorder="1" applyAlignment="1">
      <alignment horizontal="center" vertical="center"/>
    </xf>
    <xf numFmtId="0" fontId="19" fillId="8" borderId="29" xfId="0" applyFont="1" applyFill="1" applyBorder="1" applyAlignment="1">
      <alignment horizontal="center"/>
    </xf>
    <xf numFmtId="165" fontId="19" fillId="8" borderId="29" xfId="3" applyFont="1" applyFill="1" applyBorder="1" applyAlignment="1">
      <alignment horizontal="center"/>
    </xf>
    <xf numFmtId="0" fontId="19" fillId="8" borderId="30" xfId="0" applyFont="1" applyFill="1" applyBorder="1" applyAlignment="1">
      <alignment horizontal="center"/>
    </xf>
    <xf numFmtId="165" fontId="19" fillId="8" borderId="30" xfId="3" applyFont="1" applyFill="1" applyBorder="1" applyAlignment="1">
      <alignment horizontal="center"/>
    </xf>
    <xf numFmtId="0" fontId="19" fillId="8" borderId="31" xfId="0" applyFont="1" applyFill="1" applyBorder="1" applyAlignment="1">
      <alignment horizontal="center"/>
    </xf>
    <xf numFmtId="165" fontId="19" fillId="8" borderId="31" xfId="3" applyFont="1" applyFill="1" applyBorder="1" applyAlignment="1">
      <alignment horizontal="center"/>
    </xf>
    <xf numFmtId="0" fontId="19" fillId="0" borderId="29" xfId="0" applyNumberFormat="1" applyFont="1" applyBorder="1" applyAlignment="1">
      <alignment horizontal="center"/>
    </xf>
    <xf numFmtId="0" fontId="19" fillId="0" borderId="30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64" fontId="20" fillId="9" borderId="31" xfId="0" applyNumberFormat="1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9" fontId="16" fillId="0" borderId="38" xfId="0" applyNumberFormat="1" applyFont="1" applyBorder="1" applyAlignment="1">
      <alignment horizontal="center" vertical="center"/>
    </xf>
    <xf numFmtId="10" fontId="16" fillId="0" borderId="38" xfId="2" applyNumberFormat="1" applyFont="1" applyBorder="1" applyAlignment="1">
      <alignment horizontal="center" vertical="center"/>
    </xf>
    <xf numFmtId="10" fontId="16" fillId="0" borderId="38" xfId="0" applyNumberFormat="1" applyFont="1" applyBorder="1" applyAlignment="1">
      <alignment horizontal="center" vertical="center"/>
    </xf>
    <xf numFmtId="0" fontId="18" fillId="6" borderId="37" xfId="0" applyFont="1" applyFill="1" applyBorder="1" applyAlignment="1">
      <alignment horizontal="center" vertical="center" wrapText="1"/>
    </xf>
    <xf numFmtId="167" fontId="11" fillId="0" borderId="0" xfId="0" applyNumberFormat="1" applyFont="1" applyAlignment="1">
      <alignment horizontal="center"/>
    </xf>
    <xf numFmtId="168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20" fillId="7" borderId="22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22" fillId="6" borderId="23" xfId="0" applyFont="1" applyFill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 wrapText="1"/>
    </xf>
    <xf numFmtId="0" fontId="22" fillId="6" borderId="25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/>
    </xf>
    <xf numFmtId="0" fontId="21" fillId="7" borderId="26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171" fontId="21" fillId="7" borderId="40" xfId="3" applyNumberFormat="1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9" fontId="2" fillId="0" borderId="43" xfId="0" applyNumberFormat="1" applyFont="1" applyBorder="1" applyAlignment="1">
      <alignment horizontal="center" vertical="center"/>
    </xf>
    <xf numFmtId="3" fontId="0" fillId="0" borderId="42" xfId="0" applyNumberFormat="1" applyFont="1" applyBorder="1" applyAlignment="1">
      <alignment horizontal="center" vertical="center"/>
    </xf>
    <xf numFmtId="10" fontId="0" fillId="0" borderId="42" xfId="2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 wrapText="1"/>
    </xf>
    <xf numFmtId="4" fontId="0" fillId="0" borderId="42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 vertical="center" wrapText="1"/>
    </xf>
    <xf numFmtId="9" fontId="7" fillId="0" borderId="49" xfId="0" applyNumberFormat="1" applyFont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8" borderId="45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/>
    </xf>
    <xf numFmtId="3" fontId="0" fillId="8" borderId="41" xfId="0" applyNumberFormat="1" applyFont="1" applyFill="1" applyBorder="1" applyAlignment="1">
      <alignment horizontal="center" vertical="center"/>
    </xf>
    <xf numFmtId="4" fontId="0" fillId="8" borderId="41" xfId="0" applyNumberFormat="1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 wrapText="1"/>
    </xf>
    <xf numFmtId="0" fontId="7" fillId="8" borderId="47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/>
    </xf>
    <xf numFmtId="164" fontId="0" fillId="8" borderId="42" xfId="0" applyNumberFormat="1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169" fontId="0" fillId="8" borderId="42" xfId="2" applyNumberFormat="1" applyFont="1" applyFill="1" applyBorder="1" applyAlignment="1">
      <alignment horizontal="center" vertical="center"/>
    </xf>
    <xf numFmtId="0" fontId="21" fillId="7" borderId="27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pt-BR">
                <a:solidFill>
                  <a:schemeClr val="tx1">
                    <a:lumMod val="75000"/>
                    <a:lumOff val="25000"/>
                  </a:schemeClr>
                </a:solidFill>
              </a:rPr>
              <a:t>Alunos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4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Sheet1!$E$6:$E$8</c:f>
              <c:strCache>
                <c:ptCount val="3"/>
                <c:pt idx="0">
                  <c:v>Flyer</c:v>
                </c:pt>
                <c:pt idx="1">
                  <c:v>Google Adwords</c:v>
                </c:pt>
                <c:pt idx="2">
                  <c:v>Indicação</c:v>
                </c:pt>
              </c:strCache>
            </c:strRef>
          </c:cat>
          <c:val>
            <c:numRef>
              <c:f>Sheet1!$F$6:$F$8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3-450C-8104-BC46CA11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80962</xdr:rowOff>
    </xdr:from>
    <xdr:to>
      <xdr:col>16</xdr:col>
      <xdr:colOff>57150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2:BP53"/>
  <sheetViews>
    <sheetView showGridLines="0" tabSelected="1" workbookViewId="0">
      <selection activeCell="BU42" sqref="BU42"/>
    </sheetView>
  </sheetViews>
  <sheetFormatPr defaultRowHeight="13.8" outlineLevelRow="1" outlineLevelCol="1" x14ac:dyDescent="0.3"/>
  <cols>
    <col min="1" max="1" width="26.6640625" style="10" bestFit="1" customWidth="1"/>
    <col min="2" max="2" width="14.6640625" style="10" bestFit="1" customWidth="1" collapsed="1"/>
    <col min="3" max="14" width="10.33203125" style="10" hidden="1" customWidth="1" outlineLevel="1"/>
    <col min="15" max="15" width="10.33203125" style="10" bestFit="1" customWidth="1" collapsed="1"/>
    <col min="16" max="27" width="10.33203125" style="10" hidden="1" customWidth="1" outlineLevel="1"/>
    <col min="28" max="28" width="10.44140625" style="10" bestFit="1" customWidth="1" collapsed="1"/>
    <col min="29" max="40" width="10.33203125" style="10" hidden="1" customWidth="1" outlineLevel="1"/>
    <col min="41" max="41" width="10.44140625" style="10" bestFit="1" customWidth="1" collapsed="1"/>
    <col min="42" max="53" width="10.33203125" style="10" hidden="1" customWidth="1" outlineLevel="1"/>
    <col min="54" max="54" width="10.44140625" style="10" bestFit="1" customWidth="1" collapsed="1"/>
    <col min="55" max="66" width="10.33203125" style="10" hidden="1" customWidth="1" outlineLevel="1"/>
    <col min="67" max="70" width="8.88671875" style="10"/>
    <col min="71" max="71" width="9.109375" style="10" customWidth="1"/>
    <col min="72" max="16384" width="8.88671875" style="10"/>
  </cols>
  <sheetData>
    <row r="2" spans="1:68" ht="12.75" customHeight="1" x14ac:dyDescent="0.3">
      <c r="A2" s="109" t="s">
        <v>60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2.75" customHeight="1" x14ac:dyDescent="0.3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4.4" thickBot="1" x14ac:dyDescent="0.35">
      <c r="B4" s="11">
        <v>2020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>
        <f>B4+1</f>
        <v>2021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>
        <f>O4+1</f>
        <v>2022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>
        <f>AB4+1</f>
        <v>2023</v>
      </c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>
        <f>AO4+1</f>
        <v>2024</v>
      </c>
    </row>
    <row r="5" spans="1:68" ht="14.4" thickBot="1" x14ac:dyDescent="0.35">
      <c r="A5" s="10" t="s">
        <v>71</v>
      </c>
      <c r="B5" s="59">
        <v>6.5000000000000002E-2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3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3"/>
    </row>
    <row r="6" spans="1:68" x14ac:dyDescent="0.3">
      <c r="A6" s="10" t="s">
        <v>68</v>
      </c>
      <c r="B6" s="14">
        <v>5.7142857142857113E-2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>
        <v>5.4054054054054008E-2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>
        <v>5.1282051282051475E-2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>
        <v>4.8780487804877815E-2</v>
      </c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6">
        <v>4.6511627906976341E-2</v>
      </c>
    </row>
    <row r="7" spans="1:68" x14ac:dyDescent="0.3">
      <c r="A7" s="17" t="s">
        <v>0</v>
      </c>
      <c r="B7" s="18" t="s">
        <v>2</v>
      </c>
      <c r="C7" s="19" t="str">
        <f>PROPER(TEXT(DATE($B4,COLUMNS($C$7:C7),1),"mmm/aa"))</f>
        <v>Jan/20</v>
      </c>
      <c r="D7" s="19" t="str">
        <f>PROPER(TEXT(DATE($B4,COLUMNS($C$7:D7),1),"mmm/aa"))</f>
        <v>Fev/20</v>
      </c>
      <c r="E7" s="19" t="str">
        <f>PROPER(TEXT(DATE($B4,COLUMNS($C$7:E7),1),"mmm/aa"))</f>
        <v>Mar/20</v>
      </c>
      <c r="F7" s="19" t="str">
        <f>PROPER(TEXT(DATE($B4,COLUMNS($C$7:F7),1),"mmm/aa"))</f>
        <v>Abr/20</v>
      </c>
      <c r="G7" s="19" t="str">
        <f>PROPER(TEXT(DATE($B4,COLUMNS($C$7:G7),1),"mmm/aa"))</f>
        <v>Mai/20</v>
      </c>
      <c r="H7" s="19" t="str">
        <f>PROPER(TEXT(DATE($B4,COLUMNS($C$7:H7),1),"mmm/aa"))</f>
        <v>Jun/20</v>
      </c>
      <c r="I7" s="19" t="str">
        <f>PROPER(TEXT(DATE($B4,COLUMNS($C$7:I7),1),"mmm/aa"))</f>
        <v>Jul/20</v>
      </c>
      <c r="J7" s="19" t="str">
        <f>PROPER(TEXT(DATE($B4,COLUMNS($C$7:J7),1),"mmm/aa"))</f>
        <v>Ago/20</v>
      </c>
      <c r="K7" s="19" t="str">
        <f>PROPER(TEXT(DATE($B4,COLUMNS($C$7:K7),1),"mmm/aa"))</f>
        <v>Set/20</v>
      </c>
      <c r="L7" s="19" t="str">
        <f>PROPER(TEXT(DATE($B4,COLUMNS($C$7:L7),1),"mmm/aa"))</f>
        <v>Out/20</v>
      </c>
      <c r="M7" s="19" t="str">
        <f>PROPER(TEXT(DATE($B4,COLUMNS($C$7:M7),1),"mmm/aa"))</f>
        <v>Nov/20</v>
      </c>
      <c r="N7" s="20" t="str">
        <f>PROPER(TEXT(DATE($B4,COLUMNS($C$7:N7),1),"mmm/aa"))</f>
        <v>Dez/20</v>
      </c>
      <c r="O7" s="18" t="s">
        <v>2</v>
      </c>
      <c r="P7" s="19" t="str">
        <f>PROPER(TEXT(DATE($O4,COLUMNS($P$7:P7),1),"mmm/aa"))</f>
        <v>Jan/21</v>
      </c>
      <c r="Q7" s="19" t="str">
        <f>PROPER(TEXT(DATE($O4,COLUMNS($P$7:Q7),1),"mmm/aa"))</f>
        <v>Fev/21</v>
      </c>
      <c r="R7" s="19" t="str">
        <f>PROPER(TEXT(DATE($O4,COLUMNS($P$7:R7),1),"mmm/aa"))</f>
        <v>Mar/21</v>
      </c>
      <c r="S7" s="19" t="str">
        <f>PROPER(TEXT(DATE($O4,COLUMNS($P$7:S7),1),"mmm/aa"))</f>
        <v>Abr/21</v>
      </c>
      <c r="T7" s="19" t="str">
        <f>PROPER(TEXT(DATE($O4,COLUMNS($P$7:T7),1),"mmm/aa"))</f>
        <v>Mai/21</v>
      </c>
      <c r="U7" s="19" t="str">
        <f>PROPER(TEXT(DATE($O4,COLUMNS($P$7:U7),1),"mmm/aa"))</f>
        <v>Jun/21</v>
      </c>
      <c r="V7" s="19" t="str">
        <f>PROPER(TEXT(DATE($O4,COLUMNS($P$7:V7),1),"mmm/aa"))</f>
        <v>Jul/21</v>
      </c>
      <c r="W7" s="19" t="str">
        <f>PROPER(TEXT(DATE($O4,COLUMNS($P$7:W7),1),"mmm/aa"))</f>
        <v>Ago/21</v>
      </c>
      <c r="X7" s="19" t="str">
        <f>PROPER(TEXT(DATE($O4,COLUMNS($P$7:X7),1),"mmm/aa"))</f>
        <v>Set/21</v>
      </c>
      <c r="Y7" s="19" t="str">
        <f>PROPER(TEXT(DATE($O4,COLUMNS($P$7:Y7),1),"mmm/aa"))</f>
        <v>Out/21</v>
      </c>
      <c r="Z7" s="19" t="str">
        <f>PROPER(TEXT(DATE($O4,COLUMNS($P$7:Z7),1),"mmm/aa"))</f>
        <v>Nov/21</v>
      </c>
      <c r="AA7" s="20" t="str">
        <f>PROPER(TEXT(DATE($O4,COLUMNS($P$7:AA7),1),"mmm/aa"))</f>
        <v>Dez/21</v>
      </c>
      <c r="AB7" s="18" t="s">
        <v>2</v>
      </c>
      <c r="AC7" s="19" t="str">
        <f>PROPER(TEXT(DATE($AB4,COLUMNS($AC$7:AC7),1),"mmm/aa"))</f>
        <v>Jan/22</v>
      </c>
      <c r="AD7" s="19" t="str">
        <f>PROPER(TEXT(DATE($AB4,COLUMNS($AC$7:AD7),1),"mmm/aa"))</f>
        <v>Fev/22</v>
      </c>
      <c r="AE7" s="19" t="str">
        <f>PROPER(TEXT(DATE($AB4,COLUMNS($AC$7:AE7),1),"mmm/aa"))</f>
        <v>Mar/22</v>
      </c>
      <c r="AF7" s="19" t="str">
        <f>PROPER(TEXT(DATE($AB4,COLUMNS($AC$7:AF7),1),"mmm/aa"))</f>
        <v>Abr/22</v>
      </c>
      <c r="AG7" s="19" t="str">
        <f>PROPER(TEXT(DATE($AB4,COLUMNS($AC$7:AG7),1),"mmm/aa"))</f>
        <v>Mai/22</v>
      </c>
      <c r="AH7" s="19" t="str">
        <f>PROPER(TEXT(DATE($AB4,COLUMNS($AC$7:AH7),1),"mmm/aa"))</f>
        <v>Jun/22</v>
      </c>
      <c r="AI7" s="19" t="str">
        <f>PROPER(TEXT(DATE($AB4,COLUMNS($AC$7:AI7),1),"mmm/aa"))</f>
        <v>Jul/22</v>
      </c>
      <c r="AJ7" s="19" t="str">
        <f>PROPER(TEXT(DATE($AB4,COLUMNS($AC$7:AJ7),1),"mmm/aa"))</f>
        <v>Ago/22</v>
      </c>
      <c r="AK7" s="19" t="str">
        <f>PROPER(TEXT(DATE($AB4,COLUMNS($AC$7:AK7),1),"mmm/aa"))</f>
        <v>Set/22</v>
      </c>
      <c r="AL7" s="19" t="str">
        <f>PROPER(TEXT(DATE($AB4,COLUMNS($AC$7:AL7),1),"mmm/aa"))</f>
        <v>Out/22</v>
      </c>
      <c r="AM7" s="19" t="str">
        <f>PROPER(TEXT(DATE($AB4,COLUMNS($AC$7:AM7),1),"mmm/aa"))</f>
        <v>Nov/22</v>
      </c>
      <c r="AN7" s="20" t="str">
        <f>PROPER(TEXT(DATE($AB4,COLUMNS($AC$7:AN7),1),"mmm/aa"))</f>
        <v>Dez/22</v>
      </c>
      <c r="AO7" s="18" t="s">
        <v>2</v>
      </c>
      <c r="AP7" s="19" t="str">
        <f>PROPER(TEXT(DATE($AO4,COLUMNS($AP$7:AP7),1),"mmm/aa"))</f>
        <v>Jan/23</v>
      </c>
      <c r="AQ7" s="19" t="str">
        <f>PROPER(TEXT(DATE($AO4,COLUMNS($AP$7:AQ7),1),"mmm/aa"))</f>
        <v>Fev/23</v>
      </c>
      <c r="AR7" s="19" t="str">
        <f>PROPER(TEXT(DATE($AO4,COLUMNS($AP$7:AR7),1),"mmm/aa"))</f>
        <v>Mar/23</v>
      </c>
      <c r="AS7" s="19" t="str">
        <f>PROPER(TEXT(DATE($AO4,COLUMNS($AP$7:AS7),1),"mmm/aa"))</f>
        <v>Abr/23</v>
      </c>
      <c r="AT7" s="19" t="str">
        <f>PROPER(TEXT(DATE($AO4,COLUMNS($AP$7:AT7),1),"mmm/aa"))</f>
        <v>Mai/23</v>
      </c>
      <c r="AU7" s="19" t="str">
        <f>PROPER(TEXT(DATE($AO4,COLUMNS($AP$7:AU7),1),"mmm/aa"))</f>
        <v>Jun/23</v>
      </c>
      <c r="AV7" s="19" t="str">
        <f>PROPER(TEXT(DATE($AO4,COLUMNS($AP$7:AV7),1),"mmm/aa"))</f>
        <v>Jul/23</v>
      </c>
      <c r="AW7" s="19" t="str">
        <f>PROPER(TEXT(DATE($AO4,COLUMNS($AP$7:AW7),1),"mmm/aa"))</f>
        <v>Ago/23</v>
      </c>
      <c r="AX7" s="19" t="str">
        <f>PROPER(TEXT(DATE($AO4,COLUMNS($AP$7:AX7),1),"mmm/aa"))</f>
        <v>Set/23</v>
      </c>
      <c r="AY7" s="19" t="str">
        <f>PROPER(TEXT(DATE($AO4,COLUMNS($AP$7:AY7),1),"mmm/aa"))</f>
        <v>Out/23</v>
      </c>
      <c r="AZ7" s="19" t="str">
        <f>PROPER(TEXT(DATE($AO4,COLUMNS($AP$7:AZ7),1),"mmm/aa"))</f>
        <v>Nov/23</v>
      </c>
      <c r="BA7" s="20" t="str">
        <f>PROPER(TEXT(DATE($AO4,COLUMNS($AP$7:BA7),1),"mmm/aa"))</f>
        <v>Dez/23</v>
      </c>
      <c r="BB7" s="52" t="s">
        <v>2</v>
      </c>
      <c r="BC7" s="19" t="str">
        <f>PROPER(TEXT(DATE($BB4,COLUMNS($BC$7:BC7),1),"mmm/aa"))</f>
        <v>Jan/24</v>
      </c>
      <c r="BD7" s="19" t="str">
        <f>PROPER(TEXT(DATE($BB4,COLUMNS($BC$7:BD7),1),"mmm/aa"))</f>
        <v>Fev/24</v>
      </c>
      <c r="BE7" s="19" t="str">
        <f>PROPER(TEXT(DATE($BB4,COLUMNS($BC$7:BE7),1),"mmm/aa"))</f>
        <v>Mar/24</v>
      </c>
      <c r="BF7" s="19" t="str">
        <f>PROPER(TEXT(DATE($BB4,COLUMNS($BC$7:BF7),1),"mmm/aa"))</f>
        <v>Abr/24</v>
      </c>
      <c r="BG7" s="19" t="str">
        <f>PROPER(TEXT(DATE($BB4,COLUMNS($BC$7:BG7),1),"mmm/aa"))</f>
        <v>Mai/24</v>
      </c>
      <c r="BH7" s="19" t="str">
        <f>PROPER(TEXT(DATE($BB4,COLUMNS($BC$7:BH7),1),"mmm/aa"))</f>
        <v>Jun/24</v>
      </c>
      <c r="BI7" s="19" t="str">
        <f>PROPER(TEXT(DATE($BB4,COLUMNS($BC$7:BI7),1),"mmm/aa"))</f>
        <v>Jul/24</v>
      </c>
      <c r="BJ7" s="19" t="str">
        <f>PROPER(TEXT(DATE($BB4,COLUMNS($BC$7:BJ7),1),"mmm/aa"))</f>
        <v>Ago/24</v>
      </c>
      <c r="BK7" s="19" t="str">
        <f>PROPER(TEXT(DATE($BB4,COLUMNS($BC$7:BK7),1),"mmm/aa"))</f>
        <v>Set/24</v>
      </c>
      <c r="BL7" s="19" t="str">
        <f>PROPER(TEXT(DATE($BB4,COLUMNS($BC$7:BL7),1),"mmm/aa"))</f>
        <v>Out/24</v>
      </c>
      <c r="BM7" s="19" t="str">
        <f>PROPER(TEXT(DATE($BB4,COLUMNS($BC$7:BM7),1),"mmm/aa"))</f>
        <v>Nov/24</v>
      </c>
      <c r="BN7" s="20" t="str">
        <f>PROPER(TEXT(DATE($BB4,COLUMNS($BC$7:BN7),1),"mmm/aa"))</f>
        <v>Dez/24</v>
      </c>
    </row>
    <row r="8" spans="1:68" outlineLevel="1" x14ac:dyDescent="0.3">
      <c r="A8" s="21" t="s">
        <v>61</v>
      </c>
      <c r="B8" s="22">
        <v>450</v>
      </c>
      <c r="C8" s="23">
        <v>30</v>
      </c>
      <c r="D8" s="23">
        <v>30</v>
      </c>
      <c r="E8" s="23"/>
      <c r="F8" s="23">
        <v>30</v>
      </c>
      <c r="G8" s="23"/>
      <c r="H8" s="23">
        <v>30</v>
      </c>
      <c r="I8" s="23"/>
      <c r="J8" s="23">
        <v>30</v>
      </c>
      <c r="K8" s="23"/>
      <c r="L8" s="23">
        <v>30</v>
      </c>
      <c r="M8" s="23"/>
      <c r="N8" s="24"/>
      <c r="O8" s="22">
        <f t="shared" ref="O8:O13" si="0">B8*(1+O$6)</f>
        <v>474.32432432432427</v>
      </c>
      <c r="P8" s="23">
        <v>60</v>
      </c>
      <c r="Q8" s="23"/>
      <c r="R8" s="23">
        <v>60</v>
      </c>
      <c r="S8" s="23"/>
      <c r="T8" s="23">
        <v>60</v>
      </c>
      <c r="U8" s="23"/>
      <c r="V8" s="23">
        <v>60</v>
      </c>
      <c r="W8" s="23"/>
      <c r="X8" s="23">
        <v>60</v>
      </c>
      <c r="Y8" s="23"/>
      <c r="Z8" s="23">
        <v>60</v>
      </c>
      <c r="AA8" s="24"/>
      <c r="AB8" s="22">
        <f t="shared" ref="AB8:AB13" si="1">O8*(1+AB$6)</f>
        <v>498.6486486486487</v>
      </c>
      <c r="AC8" s="23">
        <v>60</v>
      </c>
      <c r="AD8" s="23"/>
      <c r="AE8" s="23">
        <v>60</v>
      </c>
      <c r="AF8" s="23"/>
      <c r="AG8" s="23">
        <v>60</v>
      </c>
      <c r="AH8" s="23"/>
      <c r="AI8" s="23">
        <v>60</v>
      </c>
      <c r="AJ8" s="23"/>
      <c r="AK8" s="23">
        <v>60</v>
      </c>
      <c r="AL8" s="23"/>
      <c r="AM8" s="23">
        <v>60</v>
      </c>
      <c r="AN8" s="24"/>
      <c r="AO8" s="22">
        <f t="shared" ref="AO8:AO13" si="2">AB8*(1+AO$6)</f>
        <v>522.97297297297291</v>
      </c>
      <c r="AP8" s="23">
        <v>60</v>
      </c>
      <c r="AQ8" s="23"/>
      <c r="AR8" s="23">
        <v>60</v>
      </c>
      <c r="AS8" s="23"/>
      <c r="AT8" s="23">
        <v>60</v>
      </c>
      <c r="AU8" s="23"/>
      <c r="AV8" s="23">
        <v>60</v>
      </c>
      <c r="AW8" s="23"/>
      <c r="AX8" s="23">
        <v>60</v>
      </c>
      <c r="AY8" s="23"/>
      <c r="AZ8" s="23">
        <v>60</v>
      </c>
      <c r="BA8" s="24"/>
      <c r="BB8" s="53">
        <f t="shared" ref="BB8:BB13" si="3">AO8*(1+BB$6)</f>
        <v>547.29729729729706</v>
      </c>
      <c r="BC8" s="23">
        <v>60</v>
      </c>
      <c r="BD8" s="23"/>
      <c r="BE8" s="23">
        <v>60</v>
      </c>
      <c r="BF8" s="23"/>
      <c r="BG8" s="23">
        <v>60</v>
      </c>
      <c r="BH8" s="23"/>
      <c r="BI8" s="23">
        <v>60</v>
      </c>
      <c r="BJ8" s="23"/>
      <c r="BK8" s="23">
        <v>60</v>
      </c>
      <c r="BL8" s="23"/>
      <c r="BM8" s="23">
        <v>60</v>
      </c>
      <c r="BN8" s="24"/>
    </row>
    <row r="9" spans="1:68" outlineLevel="1" x14ac:dyDescent="0.3">
      <c r="A9" s="21" t="s">
        <v>62</v>
      </c>
      <c r="B9" s="22">
        <v>370</v>
      </c>
      <c r="C9" s="23">
        <v>40</v>
      </c>
      <c r="D9" s="23">
        <f>40+40+30</f>
        <v>110</v>
      </c>
      <c r="E9" s="23"/>
      <c r="F9" s="23">
        <f>40+40+30</f>
        <v>110</v>
      </c>
      <c r="G9" s="23"/>
      <c r="H9" s="23">
        <f>40+40+30</f>
        <v>110</v>
      </c>
      <c r="I9" s="23"/>
      <c r="J9" s="23">
        <f>40+40+30</f>
        <v>110</v>
      </c>
      <c r="K9" s="23"/>
      <c r="L9" s="23">
        <f>40+40+30</f>
        <v>110</v>
      </c>
      <c r="M9" s="23"/>
      <c r="N9" s="24">
        <v>40</v>
      </c>
      <c r="O9" s="22">
        <f t="shared" si="0"/>
        <v>389.99999999999994</v>
      </c>
      <c r="P9" s="23">
        <v>40</v>
      </c>
      <c r="Q9" s="23">
        <f>40+40+30+30</f>
        <v>140</v>
      </c>
      <c r="R9" s="23">
        <v>40</v>
      </c>
      <c r="S9" s="23">
        <f>40+40+30+30</f>
        <v>140</v>
      </c>
      <c r="T9" s="23">
        <v>40</v>
      </c>
      <c r="U9" s="23">
        <f>40+40+30+30</f>
        <v>140</v>
      </c>
      <c r="V9" s="23">
        <v>40</v>
      </c>
      <c r="W9" s="23">
        <f>40+40+30+30</f>
        <v>140</v>
      </c>
      <c r="X9" s="23">
        <v>40</v>
      </c>
      <c r="Y9" s="23">
        <f>40+40+30+30</f>
        <v>140</v>
      </c>
      <c r="Z9" s="23">
        <v>40</v>
      </c>
      <c r="AA9" s="24">
        <v>40</v>
      </c>
      <c r="AB9" s="22">
        <f t="shared" si="1"/>
        <v>410.00000000000006</v>
      </c>
      <c r="AC9" s="23">
        <v>40</v>
      </c>
      <c r="AD9" s="23">
        <f>40+40+30+30</f>
        <v>140</v>
      </c>
      <c r="AE9" s="23">
        <v>40</v>
      </c>
      <c r="AF9" s="23">
        <f>40+40+30+30</f>
        <v>140</v>
      </c>
      <c r="AG9" s="23">
        <v>40</v>
      </c>
      <c r="AH9" s="23">
        <f>40+40+30+30</f>
        <v>140</v>
      </c>
      <c r="AI9" s="23">
        <v>40</v>
      </c>
      <c r="AJ9" s="23">
        <f>40+40+30+30</f>
        <v>140</v>
      </c>
      <c r="AK9" s="23">
        <v>40</v>
      </c>
      <c r="AL9" s="23">
        <f>40+40+30+30</f>
        <v>140</v>
      </c>
      <c r="AM9" s="23">
        <v>40</v>
      </c>
      <c r="AN9" s="24">
        <v>40</v>
      </c>
      <c r="AO9" s="22">
        <f t="shared" si="2"/>
        <v>430</v>
      </c>
      <c r="AP9" s="23">
        <v>40</v>
      </c>
      <c r="AQ9" s="23">
        <f>40+40+30+30</f>
        <v>140</v>
      </c>
      <c r="AR9" s="23">
        <v>40</v>
      </c>
      <c r="AS9" s="23">
        <f>40+40+30+30</f>
        <v>140</v>
      </c>
      <c r="AT9" s="23">
        <v>40</v>
      </c>
      <c r="AU9" s="23">
        <f>40+40+30+30</f>
        <v>140</v>
      </c>
      <c r="AV9" s="23">
        <v>40</v>
      </c>
      <c r="AW9" s="23">
        <f>40+40+30+30</f>
        <v>140</v>
      </c>
      <c r="AX9" s="23">
        <v>40</v>
      </c>
      <c r="AY9" s="23">
        <f>40+40+30+30</f>
        <v>140</v>
      </c>
      <c r="AZ9" s="23">
        <v>40</v>
      </c>
      <c r="BA9" s="24">
        <v>40</v>
      </c>
      <c r="BB9" s="53">
        <f t="shared" si="3"/>
        <v>449.99999999999983</v>
      </c>
      <c r="BC9" s="23">
        <v>40</v>
      </c>
      <c r="BD9" s="23">
        <f>40+40+30+30</f>
        <v>140</v>
      </c>
      <c r="BE9" s="23">
        <v>40</v>
      </c>
      <c r="BF9" s="23">
        <f>40+40+30+30</f>
        <v>140</v>
      </c>
      <c r="BG9" s="23">
        <v>40</v>
      </c>
      <c r="BH9" s="23">
        <f>40+40+30+30</f>
        <v>140</v>
      </c>
      <c r="BI9" s="23">
        <v>40</v>
      </c>
      <c r="BJ9" s="23">
        <f>40+40+30+30</f>
        <v>140</v>
      </c>
      <c r="BK9" s="23">
        <v>40</v>
      </c>
      <c r="BL9" s="23">
        <f>40+40+30+30</f>
        <v>140</v>
      </c>
      <c r="BM9" s="23">
        <v>40</v>
      </c>
      <c r="BN9" s="24">
        <v>40</v>
      </c>
    </row>
    <row r="10" spans="1:68" outlineLevel="1" x14ac:dyDescent="0.3">
      <c r="A10" s="21" t="s">
        <v>63</v>
      </c>
      <c r="B10" s="22">
        <v>690</v>
      </c>
      <c r="C10" s="23"/>
      <c r="D10" s="23">
        <v>15</v>
      </c>
      <c r="E10" s="23"/>
      <c r="F10" s="23">
        <v>20</v>
      </c>
      <c r="G10" s="23"/>
      <c r="H10" s="23">
        <v>25</v>
      </c>
      <c r="I10" s="23"/>
      <c r="J10" s="23">
        <v>25</v>
      </c>
      <c r="K10" s="23"/>
      <c r="L10" s="23">
        <v>25</v>
      </c>
      <c r="M10" s="23"/>
      <c r="N10" s="24"/>
      <c r="O10" s="22">
        <f t="shared" si="0"/>
        <v>727.29729729729718</v>
      </c>
      <c r="P10" s="23"/>
      <c r="Q10" s="23">
        <v>15</v>
      </c>
      <c r="R10" s="23"/>
      <c r="S10" s="23">
        <v>20</v>
      </c>
      <c r="T10" s="23"/>
      <c r="U10" s="23">
        <v>25</v>
      </c>
      <c r="V10" s="23"/>
      <c r="W10" s="23">
        <v>25</v>
      </c>
      <c r="X10" s="23"/>
      <c r="Y10" s="23">
        <v>25</v>
      </c>
      <c r="Z10" s="23"/>
      <c r="AA10" s="24"/>
      <c r="AB10" s="22">
        <f t="shared" si="1"/>
        <v>764.5945945945947</v>
      </c>
      <c r="AC10" s="23"/>
      <c r="AD10" s="23">
        <v>20</v>
      </c>
      <c r="AE10" s="23"/>
      <c r="AF10" s="23">
        <v>25</v>
      </c>
      <c r="AG10" s="23"/>
      <c r="AH10" s="23">
        <v>30</v>
      </c>
      <c r="AI10" s="23"/>
      <c r="AJ10" s="23">
        <v>30</v>
      </c>
      <c r="AK10" s="23"/>
      <c r="AL10" s="23">
        <v>30</v>
      </c>
      <c r="AM10" s="23"/>
      <c r="AN10" s="24"/>
      <c r="AO10" s="22">
        <f t="shared" si="2"/>
        <v>801.89189189189187</v>
      </c>
      <c r="AP10" s="23"/>
      <c r="AQ10" s="23">
        <v>20</v>
      </c>
      <c r="AR10" s="23"/>
      <c r="AS10" s="23">
        <v>25</v>
      </c>
      <c r="AT10" s="23"/>
      <c r="AU10" s="23">
        <v>30</v>
      </c>
      <c r="AV10" s="23"/>
      <c r="AW10" s="23">
        <v>30</v>
      </c>
      <c r="AX10" s="23"/>
      <c r="AY10" s="23">
        <v>30</v>
      </c>
      <c r="AZ10" s="23"/>
      <c r="BA10" s="24"/>
      <c r="BB10" s="53">
        <f t="shared" si="3"/>
        <v>839.18918918918882</v>
      </c>
      <c r="BC10" s="23"/>
      <c r="BD10" s="23">
        <v>15</v>
      </c>
      <c r="BE10" s="23"/>
      <c r="BF10" s="23">
        <v>20</v>
      </c>
      <c r="BG10" s="23"/>
      <c r="BH10" s="23">
        <v>25</v>
      </c>
      <c r="BI10" s="23"/>
      <c r="BJ10" s="23">
        <v>25</v>
      </c>
      <c r="BK10" s="23"/>
      <c r="BL10" s="23">
        <v>25</v>
      </c>
      <c r="BM10" s="23"/>
      <c r="BN10" s="24"/>
    </row>
    <row r="11" spans="1:68" outlineLevel="1" x14ac:dyDescent="0.3">
      <c r="A11" s="21" t="s">
        <v>64</v>
      </c>
      <c r="B11" s="22">
        <v>450</v>
      </c>
      <c r="C11" s="23"/>
      <c r="D11" s="23">
        <v>5</v>
      </c>
      <c r="E11" s="23"/>
      <c r="F11" s="23"/>
      <c r="G11" s="23"/>
      <c r="H11" s="23">
        <v>5</v>
      </c>
      <c r="I11" s="23"/>
      <c r="J11" s="23"/>
      <c r="K11" s="23"/>
      <c r="L11" s="23">
        <v>5</v>
      </c>
      <c r="M11" s="23"/>
      <c r="N11" s="24"/>
      <c r="O11" s="22">
        <f t="shared" si="0"/>
        <v>474.32432432432427</v>
      </c>
      <c r="P11" s="23"/>
      <c r="Q11" s="23">
        <v>5</v>
      </c>
      <c r="R11" s="23"/>
      <c r="S11" s="23"/>
      <c r="T11" s="23"/>
      <c r="U11" s="23">
        <v>5</v>
      </c>
      <c r="V11" s="23"/>
      <c r="W11" s="23"/>
      <c r="X11" s="23"/>
      <c r="Y11" s="23">
        <v>5</v>
      </c>
      <c r="Z11" s="23"/>
      <c r="AA11" s="24"/>
      <c r="AB11" s="22">
        <f t="shared" si="1"/>
        <v>498.6486486486487</v>
      </c>
      <c r="AC11" s="23"/>
      <c r="AD11" s="23">
        <v>5</v>
      </c>
      <c r="AE11" s="23"/>
      <c r="AF11" s="23"/>
      <c r="AG11" s="23"/>
      <c r="AH11" s="23">
        <v>5</v>
      </c>
      <c r="AI11" s="23"/>
      <c r="AJ11" s="23"/>
      <c r="AK11" s="23"/>
      <c r="AL11" s="23">
        <v>5</v>
      </c>
      <c r="AM11" s="23"/>
      <c r="AN11" s="24"/>
      <c r="AO11" s="22">
        <f t="shared" si="2"/>
        <v>522.97297297297291</v>
      </c>
      <c r="AP11" s="23"/>
      <c r="AQ11" s="23">
        <v>5</v>
      </c>
      <c r="AR11" s="23"/>
      <c r="AS11" s="23"/>
      <c r="AT11" s="23"/>
      <c r="AU11" s="23">
        <v>5</v>
      </c>
      <c r="AV11" s="23"/>
      <c r="AW11" s="23"/>
      <c r="AX11" s="23"/>
      <c r="AY11" s="23">
        <v>5</v>
      </c>
      <c r="AZ11" s="23"/>
      <c r="BA11" s="24"/>
      <c r="BB11" s="53">
        <f t="shared" si="3"/>
        <v>547.29729729729706</v>
      </c>
      <c r="BC11" s="23"/>
      <c r="BD11" s="23">
        <v>5</v>
      </c>
      <c r="BE11" s="23"/>
      <c r="BF11" s="23"/>
      <c r="BG11" s="23"/>
      <c r="BH11" s="23">
        <v>5</v>
      </c>
      <c r="BI11" s="23"/>
      <c r="BJ11" s="23"/>
      <c r="BK11" s="23"/>
      <c r="BL11" s="23">
        <v>5</v>
      </c>
      <c r="BM11" s="23"/>
      <c r="BN11" s="24"/>
    </row>
    <row r="12" spans="1:68" outlineLevel="1" x14ac:dyDescent="0.3">
      <c r="A12" s="21" t="s">
        <v>65</v>
      </c>
      <c r="B12" s="22">
        <v>1000</v>
      </c>
      <c r="C12" s="23"/>
      <c r="D12" s="23"/>
      <c r="E12" s="23"/>
      <c r="F12" s="23">
        <v>5</v>
      </c>
      <c r="G12" s="23"/>
      <c r="H12" s="23"/>
      <c r="I12" s="23"/>
      <c r="J12" s="23">
        <v>5</v>
      </c>
      <c r="K12" s="23"/>
      <c r="L12" s="23"/>
      <c r="M12" s="23"/>
      <c r="N12" s="24"/>
      <c r="O12" s="22">
        <f t="shared" si="0"/>
        <v>1054.0540540540539</v>
      </c>
      <c r="P12" s="23"/>
      <c r="Q12" s="23"/>
      <c r="R12" s="23"/>
      <c r="S12" s="23">
        <v>5</v>
      </c>
      <c r="T12" s="23"/>
      <c r="U12" s="23"/>
      <c r="V12" s="23"/>
      <c r="W12" s="23">
        <v>5</v>
      </c>
      <c r="X12" s="23"/>
      <c r="Y12" s="23"/>
      <c r="Z12" s="23"/>
      <c r="AA12" s="24"/>
      <c r="AB12" s="22">
        <f t="shared" si="1"/>
        <v>1108.1081081081084</v>
      </c>
      <c r="AC12" s="23"/>
      <c r="AD12" s="23"/>
      <c r="AE12" s="23"/>
      <c r="AF12" s="23">
        <v>5</v>
      </c>
      <c r="AG12" s="23"/>
      <c r="AH12" s="23"/>
      <c r="AI12" s="23"/>
      <c r="AJ12" s="23">
        <v>5</v>
      </c>
      <c r="AK12" s="23"/>
      <c r="AL12" s="23"/>
      <c r="AM12" s="23"/>
      <c r="AN12" s="24"/>
      <c r="AO12" s="22">
        <f t="shared" si="2"/>
        <v>1162.1621621621623</v>
      </c>
      <c r="AP12" s="23"/>
      <c r="AQ12" s="23"/>
      <c r="AR12" s="23"/>
      <c r="AS12" s="23">
        <v>5</v>
      </c>
      <c r="AT12" s="23"/>
      <c r="AU12" s="23"/>
      <c r="AV12" s="23"/>
      <c r="AW12" s="23">
        <v>5</v>
      </c>
      <c r="AX12" s="23"/>
      <c r="AY12" s="23"/>
      <c r="AZ12" s="23"/>
      <c r="BA12" s="24"/>
      <c r="BB12" s="53">
        <f t="shared" si="3"/>
        <v>1216.216216216216</v>
      </c>
      <c r="BC12" s="23"/>
      <c r="BD12" s="23"/>
      <c r="BE12" s="23"/>
      <c r="BF12" s="23">
        <v>5</v>
      </c>
      <c r="BG12" s="23"/>
      <c r="BH12" s="23"/>
      <c r="BI12" s="23"/>
      <c r="BJ12" s="23">
        <v>5</v>
      </c>
      <c r="BK12" s="23"/>
      <c r="BL12" s="23"/>
      <c r="BM12" s="23"/>
      <c r="BN12" s="24"/>
    </row>
    <row r="13" spans="1:68" outlineLevel="1" x14ac:dyDescent="0.3">
      <c r="A13" s="21" t="s">
        <v>66</v>
      </c>
      <c r="B13" s="22">
        <v>1200</v>
      </c>
      <c r="C13" s="23"/>
      <c r="D13" s="23">
        <v>10</v>
      </c>
      <c r="E13" s="23">
        <v>10</v>
      </c>
      <c r="F13" s="23">
        <v>10</v>
      </c>
      <c r="G13" s="23">
        <v>10</v>
      </c>
      <c r="H13" s="23"/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4"/>
      <c r="O13" s="22">
        <f t="shared" si="0"/>
        <v>1264.8648648648648</v>
      </c>
      <c r="P13" s="23"/>
      <c r="Q13" s="23">
        <v>15</v>
      </c>
      <c r="R13" s="23">
        <v>15</v>
      </c>
      <c r="S13" s="23">
        <v>15</v>
      </c>
      <c r="T13" s="23">
        <v>15</v>
      </c>
      <c r="U13" s="23"/>
      <c r="V13" s="23">
        <v>15</v>
      </c>
      <c r="W13" s="23">
        <v>15</v>
      </c>
      <c r="X13" s="23">
        <v>15</v>
      </c>
      <c r="Y13" s="23">
        <v>15</v>
      </c>
      <c r="Z13" s="23">
        <v>15</v>
      </c>
      <c r="AA13" s="24"/>
      <c r="AB13" s="22">
        <f t="shared" si="1"/>
        <v>1329.72972972973</v>
      </c>
      <c r="AC13" s="23"/>
      <c r="AD13" s="23">
        <v>20</v>
      </c>
      <c r="AE13" s="23">
        <v>20</v>
      </c>
      <c r="AF13" s="23">
        <v>20</v>
      </c>
      <c r="AG13" s="23">
        <v>20</v>
      </c>
      <c r="AH13" s="23"/>
      <c r="AI13" s="23">
        <v>20</v>
      </c>
      <c r="AJ13" s="23">
        <v>20</v>
      </c>
      <c r="AK13" s="23">
        <v>20</v>
      </c>
      <c r="AL13" s="23">
        <v>20</v>
      </c>
      <c r="AM13" s="23">
        <v>20</v>
      </c>
      <c r="AN13" s="24"/>
      <c r="AO13" s="22">
        <f t="shared" si="2"/>
        <v>1394.5945945945946</v>
      </c>
      <c r="AP13" s="23"/>
      <c r="AQ13" s="23">
        <v>20</v>
      </c>
      <c r="AR13" s="23">
        <v>20</v>
      </c>
      <c r="AS13" s="23">
        <v>20</v>
      </c>
      <c r="AT13" s="23">
        <v>20</v>
      </c>
      <c r="AU13" s="23"/>
      <c r="AV13" s="23">
        <v>20</v>
      </c>
      <c r="AW13" s="23">
        <v>20</v>
      </c>
      <c r="AX13" s="23">
        <v>20</v>
      </c>
      <c r="AY13" s="23">
        <v>20</v>
      </c>
      <c r="AZ13" s="23">
        <v>20</v>
      </c>
      <c r="BA13" s="24"/>
      <c r="BB13" s="53">
        <f t="shared" si="3"/>
        <v>1459.4594594594589</v>
      </c>
      <c r="BC13" s="23"/>
      <c r="BD13" s="23">
        <v>20</v>
      </c>
      <c r="BE13" s="23">
        <v>20</v>
      </c>
      <c r="BF13" s="23">
        <v>20</v>
      </c>
      <c r="BG13" s="23">
        <v>20</v>
      </c>
      <c r="BH13" s="23"/>
      <c r="BI13" s="23">
        <v>20</v>
      </c>
      <c r="BJ13" s="23">
        <v>20</v>
      </c>
      <c r="BK13" s="23">
        <v>20</v>
      </c>
      <c r="BL13" s="23">
        <v>20</v>
      </c>
      <c r="BM13" s="23">
        <v>20</v>
      </c>
      <c r="BN13" s="24"/>
    </row>
    <row r="14" spans="1:68" outlineLevel="1" x14ac:dyDescent="0.3">
      <c r="A14" s="21" t="s">
        <v>67</v>
      </c>
      <c r="B14" s="25">
        <f>SUM(C14:N14)</f>
        <v>514750</v>
      </c>
      <c r="C14" s="26">
        <f>SUMPRODUCT(B8:B13,C8:C13)</f>
        <v>28300</v>
      </c>
      <c r="D14" s="26">
        <f>SUMPRODUCT(B8:B13,D8:D13)</f>
        <v>78800</v>
      </c>
      <c r="E14" s="26">
        <f>SUMPRODUCT(B8:B13,E8:E13)</f>
        <v>12000</v>
      </c>
      <c r="F14" s="26">
        <f>SUMPRODUCT(B8:B13,F8:F13)</f>
        <v>85000</v>
      </c>
      <c r="G14" s="26">
        <f>SUMPRODUCT(B8:B13,G8:G13)</f>
        <v>12000</v>
      </c>
      <c r="H14" s="26">
        <f>SUMPRODUCT(B8:B13,H8:H13)</f>
        <v>73700</v>
      </c>
      <c r="I14" s="26">
        <f>SUMPRODUCT(B8:B13,I8:I13)</f>
        <v>12000</v>
      </c>
      <c r="J14" s="26">
        <f>SUMPRODUCT(B8:B13,J8:J13)</f>
        <v>88450</v>
      </c>
      <c r="K14" s="26">
        <f>SUMPRODUCT(B8:B13,K8:K13)</f>
        <v>12000</v>
      </c>
      <c r="L14" s="26">
        <f>SUMPRODUCT(B8:B13,L8:L13)</f>
        <v>85700</v>
      </c>
      <c r="M14" s="26">
        <f>SUMPRODUCT(B8:B13,M8:M13)</f>
        <v>12000</v>
      </c>
      <c r="N14" s="27">
        <f>SUMPRODUCT(B8:B13,N8:N13)</f>
        <v>14800</v>
      </c>
      <c r="O14" s="25">
        <f>SUM(P14:AA14)</f>
        <v>821371.62162162142</v>
      </c>
      <c r="P14" s="26">
        <f>SUMPRODUCT(O8:O13,P8:P13)</f>
        <v>44059.459459459453</v>
      </c>
      <c r="Q14" s="26">
        <f>SUMPRODUCT(O8:O13,Q8:Q13)</f>
        <v>86854.054054054053</v>
      </c>
      <c r="R14" s="26">
        <f>SUMPRODUCT(O8:O13,R8:R13)</f>
        <v>63032.432432432426</v>
      </c>
      <c r="S14" s="26">
        <f>SUMPRODUCT(O8:O13,S8:S13)</f>
        <v>93389.189189189172</v>
      </c>
      <c r="T14" s="26">
        <f>SUMPRODUCT(O8:O13,T8:T13)</f>
        <v>63032.432432432426</v>
      </c>
      <c r="U14" s="26">
        <f>SUMPRODUCT(O8:O13,U8:U13)</f>
        <v>75154.054054054053</v>
      </c>
      <c r="V14" s="26">
        <f>SUMPRODUCT(O8:O13,V8:V13)</f>
        <v>63032.432432432426</v>
      </c>
      <c r="W14" s="26">
        <f>SUMPRODUCT(O8:O13,W8:W13)</f>
        <v>97025.675675675666</v>
      </c>
      <c r="X14" s="26">
        <f>SUMPRODUCT(O8:O13,X8:X13)</f>
        <v>63032.432432432426</v>
      </c>
      <c r="Y14" s="26">
        <f>SUMPRODUCT(O8:O13,Y8:Y13)</f>
        <v>94127.027027027027</v>
      </c>
      <c r="Z14" s="26">
        <f>SUMPRODUCT(O8:O13,Z8:Z13)</f>
        <v>63032.432432432426</v>
      </c>
      <c r="AA14" s="27">
        <f>SUMPRODUCT(O8:O13,AA8:AA13)</f>
        <v>15599.999999999998</v>
      </c>
      <c r="AB14" s="25">
        <f>SUM(AC14:AN14)</f>
        <v>942445.94594594592</v>
      </c>
      <c r="AC14" s="26">
        <f>SUMPRODUCT(AB8:AB13,AC8:AC13)</f>
        <v>46318.918918918927</v>
      </c>
      <c r="AD14" s="26">
        <f>SUMPRODUCT(AB8:AB13,AD8:AD13)</f>
        <v>101779.72972972973</v>
      </c>
      <c r="AE14" s="26">
        <f>SUMPRODUCT(AB8:AB13,AE8:AE13)</f>
        <v>72913.513513513521</v>
      </c>
      <c r="AF14" s="26">
        <f>SUMPRODUCT(AB8:AB13,AF8:AF13)</f>
        <v>108650.00000000003</v>
      </c>
      <c r="AG14" s="26">
        <f>SUMPRODUCT(AB8:AB13,AG8:AG13)</f>
        <v>72913.513513513521</v>
      </c>
      <c r="AH14" s="26">
        <f>SUMPRODUCT(AB8:AB13,AH8:AH13)</f>
        <v>82831.08108108108</v>
      </c>
      <c r="AI14" s="26">
        <f>SUMPRODUCT(AB8:AB13,AI8:AI13)</f>
        <v>72913.513513513521</v>
      </c>
      <c r="AJ14" s="26">
        <f>SUMPRODUCT(AB8:AB13,AJ8:AJ13)</f>
        <v>112472.97297297299</v>
      </c>
      <c r="AK14" s="26">
        <f>SUMPRODUCT(AB8:AB13,AK8:AK13)</f>
        <v>72913.513513513521</v>
      </c>
      <c r="AL14" s="26">
        <f>SUMPRODUCT(AB8:AB13,AL8:AL13)</f>
        <v>109425.67567567568</v>
      </c>
      <c r="AM14" s="26">
        <f>SUMPRODUCT(AB8:AB13,AM8:AM13)</f>
        <v>72913.513513513521</v>
      </c>
      <c r="AN14" s="27">
        <f>SUMPRODUCT(AB8:AB13,AN8:AN13)</f>
        <v>16400.000000000004</v>
      </c>
      <c r="AO14" s="25">
        <f>SUM(AP14:BA14)</f>
        <v>988418.91891891893</v>
      </c>
      <c r="AP14" s="26">
        <f>SUMPRODUCT(AO8:AO13,AP8:AP13)</f>
        <v>48578.378378378373</v>
      </c>
      <c r="AQ14" s="26">
        <f>SUMPRODUCT(AO8:AO13,AQ8:AQ13)</f>
        <v>106744.5945945946</v>
      </c>
      <c r="AR14" s="26">
        <f>SUMPRODUCT(AO8:AO13,AR8:AR13)</f>
        <v>76470.270270270266</v>
      </c>
      <c r="AS14" s="26">
        <f>SUMPRODUCT(AO8:AO13,AS8:AS13)</f>
        <v>113950</v>
      </c>
      <c r="AT14" s="26">
        <f>SUMPRODUCT(AO8:AO13,AT8:AT13)</f>
        <v>76470.270270270266</v>
      </c>
      <c r="AU14" s="26">
        <f>SUMPRODUCT(AO8:AO13,AU8:AU13)</f>
        <v>86871.621621621627</v>
      </c>
      <c r="AV14" s="26">
        <f>SUMPRODUCT(AO8:AO13,AV8:AV13)</f>
        <v>76470.270270270266</v>
      </c>
      <c r="AW14" s="26">
        <f>SUMPRODUCT(AO8:AO13,AW8:AW13)</f>
        <v>117959.45945945947</v>
      </c>
      <c r="AX14" s="26">
        <f>SUMPRODUCT(AO8:AO13,AX8:AX13)</f>
        <v>76470.270270270266</v>
      </c>
      <c r="AY14" s="26">
        <f>SUMPRODUCT(AO8:AO13,AY8:AY13)</f>
        <v>114763.51351351352</v>
      </c>
      <c r="AZ14" s="26">
        <f>SUMPRODUCT(AO8:AO13,AZ8:AZ13)</f>
        <v>76470.270270270266</v>
      </c>
      <c r="BA14" s="27">
        <f>SUMPRODUCT(AO8:AO13,BA8:BA13)</f>
        <v>17200</v>
      </c>
      <c r="BB14" s="54">
        <f>SUM(BC14:BN14)</f>
        <v>1013412.1621621618</v>
      </c>
      <c r="BC14" s="26">
        <f>SUMPRODUCT(BB8:BB13,BC8:BC13)</f>
        <v>50837.837837837818</v>
      </c>
      <c r="BD14" s="26">
        <f>SUMPRODUCT(BB8:BB13,BD8:BD13)</f>
        <v>107513.51351351346</v>
      </c>
      <c r="BE14" s="26">
        <f>SUMPRODUCT(BB8:BB13,BE8:BE13)</f>
        <v>80027.027027026998</v>
      </c>
      <c r="BF14" s="26">
        <f>SUMPRODUCT(BB8:BB13,BF8:BF13)</f>
        <v>115054.05405405402</v>
      </c>
      <c r="BG14" s="26">
        <f>SUMPRODUCT(BB8:BB13,BG8:BG13)</f>
        <v>80027.027027026998</v>
      </c>
      <c r="BH14" s="26">
        <f>SUMPRODUCT(BB8:BB13,BH8:BH13)</f>
        <v>86716.216216216184</v>
      </c>
      <c r="BI14" s="26">
        <f>SUMPRODUCT(BB8:BB13,BI8:BI13)</f>
        <v>80027.027027026998</v>
      </c>
      <c r="BJ14" s="26">
        <f>SUMPRODUCT(BB8:BB13,BJ8:BJ13)</f>
        <v>119249.99999999997</v>
      </c>
      <c r="BK14" s="26">
        <f>SUMPRODUCT(BB8:BB13,BK8:BK13)</f>
        <v>80027.027027026998</v>
      </c>
      <c r="BL14" s="26">
        <f>SUMPRODUCT(BB8:BB13,BL8:BL13)</f>
        <v>115905.40540540536</v>
      </c>
      <c r="BM14" s="26">
        <f>SUMPRODUCT(BB8:BB13,BM8:BM13)</f>
        <v>80027.027027026998</v>
      </c>
      <c r="BN14" s="27">
        <f>SUMPRODUCT(BB8:BB13,BN8:BN13)</f>
        <v>17999.999999999993</v>
      </c>
    </row>
    <row r="15" spans="1:68" s="28" customFormat="1" ht="6.75" customHeight="1" outlineLevel="1" x14ac:dyDescent="0.3">
      <c r="C15" s="29"/>
      <c r="D15" s="29"/>
      <c r="E15" s="29"/>
      <c r="F15" s="29"/>
      <c r="G15" s="29"/>
      <c r="I15" s="29"/>
      <c r="J15" s="29"/>
      <c r="K15" s="29"/>
      <c r="L15" s="29"/>
      <c r="M15" s="29"/>
      <c r="P15" s="29"/>
      <c r="Q15" s="29"/>
      <c r="R15" s="29"/>
      <c r="S15" s="29"/>
      <c r="T15" s="29"/>
      <c r="V15" s="29"/>
      <c r="W15" s="29"/>
      <c r="X15" s="29"/>
      <c r="Y15" s="29"/>
      <c r="Z15" s="29"/>
      <c r="AC15" s="29"/>
      <c r="AD15" s="29"/>
      <c r="AE15" s="29"/>
      <c r="AF15" s="29"/>
      <c r="AG15" s="29"/>
      <c r="AI15" s="29"/>
      <c r="AJ15" s="29"/>
      <c r="AK15" s="29"/>
      <c r="AL15" s="29"/>
      <c r="AM15" s="29"/>
      <c r="AP15" s="29"/>
      <c r="AQ15" s="29"/>
      <c r="AR15" s="29"/>
      <c r="AS15" s="29"/>
      <c r="AT15" s="29"/>
      <c r="AV15" s="29"/>
      <c r="AW15" s="29"/>
      <c r="AX15" s="29"/>
      <c r="AY15" s="29"/>
      <c r="AZ15" s="29"/>
      <c r="BC15" s="29"/>
      <c r="BD15" s="29"/>
      <c r="BE15" s="29"/>
      <c r="BF15" s="29"/>
      <c r="BG15" s="29"/>
      <c r="BI15" s="29"/>
      <c r="BJ15" s="29"/>
      <c r="BK15" s="29"/>
      <c r="BL15" s="29"/>
      <c r="BM15" s="29"/>
    </row>
    <row r="16" spans="1:68" outlineLevel="1" x14ac:dyDescent="0.3">
      <c r="A16" s="21" t="s">
        <v>1</v>
      </c>
      <c r="B16" s="25">
        <f>SUM(C16:N16)</f>
        <v>10000</v>
      </c>
      <c r="C16" s="26">
        <v>5000</v>
      </c>
      <c r="D16" s="26">
        <v>0</v>
      </c>
      <c r="E16" s="26">
        <v>0</v>
      </c>
      <c r="F16" s="26">
        <v>0</v>
      </c>
      <c r="G16" s="26">
        <v>0</v>
      </c>
      <c r="H16" s="26">
        <v>5000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30">
        <v>0</v>
      </c>
      <c r="O16" s="25">
        <f>SUM(P16:AA16)</f>
        <v>10000</v>
      </c>
      <c r="P16" s="26">
        <v>5000</v>
      </c>
      <c r="Q16" s="26">
        <v>0</v>
      </c>
      <c r="R16" s="26">
        <v>0</v>
      </c>
      <c r="S16" s="26">
        <v>0</v>
      </c>
      <c r="T16" s="26">
        <v>0</v>
      </c>
      <c r="U16" s="26">
        <v>5000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30">
        <v>0</v>
      </c>
      <c r="AB16" s="25">
        <f>SUM(AC16:AN16)</f>
        <v>10000</v>
      </c>
      <c r="AC16" s="26">
        <v>5000</v>
      </c>
      <c r="AD16" s="26">
        <v>0</v>
      </c>
      <c r="AE16" s="26">
        <v>0</v>
      </c>
      <c r="AF16" s="26">
        <v>0</v>
      </c>
      <c r="AG16" s="26">
        <v>0</v>
      </c>
      <c r="AH16" s="26">
        <v>5000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30">
        <v>0</v>
      </c>
      <c r="AO16" s="25">
        <f>SUM(AP16:BA16)</f>
        <v>10000</v>
      </c>
      <c r="AP16" s="26">
        <v>5000</v>
      </c>
      <c r="AQ16" s="26">
        <v>0</v>
      </c>
      <c r="AR16" s="26">
        <v>0</v>
      </c>
      <c r="AS16" s="26">
        <v>0</v>
      </c>
      <c r="AT16" s="26">
        <v>0</v>
      </c>
      <c r="AU16" s="26">
        <v>5000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30">
        <v>0</v>
      </c>
      <c r="BB16" s="55">
        <f>SUM(BC16:BN16)</f>
        <v>10000</v>
      </c>
      <c r="BC16" s="26">
        <v>5000</v>
      </c>
      <c r="BD16" s="26">
        <v>0</v>
      </c>
      <c r="BE16" s="26">
        <v>0</v>
      </c>
      <c r="BF16" s="26">
        <v>0</v>
      </c>
      <c r="BG16" s="26">
        <v>0</v>
      </c>
      <c r="BH16" s="26">
        <v>5000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30">
        <v>0</v>
      </c>
    </row>
    <row r="17" spans="1:66" ht="6.75" customHeight="1" x14ac:dyDescent="0.3"/>
    <row r="18" spans="1:66" x14ac:dyDescent="0.3">
      <c r="A18" s="31" t="s">
        <v>2</v>
      </c>
      <c r="B18" s="32">
        <f t="shared" ref="B18:AA18" si="4">B14+B16</f>
        <v>524750</v>
      </c>
      <c r="C18" s="33">
        <f t="shared" si="4"/>
        <v>33300</v>
      </c>
      <c r="D18" s="33">
        <f t="shared" si="4"/>
        <v>78800</v>
      </c>
      <c r="E18" s="33">
        <f t="shared" si="4"/>
        <v>12000</v>
      </c>
      <c r="F18" s="33">
        <f t="shared" si="4"/>
        <v>85000</v>
      </c>
      <c r="G18" s="33">
        <f t="shared" si="4"/>
        <v>12000</v>
      </c>
      <c r="H18" s="33">
        <f t="shared" si="4"/>
        <v>78700</v>
      </c>
      <c r="I18" s="33">
        <f t="shared" si="4"/>
        <v>12000</v>
      </c>
      <c r="J18" s="33">
        <f t="shared" si="4"/>
        <v>88450</v>
      </c>
      <c r="K18" s="33">
        <f t="shared" si="4"/>
        <v>12000</v>
      </c>
      <c r="L18" s="33">
        <f t="shared" si="4"/>
        <v>85700</v>
      </c>
      <c r="M18" s="33">
        <f t="shared" si="4"/>
        <v>12000</v>
      </c>
      <c r="N18" s="34">
        <f t="shared" si="4"/>
        <v>14800</v>
      </c>
      <c r="O18" s="32">
        <f t="shared" si="4"/>
        <v>831371.62162162142</v>
      </c>
      <c r="P18" s="33">
        <f t="shared" si="4"/>
        <v>49059.459459459453</v>
      </c>
      <c r="Q18" s="33">
        <f t="shared" si="4"/>
        <v>86854.054054054053</v>
      </c>
      <c r="R18" s="33">
        <f t="shared" si="4"/>
        <v>63032.432432432426</v>
      </c>
      <c r="S18" s="33">
        <f t="shared" si="4"/>
        <v>93389.189189189172</v>
      </c>
      <c r="T18" s="33">
        <f t="shared" si="4"/>
        <v>63032.432432432426</v>
      </c>
      <c r="U18" s="33">
        <f t="shared" si="4"/>
        <v>80154.054054054053</v>
      </c>
      <c r="V18" s="33">
        <f t="shared" si="4"/>
        <v>63032.432432432426</v>
      </c>
      <c r="W18" s="33">
        <f t="shared" si="4"/>
        <v>97025.675675675666</v>
      </c>
      <c r="X18" s="33">
        <f t="shared" si="4"/>
        <v>63032.432432432426</v>
      </c>
      <c r="Y18" s="33">
        <f t="shared" si="4"/>
        <v>94127.027027027027</v>
      </c>
      <c r="Z18" s="33">
        <f t="shared" si="4"/>
        <v>63032.432432432426</v>
      </c>
      <c r="AA18" s="34">
        <f t="shared" si="4"/>
        <v>15599.999999999998</v>
      </c>
      <c r="AB18" s="32">
        <f t="shared" ref="AB18:BG18" si="5">AB14+AB16</f>
        <v>952445.94594594592</v>
      </c>
      <c r="AC18" s="33">
        <f t="shared" si="5"/>
        <v>51318.918918918927</v>
      </c>
      <c r="AD18" s="33">
        <f t="shared" si="5"/>
        <v>101779.72972972973</v>
      </c>
      <c r="AE18" s="33">
        <f t="shared" si="5"/>
        <v>72913.513513513521</v>
      </c>
      <c r="AF18" s="33">
        <f t="shared" si="5"/>
        <v>108650.00000000003</v>
      </c>
      <c r="AG18" s="33">
        <f t="shared" si="5"/>
        <v>72913.513513513521</v>
      </c>
      <c r="AH18" s="33">
        <f t="shared" si="5"/>
        <v>87831.08108108108</v>
      </c>
      <c r="AI18" s="33">
        <f t="shared" si="5"/>
        <v>72913.513513513521</v>
      </c>
      <c r="AJ18" s="33">
        <f t="shared" si="5"/>
        <v>112472.97297297299</v>
      </c>
      <c r="AK18" s="33">
        <f t="shared" si="5"/>
        <v>72913.513513513521</v>
      </c>
      <c r="AL18" s="33">
        <f t="shared" si="5"/>
        <v>109425.67567567568</v>
      </c>
      <c r="AM18" s="33">
        <f t="shared" si="5"/>
        <v>72913.513513513521</v>
      </c>
      <c r="AN18" s="34">
        <f t="shared" si="5"/>
        <v>16400.000000000004</v>
      </c>
      <c r="AO18" s="32">
        <f t="shared" si="5"/>
        <v>998418.91891891893</v>
      </c>
      <c r="AP18" s="33">
        <f t="shared" si="5"/>
        <v>53578.378378378373</v>
      </c>
      <c r="AQ18" s="33">
        <f t="shared" si="5"/>
        <v>106744.5945945946</v>
      </c>
      <c r="AR18" s="33">
        <f t="shared" si="5"/>
        <v>76470.270270270266</v>
      </c>
      <c r="AS18" s="33">
        <f t="shared" si="5"/>
        <v>113950</v>
      </c>
      <c r="AT18" s="33">
        <f t="shared" si="5"/>
        <v>76470.270270270266</v>
      </c>
      <c r="AU18" s="33">
        <f t="shared" si="5"/>
        <v>91871.621621621627</v>
      </c>
      <c r="AV18" s="33">
        <f t="shared" si="5"/>
        <v>76470.270270270266</v>
      </c>
      <c r="AW18" s="33">
        <f t="shared" si="5"/>
        <v>117959.45945945947</v>
      </c>
      <c r="AX18" s="33">
        <f t="shared" si="5"/>
        <v>76470.270270270266</v>
      </c>
      <c r="AY18" s="33">
        <f t="shared" si="5"/>
        <v>114763.51351351352</v>
      </c>
      <c r="AZ18" s="33">
        <f t="shared" si="5"/>
        <v>76470.270270270266</v>
      </c>
      <c r="BA18" s="34">
        <f t="shared" si="5"/>
        <v>17200</v>
      </c>
      <c r="BB18" s="56">
        <f t="shared" si="5"/>
        <v>1023412.1621621618</v>
      </c>
      <c r="BC18" s="33">
        <f t="shared" si="5"/>
        <v>55837.837837837818</v>
      </c>
      <c r="BD18" s="33">
        <f t="shared" si="5"/>
        <v>107513.51351351346</v>
      </c>
      <c r="BE18" s="33">
        <f t="shared" si="5"/>
        <v>80027.027027026998</v>
      </c>
      <c r="BF18" s="33">
        <f t="shared" si="5"/>
        <v>115054.05405405402</v>
      </c>
      <c r="BG18" s="33">
        <f t="shared" si="5"/>
        <v>80027.027027026998</v>
      </c>
      <c r="BH18" s="33">
        <f t="shared" ref="BH18:BN18" si="6">BH14+BH16</f>
        <v>91716.216216216184</v>
      </c>
      <c r="BI18" s="33">
        <f t="shared" si="6"/>
        <v>80027.027027026998</v>
      </c>
      <c r="BJ18" s="33">
        <f t="shared" si="6"/>
        <v>119249.99999999997</v>
      </c>
      <c r="BK18" s="33">
        <f t="shared" si="6"/>
        <v>80027.027027026998</v>
      </c>
      <c r="BL18" s="33">
        <f t="shared" si="6"/>
        <v>115905.40540540536</v>
      </c>
      <c r="BM18" s="33">
        <f t="shared" si="6"/>
        <v>80027.027027026998</v>
      </c>
      <c r="BN18" s="34">
        <f t="shared" si="6"/>
        <v>17999.999999999993</v>
      </c>
    </row>
    <row r="20" spans="1:66" x14ac:dyDescent="0.3">
      <c r="A20" s="35" t="s">
        <v>3</v>
      </c>
      <c r="B20" s="36">
        <f>SUM(C20:N20)</f>
        <v>280108.75</v>
      </c>
      <c r="C20" s="37">
        <f t="shared" ref="C20" si="7">SUM(C21:C34)</f>
        <v>22664.5</v>
      </c>
      <c r="D20" s="37">
        <f t="shared" ref="D20" si="8">SUM(D21:D34)</f>
        <v>25622</v>
      </c>
      <c r="E20" s="37">
        <f t="shared" ref="E20" si="9">SUM(E21:E34)</f>
        <v>21280</v>
      </c>
      <c r="F20" s="37">
        <f t="shared" ref="F20" si="10">SUM(F21:F34)</f>
        <v>26025</v>
      </c>
      <c r="G20" s="37">
        <f t="shared" ref="G20" si="11">SUM(G21:G34)</f>
        <v>21280</v>
      </c>
      <c r="H20" s="37">
        <f t="shared" ref="H20" si="12">SUM(H21:H34)</f>
        <v>25615.5</v>
      </c>
      <c r="I20" s="37">
        <f t="shared" ref="I20" si="13">SUM(I21:I34)</f>
        <v>21280</v>
      </c>
      <c r="J20" s="37">
        <f t="shared" ref="J20" si="14">SUM(J21:J34)</f>
        <v>26249.25</v>
      </c>
      <c r="K20" s="37">
        <f t="shared" ref="K20" si="15">SUM(K21:K34)</f>
        <v>21280</v>
      </c>
      <c r="L20" s="37">
        <f t="shared" ref="L20" si="16">SUM(L21:L34)</f>
        <v>26070.5</v>
      </c>
      <c r="M20" s="37">
        <f t="shared" ref="M20" si="17">SUM(M21:M34)</f>
        <v>21280</v>
      </c>
      <c r="N20" s="38">
        <f t="shared" ref="N20" si="18">SUM(N21:N34)</f>
        <v>21462</v>
      </c>
      <c r="O20" s="36">
        <f t="shared" ref="O20:O33" si="19">SUM(P20:AA20)</f>
        <v>313336.45270270266</v>
      </c>
      <c r="P20" s="37">
        <f t="shared" ref="P20" si="20">SUM(P21:P34)</f>
        <v>24796.972972972966</v>
      </c>
      <c r="Q20" s="37">
        <f t="shared" ref="Q20" si="21">SUM(Q21:Q34)</f>
        <v>27253.621621621613</v>
      </c>
      <c r="R20" s="37">
        <f t="shared" ref="R20" si="22">SUM(R21:R34)</f>
        <v>25705.216216216206</v>
      </c>
      <c r="S20" s="37">
        <f t="shared" ref="S20" si="23">SUM(S21:S34)</f>
        <v>27678.405405405396</v>
      </c>
      <c r="T20" s="37">
        <f t="shared" ref="T20" si="24">SUM(T21:T34)</f>
        <v>25705.216216216206</v>
      </c>
      <c r="U20" s="37">
        <f t="shared" ref="U20" si="25">SUM(U21:U34)</f>
        <v>26818.121621621613</v>
      </c>
      <c r="V20" s="37">
        <f t="shared" ref="V20" si="26">SUM(V21:V34)</f>
        <v>25705.216216216206</v>
      </c>
      <c r="W20" s="37">
        <f t="shared" ref="W20" si="27">SUM(W21:W34)</f>
        <v>27914.777027027019</v>
      </c>
      <c r="X20" s="37">
        <f t="shared" ref="X20" si="28">SUM(X21:X34)</f>
        <v>25705.216216216206</v>
      </c>
      <c r="Y20" s="37">
        <f t="shared" ref="Y20" si="29">SUM(Y21:Y34)</f>
        <v>27726.364864864856</v>
      </c>
      <c r="Z20" s="37">
        <f t="shared" ref="Z20" si="30">SUM(Z21:Z34)</f>
        <v>25705.216216216206</v>
      </c>
      <c r="AA20" s="38">
        <f t="shared" ref="AA20" si="31">SUM(AA21:AA34)</f>
        <v>22622.108108108103</v>
      </c>
      <c r="AB20" s="36">
        <f t="shared" ref="AB20:AB33" si="32">SUM(AC20:AN20)</f>
        <v>291622.29054054053</v>
      </c>
      <c r="AC20" s="37">
        <f t="shared" ref="AC20" si="33">SUM(AC21:AC34)</f>
        <v>23944.435135135136</v>
      </c>
      <c r="AD20" s="37">
        <f t="shared" ref="AD20" si="34">SUM(AD21:AD34)</f>
        <v>24700.920945945945</v>
      </c>
      <c r="AE20" s="37">
        <f t="shared" ref="AE20" si="35">SUM(AE21:AE34)</f>
        <v>24138.029729729729</v>
      </c>
      <c r="AF20" s="37">
        <f t="shared" ref="AF20" si="36">SUM(AF21:AF34)</f>
        <v>24834.891216216216</v>
      </c>
      <c r="AG20" s="37">
        <f t="shared" ref="AG20" si="37">SUM(AG21:AG34)</f>
        <v>24138.029729729729</v>
      </c>
      <c r="AH20" s="37">
        <f t="shared" ref="AH20" si="38">SUM(AH21:AH34)</f>
        <v>24656.422297297293</v>
      </c>
      <c r="AI20" s="37">
        <f t="shared" ref="AI20" si="39">SUM(AI21:AI34)</f>
        <v>24138.029729729729</v>
      </c>
      <c r="AJ20" s="37">
        <f t="shared" ref="AJ20" si="40">SUM(AJ21:AJ34)</f>
        <v>24909.439189189186</v>
      </c>
      <c r="AK20" s="37">
        <f t="shared" ref="AK20" si="41">SUM(AK21:AK34)</f>
        <v>24138.029729729729</v>
      </c>
      <c r="AL20" s="37">
        <f t="shared" ref="AL20" si="42">SUM(AL21:AL34)</f>
        <v>24850.016891891893</v>
      </c>
      <c r="AM20" s="37">
        <f t="shared" ref="AM20" si="43">SUM(AM21:AM34)</f>
        <v>24138.029729729729</v>
      </c>
      <c r="AN20" s="38">
        <f t="shared" ref="AN20" si="44">SUM(AN21:AN34)</f>
        <v>23036.016216216216</v>
      </c>
      <c r="AO20" s="36">
        <f t="shared" ref="AO20:AO33" si="45">SUM(AP20:BA20)</f>
        <v>305816.06081081077</v>
      </c>
      <c r="AP20" s="37">
        <f t="shared" ref="AP20" si="46">SUM(AP21:AP34)</f>
        <v>25096.602702702705</v>
      </c>
      <c r="AQ20" s="37">
        <f t="shared" ref="AQ20" si="47">SUM(AQ21:AQ34)</f>
        <v>25905.843918918912</v>
      </c>
      <c r="AR20" s="37">
        <f t="shared" ref="AR20" si="48">SUM(AR21:AR34)</f>
        <v>25315.494594594591</v>
      </c>
      <c r="AS20" s="37">
        <f t="shared" ref="AS20" si="49">SUM(AS21:AS34)</f>
        <v>26046.349324324325</v>
      </c>
      <c r="AT20" s="37">
        <f t="shared" ref="AT20" si="50">SUM(AT21:AT34)</f>
        <v>25315.494594594591</v>
      </c>
      <c r="AU20" s="37">
        <f t="shared" ref="AU20" si="51">SUM(AU21:AU34)</f>
        <v>25843.320945945943</v>
      </c>
      <c r="AV20" s="37">
        <f t="shared" ref="AV20" si="52">SUM(AV21:AV34)</f>
        <v>25315.494594594591</v>
      </c>
      <c r="AW20" s="37">
        <f t="shared" ref="AW20" si="53">SUM(AW21:AW34)</f>
        <v>26124.533783783783</v>
      </c>
      <c r="AX20" s="37">
        <f t="shared" ref="AX20" si="54">SUM(AX21:AX34)</f>
        <v>25315.494594594591</v>
      </c>
      <c r="AY20" s="37">
        <f t="shared" ref="AY20" si="55">SUM(AY21:AY34)</f>
        <v>26062.212837837837</v>
      </c>
      <c r="AZ20" s="37">
        <f t="shared" ref="AZ20" si="56">SUM(AZ21:AZ34)</f>
        <v>25315.494594594591</v>
      </c>
      <c r="BA20" s="38">
        <f t="shared" ref="BA20" si="57">SUM(BA21:BA34)</f>
        <v>24159.724324324325</v>
      </c>
      <c r="BB20" s="57">
        <f t="shared" ref="BB20:BB33" si="58">SUM(BC20:BN20)</f>
        <v>319600.72635135124</v>
      </c>
      <c r="BC20" s="37">
        <f t="shared" ref="BC20" si="59">SUM(BC21:BC34)</f>
        <v>26248.770270270255</v>
      </c>
      <c r="BD20" s="37">
        <f t="shared" ref="BD20" si="60">SUM(BD21:BD34)</f>
        <v>27028.945945945936</v>
      </c>
      <c r="BE20" s="37">
        <f t="shared" ref="BE20" si="61">SUM(BE21:BE34)</f>
        <v>26492.959459459449</v>
      </c>
      <c r="BF20" s="37">
        <f t="shared" ref="BF20" si="62">SUM(BF21:BF34)</f>
        <v>27175.986486486476</v>
      </c>
      <c r="BG20" s="37">
        <f t="shared" ref="BG20" si="63">SUM(BG21:BG34)</f>
        <v>26492.959459459449</v>
      </c>
      <c r="BH20" s="37">
        <f t="shared" ref="BH20" si="64">SUM(BH21:BH34)</f>
        <v>26948.398648648636</v>
      </c>
      <c r="BI20" s="37">
        <f t="shared" ref="BI20" si="65">SUM(BI21:BI34)</f>
        <v>26492.959459459449</v>
      </c>
      <c r="BJ20" s="37">
        <f t="shared" ref="BJ20" si="66">SUM(BJ21:BJ34)</f>
        <v>27257.807432432423</v>
      </c>
      <c r="BK20" s="37">
        <f t="shared" ref="BK20" si="67">SUM(BK21:BK34)</f>
        <v>26492.959459459449</v>
      </c>
      <c r="BL20" s="37">
        <f t="shared" ref="BL20" si="68">SUM(BL21:BL34)</f>
        <v>27192.587837837822</v>
      </c>
      <c r="BM20" s="37">
        <f t="shared" ref="BM20" si="69">SUM(BM21:BM34)</f>
        <v>26492.959459459449</v>
      </c>
      <c r="BN20" s="38">
        <f t="shared" ref="BN20" si="70">SUM(BN21:BN34)</f>
        <v>25283.432432432423</v>
      </c>
    </row>
    <row r="21" spans="1:66" outlineLevel="1" x14ac:dyDescent="0.3">
      <c r="A21" s="39" t="s">
        <v>4</v>
      </c>
      <c r="B21" s="40">
        <f t="shared" ref="B21:B33" si="71">SUM(C21:N21)</f>
        <v>34108.75</v>
      </c>
      <c r="C21" s="41">
        <f t="shared" ref="C21:N21" si="72">$B$5*C16+C14*$B$5</f>
        <v>2164.5</v>
      </c>
      <c r="D21" s="41">
        <f t="shared" si="72"/>
        <v>5122</v>
      </c>
      <c r="E21" s="41">
        <f t="shared" si="72"/>
        <v>780</v>
      </c>
      <c r="F21" s="41">
        <f t="shared" si="72"/>
        <v>5525</v>
      </c>
      <c r="G21" s="41">
        <f t="shared" si="72"/>
        <v>780</v>
      </c>
      <c r="H21" s="41">
        <f t="shared" si="72"/>
        <v>5115.5</v>
      </c>
      <c r="I21" s="41">
        <f t="shared" si="72"/>
        <v>780</v>
      </c>
      <c r="J21" s="41">
        <f t="shared" si="72"/>
        <v>5749.25</v>
      </c>
      <c r="K21" s="41">
        <f t="shared" si="72"/>
        <v>780</v>
      </c>
      <c r="L21" s="41">
        <f t="shared" si="72"/>
        <v>5570.5</v>
      </c>
      <c r="M21" s="41">
        <f t="shared" si="72"/>
        <v>780</v>
      </c>
      <c r="N21" s="42">
        <f t="shared" si="72"/>
        <v>962</v>
      </c>
      <c r="O21" s="40">
        <f t="shared" si="19"/>
        <v>54039.1554054054</v>
      </c>
      <c r="P21" s="41">
        <f t="shared" ref="P21:AA21" si="73">$B$5*P16+P14*$B$5</f>
        <v>3188.8648648648646</v>
      </c>
      <c r="Q21" s="41">
        <f t="shared" si="73"/>
        <v>5645.5135135135133</v>
      </c>
      <c r="R21" s="41">
        <f t="shared" si="73"/>
        <v>4097.1081081081074</v>
      </c>
      <c r="S21" s="41">
        <f t="shared" si="73"/>
        <v>6070.2972972972966</v>
      </c>
      <c r="T21" s="41">
        <f t="shared" si="73"/>
        <v>4097.1081081081074</v>
      </c>
      <c r="U21" s="41">
        <f t="shared" si="73"/>
        <v>5210.0135135135133</v>
      </c>
      <c r="V21" s="41">
        <f t="shared" si="73"/>
        <v>4097.1081081081074</v>
      </c>
      <c r="W21" s="41">
        <f t="shared" si="73"/>
        <v>6306.6689189189183</v>
      </c>
      <c r="X21" s="41">
        <f t="shared" si="73"/>
        <v>4097.1081081081074</v>
      </c>
      <c r="Y21" s="41">
        <f t="shared" si="73"/>
        <v>6118.2567567567567</v>
      </c>
      <c r="Z21" s="41">
        <f t="shared" si="73"/>
        <v>4097.1081081081074</v>
      </c>
      <c r="AA21" s="42">
        <f t="shared" si="73"/>
        <v>1013.9999999999999</v>
      </c>
      <c r="AB21" s="40">
        <f t="shared" si="32"/>
        <v>19027.695945945947</v>
      </c>
      <c r="AC21" s="41">
        <f t="shared" ref="AC21:AN21" si="74">$B$5*AC16+30%*AC14*$B$5</f>
        <v>1228.2189189189191</v>
      </c>
      <c r="AD21" s="41">
        <f t="shared" si="74"/>
        <v>1984.7047297297299</v>
      </c>
      <c r="AE21" s="41">
        <f t="shared" si="74"/>
        <v>1421.8135135135137</v>
      </c>
      <c r="AF21" s="41">
        <f t="shared" si="74"/>
        <v>2118.6750000000006</v>
      </c>
      <c r="AG21" s="41">
        <f t="shared" si="74"/>
        <v>1421.8135135135137</v>
      </c>
      <c r="AH21" s="41">
        <f t="shared" si="74"/>
        <v>1940.206081081081</v>
      </c>
      <c r="AI21" s="41">
        <f t="shared" si="74"/>
        <v>1421.8135135135137</v>
      </c>
      <c r="AJ21" s="41">
        <f t="shared" si="74"/>
        <v>2193.2229729729734</v>
      </c>
      <c r="AK21" s="41">
        <f t="shared" si="74"/>
        <v>1421.8135135135137</v>
      </c>
      <c r="AL21" s="41">
        <f t="shared" si="74"/>
        <v>2133.8006756756754</v>
      </c>
      <c r="AM21" s="41">
        <f t="shared" si="74"/>
        <v>1421.8135135135137</v>
      </c>
      <c r="AN21" s="42">
        <f t="shared" si="74"/>
        <v>319.80000000000007</v>
      </c>
      <c r="AO21" s="40">
        <f t="shared" si="45"/>
        <v>19924.16891891892</v>
      </c>
      <c r="AP21" s="41">
        <f t="shared" ref="AP21:BA21" si="75">$B$5*AP16+30%*AP14*$B$5</f>
        <v>1272.2783783783784</v>
      </c>
      <c r="AQ21" s="41">
        <f t="shared" si="75"/>
        <v>2081.5195945945948</v>
      </c>
      <c r="AR21" s="41">
        <f t="shared" si="75"/>
        <v>1491.1702702702703</v>
      </c>
      <c r="AS21" s="41">
        <f t="shared" si="75"/>
        <v>2222.0250000000001</v>
      </c>
      <c r="AT21" s="41">
        <f t="shared" si="75"/>
        <v>1491.1702702702703</v>
      </c>
      <c r="AU21" s="41">
        <f t="shared" si="75"/>
        <v>2018.9966216216217</v>
      </c>
      <c r="AV21" s="41">
        <f t="shared" si="75"/>
        <v>1491.1702702702703</v>
      </c>
      <c r="AW21" s="41">
        <f t="shared" si="75"/>
        <v>2300.2094594594596</v>
      </c>
      <c r="AX21" s="41">
        <f t="shared" si="75"/>
        <v>1491.1702702702703</v>
      </c>
      <c r="AY21" s="41">
        <f t="shared" si="75"/>
        <v>2237.8885135135133</v>
      </c>
      <c r="AZ21" s="41">
        <f t="shared" si="75"/>
        <v>1491.1702702702703</v>
      </c>
      <c r="BA21" s="42">
        <f t="shared" si="75"/>
        <v>335.40000000000003</v>
      </c>
      <c r="BB21" s="58">
        <f t="shared" si="58"/>
        <v>20411.537162162156</v>
      </c>
      <c r="BC21" s="41">
        <f t="shared" ref="BC21:BN21" si="76">$B$5*BC16+30%*BC14*$B$5</f>
        <v>1316.3378378378375</v>
      </c>
      <c r="BD21" s="41">
        <f t="shared" si="76"/>
        <v>2096.5135135135124</v>
      </c>
      <c r="BE21" s="41">
        <f t="shared" si="76"/>
        <v>1560.5270270270264</v>
      </c>
      <c r="BF21" s="41">
        <f t="shared" si="76"/>
        <v>2243.5540540540533</v>
      </c>
      <c r="BG21" s="41">
        <f t="shared" si="76"/>
        <v>1560.5270270270264</v>
      </c>
      <c r="BH21" s="41">
        <f t="shared" si="76"/>
        <v>2015.9662162162158</v>
      </c>
      <c r="BI21" s="41">
        <f t="shared" si="76"/>
        <v>1560.5270270270264</v>
      </c>
      <c r="BJ21" s="41">
        <f t="shared" si="76"/>
        <v>2325.3749999999995</v>
      </c>
      <c r="BK21" s="41">
        <f t="shared" si="76"/>
        <v>1560.5270270270264</v>
      </c>
      <c r="BL21" s="41">
        <f t="shared" si="76"/>
        <v>2260.1554054054045</v>
      </c>
      <c r="BM21" s="41">
        <f t="shared" si="76"/>
        <v>1560.5270270270264</v>
      </c>
      <c r="BN21" s="42">
        <f t="shared" si="76"/>
        <v>350.99999999999983</v>
      </c>
    </row>
    <row r="22" spans="1:66" s="43" customFormat="1" outlineLevel="1" x14ac:dyDescent="0.3">
      <c r="A22" s="39" t="s">
        <v>5</v>
      </c>
      <c r="B22" s="40">
        <f t="shared" si="71"/>
        <v>84000</v>
      </c>
      <c r="C22" s="41">
        <v>7000</v>
      </c>
      <c r="D22" s="41">
        <v>7000</v>
      </c>
      <c r="E22" s="41">
        <v>7000</v>
      </c>
      <c r="F22" s="41">
        <v>7000</v>
      </c>
      <c r="G22" s="41">
        <v>7000</v>
      </c>
      <c r="H22" s="41">
        <v>7000</v>
      </c>
      <c r="I22" s="41">
        <v>7000</v>
      </c>
      <c r="J22" s="41">
        <v>7000</v>
      </c>
      <c r="K22" s="41">
        <v>7000</v>
      </c>
      <c r="L22" s="41">
        <v>7000</v>
      </c>
      <c r="M22" s="41">
        <v>7000</v>
      </c>
      <c r="N22" s="42">
        <v>7000</v>
      </c>
      <c r="O22" s="40">
        <f t="shared" si="19"/>
        <v>88540.540540540518</v>
      </c>
      <c r="P22" s="41">
        <f t="shared" ref="P22:P33" si="77">C22*(1+$O$6)</f>
        <v>7378.3783783783774</v>
      </c>
      <c r="Q22" s="41">
        <f t="shared" ref="Q22:Q33" si="78">D22*(1+$O$6)</f>
        <v>7378.3783783783774</v>
      </c>
      <c r="R22" s="41">
        <f t="shared" ref="R22:R33" si="79">E22*(1+$O$6)</f>
        <v>7378.3783783783774</v>
      </c>
      <c r="S22" s="41">
        <f t="shared" ref="S22:S33" si="80">F22*(1+$O$6)</f>
        <v>7378.3783783783774</v>
      </c>
      <c r="T22" s="41">
        <f t="shared" ref="T22:T33" si="81">G22*(1+$O$6)</f>
        <v>7378.3783783783774</v>
      </c>
      <c r="U22" s="41">
        <f t="shared" ref="U22:U33" si="82">H22*(1+$O$6)</f>
        <v>7378.3783783783774</v>
      </c>
      <c r="V22" s="41">
        <f t="shared" ref="V22:V33" si="83">I22*(1+$O$6)</f>
        <v>7378.3783783783774</v>
      </c>
      <c r="W22" s="41">
        <f t="shared" ref="W22:W33" si="84">J22*(1+$O$6)</f>
        <v>7378.3783783783774</v>
      </c>
      <c r="X22" s="41">
        <f t="shared" ref="X22:X33" si="85">K22*(1+$O$6)</f>
        <v>7378.3783783783774</v>
      </c>
      <c r="Y22" s="41">
        <f t="shared" ref="Y22:Y33" si="86">L22*(1+$O$6)</f>
        <v>7378.3783783783774</v>
      </c>
      <c r="Z22" s="41">
        <f t="shared" ref="Z22:Z33" si="87">M22*(1+$O$6)</f>
        <v>7378.3783783783774</v>
      </c>
      <c r="AA22" s="42">
        <f t="shared" ref="AA22:AA33" si="88">N22*(1+$O$6)</f>
        <v>7378.3783783783774</v>
      </c>
      <c r="AB22" s="40">
        <f t="shared" si="32"/>
        <v>93081.081081081109</v>
      </c>
      <c r="AC22" s="41">
        <f t="shared" ref="AC22:AC33" si="89">P22*(1+$AB$6)</f>
        <v>7756.7567567567576</v>
      </c>
      <c r="AD22" s="41">
        <f t="shared" ref="AD22:AD33" si="90">Q22*(1+$AB$6)</f>
        <v>7756.7567567567576</v>
      </c>
      <c r="AE22" s="41">
        <f t="shared" ref="AE22:AE33" si="91">R22*(1+$AB$6)</f>
        <v>7756.7567567567576</v>
      </c>
      <c r="AF22" s="41">
        <f t="shared" ref="AF22:AF33" si="92">S22*(1+$AB$6)</f>
        <v>7756.7567567567576</v>
      </c>
      <c r="AG22" s="41">
        <f t="shared" ref="AG22:AG33" si="93">T22*(1+$AB$6)</f>
        <v>7756.7567567567576</v>
      </c>
      <c r="AH22" s="41">
        <f t="shared" ref="AH22:AH33" si="94">U22*(1+$AB$6)</f>
        <v>7756.7567567567576</v>
      </c>
      <c r="AI22" s="41">
        <f t="shared" ref="AI22:AI33" si="95">V22*(1+$AB$6)</f>
        <v>7756.7567567567576</v>
      </c>
      <c r="AJ22" s="41">
        <f t="shared" ref="AJ22:AJ33" si="96">W22*(1+$AB$6)</f>
        <v>7756.7567567567576</v>
      </c>
      <c r="AK22" s="41">
        <f t="shared" ref="AK22:AK33" si="97">X22*(1+$AB$6)</f>
        <v>7756.7567567567576</v>
      </c>
      <c r="AL22" s="41">
        <f t="shared" ref="AL22:AL33" si="98">Y22*(1+$AB$6)</f>
        <v>7756.7567567567576</v>
      </c>
      <c r="AM22" s="41">
        <f t="shared" ref="AM22:AM33" si="99">Z22*(1+$AB$6)</f>
        <v>7756.7567567567576</v>
      </c>
      <c r="AN22" s="42">
        <f t="shared" ref="AN22:AN33" si="100">AA22*(1+$AB$6)</f>
        <v>7756.7567567567576</v>
      </c>
      <c r="AO22" s="40">
        <f t="shared" si="45"/>
        <v>97621.621621621613</v>
      </c>
      <c r="AP22" s="41">
        <f t="shared" ref="AP22:AP33" si="101">AC22*(1+$AO$6)</f>
        <v>8135.135135135135</v>
      </c>
      <c r="AQ22" s="41">
        <f t="shared" ref="AQ22:AQ33" si="102">AD22*(1+$AO$6)</f>
        <v>8135.135135135135</v>
      </c>
      <c r="AR22" s="41">
        <f t="shared" ref="AR22:AR33" si="103">AE22*(1+$AO$6)</f>
        <v>8135.135135135135</v>
      </c>
      <c r="AS22" s="41">
        <f t="shared" ref="AS22:AS33" si="104">AF22*(1+$AO$6)</f>
        <v>8135.135135135135</v>
      </c>
      <c r="AT22" s="41">
        <f t="shared" ref="AT22:AT33" si="105">AG22*(1+$AO$6)</f>
        <v>8135.135135135135</v>
      </c>
      <c r="AU22" s="41">
        <f t="shared" ref="AU22:AU33" si="106">AH22*(1+$AO$6)</f>
        <v>8135.135135135135</v>
      </c>
      <c r="AV22" s="41">
        <f t="shared" ref="AV22:AV33" si="107">AI22*(1+$AO$6)</f>
        <v>8135.135135135135</v>
      </c>
      <c r="AW22" s="41">
        <f t="shared" ref="AW22:AW33" si="108">AJ22*(1+$AO$6)</f>
        <v>8135.135135135135</v>
      </c>
      <c r="AX22" s="41">
        <f t="shared" ref="AX22:AX33" si="109">AK22*(1+$AO$6)</f>
        <v>8135.135135135135</v>
      </c>
      <c r="AY22" s="41">
        <f t="shared" ref="AY22:AY33" si="110">AL22*(1+$AO$6)</f>
        <v>8135.135135135135</v>
      </c>
      <c r="AZ22" s="41">
        <f t="shared" ref="AZ22:AZ33" si="111">AM22*(1+$AO$6)</f>
        <v>8135.135135135135</v>
      </c>
      <c r="BA22" s="42">
        <f t="shared" ref="BA22:BA33" si="112">AN22*(1+$AO$6)</f>
        <v>8135.135135135135</v>
      </c>
      <c r="BB22" s="58">
        <f t="shared" si="58"/>
        <v>102162.16216216209</v>
      </c>
      <c r="BC22" s="41">
        <f t="shared" ref="BC22:BC33" si="113">AP22*(1+$BB$6)</f>
        <v>8513.5135135135097</v>
      </c>
      <c r="BD22" s="41">
        <f t="shared" ref="BD22:BD33" si="114">AQ22*(1+$BB$6)</f>
        <v>8513.5135135135097</v>
      </c>
      <c r="BE22" s="41">
        <f t="shared" ref="BE22:BE33" si="115">AR22*(1+$BB$6)</f>
        <v>8513.5135135135097</v>
      </c>
      <c r="BF22" s="41">
        <f t="shared" ref="BF22:BF33" si="116">AS22*(1+$BB$6)</f>
        <v>8513.5135135135097</v>
      </c>
      <c r="BG22" s="41">
        <f t="shared" ref="BG22:BG33" si="117">AT22*(1+$BB$6)</f>
        <v>8513.5135135135097</v>
      </c>
      <c r="BH22" s="41">
        <f t="shared" ref="BH22:BH33" si="118">AU22*(1+$BB$6)</f>
        <v>8513.5135135135097</v>
      </c>
      <c r="BI22" s="41">
        <f t="shared" ref="BI22:BI33" si="119">AV22*(1+$BB$6)</f>
        <v>8513.5135135135097</v>
      </c>
      <c r="BJ22" s="41">
        <f t="shared" ref="BJ22:BJ33" si="120">AW22*(1+$BB$6)</f>
        <v>8513.5135135135097</v>
      </c>
      <c r="BK22" s="41">
        <f t="shared" ref="BK22:BK33" si="121">AX22*(1+$BB$6)</f>
        <v>8513.5135135135097</v>
      </c>
      <c r="BL22" s="41">
        <f t="shared" ref="BL22:BL33" si="122">AY22*(1+$BB$6)</f>
        <v>8513.5135135135097</v>
      </c>
      <c r="BM22" s="41">
        <f t="shared" ref="BM22:BM33" si="123">AZ22*(1+$BB$6)</f>
        <v>8513.5135135135097</v>
      </c>
      <c r="BN22" s="42">
        <f t="shared" ref="BN22:BN33" si="124">BA22*(1+$BB$6)</f>
        <v>8513.5135135135097</v>
      </c>
    </row>
    <row r="23" spans="1:66" s="43" customFormat="1" outlineLevel="1" x14ac:dyDescent="0.3">
      <c r="A23" s="39" t="s">
        <v>69</v>
      </c>
      <c r="B23" s="40">
        <f t="shared" si="71"/>
        <v>60000</v>
      </c>
      <c r="C23" s="41">
        <v>5000</v>
      </c>
      <c r="D23" s="41">
        <v>5000</v>
      </c>
      <c r="E23" s="41">
        <v>5000</v>
      </c>
      <c r="F23" s="41">
        <v>5000</v>
      </c>
      <c r="G23" s="41">
        <v>5000</v>
      </c>
      <c r="H23" s="41">
        <v>5000</v>
      </c>
      <c r="I23" s="41">
        <v>5000</v>
      </c>
      <c r="J23" s="41">
        <v>5000</v>
      </c>
      <c r="K23" s="41">
        <v>5000</v>
      </c>
      <c r="L23" s="41">
        <v>5000</v>
      </c>
      <c r="M23" s="41">
        <v>5000</v>
      </c>
      <c r="N23" s="42">
        <v>5000</v>
      </c>
      <c r="O23" s="40">
        <f t="shared" si="19"/>
        <v>63243.243243243225</v>
      </c>
      <c r="P23" s="41">
        <f t="shared" si="77"/>
        <v>5270.27027027027</v>
      </c>
      <c r="Q23" s="41">
        <f t="shared" si="78"/>
        <v>5270.27027027027</v>
      </c>
      <c r="R23" s="41">
        <f t="shared" si="79"/>
        <v>5270.27027027027</v>
      </c>
      <c r="S23" s="41">
        <f t="shared" si="80"/>
        <v>5270.27027027027</v>
      </c>
      <c r="T23" s="41">
        <f t="shared" si="81"/>
        <v>5270.27027027027</v>
      </c>
      <c r="U23" s="41">
        <f t="shared" si="82"/>
        <v>5270.27027027027</v>
      </c>
      <c r="V23" s="41">
        <f t="shared" si="83"/>
        <v>5270.27027027027</v>
      </c>
      <c r="W23" s="41">
        <f t="shared" si="84"/>
        <v>5270.27027027027</v>
      </c>
      <c r="X23" s="41">
        <f t="shared" si="85"/>
        <v>5270.27027027027</v>
      </c>
      <c r="Y23" s="41">
        <f t="shared" si="86"/>
        <v>5270.27027027027</v>
      </c>
      <c r="Z23" s="41">
        <f t="shared" si="87"/>
        <v>5270.27027027027</v>
      </c>
      <c r="AA23" s="42">
        <f t="shared" si="88"/>
        <v>5270.27027027027</v>
      </c>
      <c r="AB23" s="40">
        <f t="shared" si="32"/>
        <v>66486.486486486494</v>
      </c>
      <c r="AC23" s="41">
        <f t="shared" si="89"/>
        <v>5540.5405405405418</v>
      </c>
      <c r="AD23" s="41">
        <f t="shared" si="90"/>
        <v>5540.5405405405418</v>
      </c>
      <c r="AE23" s="41">
        <f t="shared" si="91"/>
        <v>5540.5405405405418</v>
      </c>
      <c r="AF23" s="41">
        <f t="shared" si="92"/>
        <v>5540.5405405405418</v>
      </c>
      <c r="AG23" s="41">
        <f t="shared" si="93"/>
        <v>5540.5405405405418</v>
      </c>
      <c r="AH23" s="41">
        <f t="shared" si="94"/>
        <v>5540.5405405405418</v>
      </c>
      <c r="AI23" s="41">
        <f t="shared" si="95"/>
        <v>5540.5405405405418</v>
      </c>
      <c r="AJ23" s="41">
        <f t="shared" si="96"/>
        <v>5540.5405405405418</v>
      </c>
      <c r="AK23" s="41">
        <f t="shared" si="97"/>
        <v>5540.5405405405418</v>
      </c>
      <c r="AL23" s="41">
        <f t="shared" si="98"/>
        <v>5540.5405405405418</v>
      </c>
      <c r="AM23" s="41">
        <f t="shared" si="99"/>
        <v>5540.5405405405418</v>
      </c>
      <c r="AN23" s="42">
        <f t="shared" si="100"/>
        <v>5540.5405405405418</v>
      </c>
      <c r="AO23" s="40">
        <f t="shared" si="45"/>
        <v>69729.729729729748</v>
      </c>
      <c r="AP23" s="41">
        <f t="shared" si="101"/>
        <v>5810.8108108108108</v>
      </c>
      <c r="AQ23" s="41">
        <f t="shared" si="102"/>
        <v>5810.8108108108108</v>
      </c>
      <c r="AR23" s="41">
        <f t="shared" si="103"/>
        <v>5810.8108108108108</v>
      </c>
      <c r="AS23" s="41">
        <f t="shared" si="104"/>
        <v>5810.8108108108108</v>
      </c>
      <c r="AT23" s="41">
        <f t="shared" si="105"/>
        <v>5810.8108108108108</v>
      </c>
      <c r="AU23" s="41">
        <f t="shared" si="106"/>
        <v>5810.8108108108108</v>
      </c>
      <c r="AV23" s="41">
        <f t="shared" si="107"/>
        <v>5810.8108108108108</v>
      </c>
      <c r="AW23" s="41">
        <f t="shared" si="108"/>
        <v>5810.8108108108108</v>
      </c>
      <c r="AX23" s="41">
        <f t="shared" si="109"/>
        <v>5810.8108108108108</v>
      </c>
      <c r="AY23" s="41">
        <f t="shared" si="110"/>
        <v>5810.8108108108108</v>
      </c>
      <c r="AZ23" s="41">
        <f t="shared" si="111"/>
        <v>5810.8108108108108</v>
      </c>
      <c r="BA23" s="42">
        <f t="shared" si="112"/>
        <v>5810.8108108108108</v>
      </c>
      <c r="BB23" s="58">
        <f t="shared" si="58"/>
        <v>72972.972972972944</v>
      </c>
      <c r="BC23" s="41">
        <f t="shared" si="113"/>
        <v>6081.081081081079</v>
      </c>
      <c r="BD23" s="41">
        <f t="shared" si="114"/>
        <v>6081.081081081079</v>
      </c>
      <c r="BE23" s="41">
        <f t="shared" si="115"/>
        <v>6081.081081081079</v>
      </c>
      <c r="BF23" s="41">
        <f t="shared" si="116"/>
        <v>6081.081081081079</v>
      </c>
      <c r="BG23" s="41">
        <f t="shared" si="117"/>
        <v>6081.081081081079</v>
      </c>
      <c r="BH23" s="41">
        <f t="shared" si="118"/>
        <v>6081.081081081079</v>
      </c>
      <c r="BI23" s="41">
        <f t="shared" si="119"/>
        <v>6081.081081081079</v>
      </c>
      <c r="BJ23" s="41">
        <f t="shared" si="120"/>
        <v>6081.081081081079</v>
      </c>
      <c r="BK23" s="41">
        <f t="shared" si="121"/>
        <v>6081.081081081079</v>
      </c>
      <c r="BL23" s="41">
        <f t="shared" si="122"/>
        <v>6081.081081081079</v>
      </c>
      <c r="BM23" s="41">
        <f t="shared" si="123"/>
        <v>6081.081081081079</v>
      </c>
      <c r="BN23" s="42">
        <f t="shared" si="124"/>
        <v>6081.081081081079</v>
      </c>
    </row>
    <row r="24" spans="1:66" s="43" customFormat="1" outlineLevel="1" x14ac:dyDescent="0.3">
      <c r="A24" s="39" t="s">
        <v>6</v>
      </c>
      <c r="B24" s="40">
        <f t="shared" si="71"/>
        <v>2400</v>
      </c>
      <c r="C24" s="41">
        <v>200</v>
      </c>
      <c r="D24" s="41">
        <v>200</v>
      </c>
      <c r="E24" s="41">
        <v>200</v>
      </c>
      <c r="F24" s="41">
        <v>200</v>
      </c>
      <c r="G24" s="41">
        <v>200</v>
      </c>
      <c r="H24" s="41">
        <v>200</v>
      </c>
      <c r="I24" s="41">
        <v>200</v>
      </c>
      <c r="J24" s="41">
        <v>200</v>
      </c>
      <c r="K24" s="41">
        <v>200</v>
      </c>
      <c r="L24" s="41">
        <v>200</v>
      </c>
      <c r="M24" s="41">
        <v>200</v>
      </c>
      <c r="N24" s="42">
        <v>200</v>
      </c>
      <c r="O24" s="40">
        <f t="shared" si="19"/>
        <v>2529.7297297297296</v>
      </c>
      <c r="P24" s="41">
        <f t="shared" si="77"/>
        <v>210.81081081081078</v>
      </c>
      <c r="Q24" s="41">
        <f t="shared" si="78"/>
        <v>210.81081081081078</v>
      </c>
      <c r="R24" s="41">
        <f t="shared" si="79"/>
        <v>210.81081081081078</v>
      </c>
      <c r="S24" s="41">
        <f t="shared" si="80"/>
        <v>210.81081081081078</v>
      </c>
      <c r="T24" s="41">
        <f t="shared" si="81"/>
        <v>210.81081081081078</v>
      </c>
      <c r="U24" s="41">
        <f t="shared" si="82"/>
        <v>210.81081081081078</v>
      </c>
      <c r="V24" s="41">
        <f t="shared" si="83"/>
        <v>210.81081081081078</v>
      </c>
      <c r="W24" s="41">
        <f t="shared" si="84"/>
        <v>210.81081081081078</v>
      </c>
      <c r="X24" s="41">
        <f t="shared" si="85"/>
        <v>210.81081081081078</v>
      </c>
      <c r="Y24" s="41">
        <f t="shared" si="86"/>
        <v>210.81081081081078</v>
      </c>
      <c r="Z24" s="41">
        <f t="shared" si="87"/>
        <v>210.81081081081078</v>
      </c>
      <c r="AA24" s="42">
        <f t="shared" si="88"/>
        <v>210.81081081081078</v>
      </c>
      <c r="AB24" s="40">
        <f t="shared" si="32"/>
        <v>2659.4594594594596</v>
      </c>
      <c r="AC24" s="41">
        <f t="shared" si="89"/>
        <v>221.62162162162164</v>
      </c>
      <c r="AD24" s="41">
        <f t="shared" si="90"/>
        <v>221.62162162162164</v>
      </c>
      <c r="AE24" s="41">
        <f t="shared" si="91"/>
        <v>221.62162162162164</v>
      </c>
      <c r="AF24" s="41">
        <f t="shared" si="92"/>
        <v>221.62162162162164</v>
      </c>
      <c r="AG24" s="41">
        <f t="shared" si="93"/>
        <v>221.62162162162164</v>
      </c>
      <c r="AH24" s="41">
        <f t="shared" si="94"/>
        <v>221.62162162162164</v>
      </c>
      <c r="AI24" s="41">
        <f t="shared" si="95"/>
        <v>221.62162162162164</v>
      </c>
      <c r="AJ24" s="41">
        <f t="shared" si="96"/>
        <v>221.62162162162164</v>
      </c>
      <c r="AK24" s="41">
        <f t="shared" si="97"/>
        <v>221.62162162162164</v>
      </c>
      <c r="AL24" s="41">
        <f t="shared" si="98"/>
        <v>221.62162162162164</v>
      </c>
      <c r="AM24" s="41">
        <f t="shared" si="99"/>
        <v>221.62162162162164</v>
      </c>
      <c r="AN24" s="42">
        <f t="shared" si="100"/>
        <v>221.62162162162164</v>
      </c>
      <c r="AO24" s="40">
        <f t="shared" si="45"/>
        <v>2789.1891891891896</v>
      </c>
      <c r="AP24" s="41">
        <f t="shared" si="101"/>
        <v>232.43243243243242</v>
      </c>
      <c r="AQ24" s="41">
        <f t="shared" si="102"/>
        <v>232.43243243243242</v>
      </c>
      <c r="AR24" s="41">
        <f t="shared" si="103"/>
        <v>232.43243243243242</v>
      </c>
      <c r="AS24" s="41">
        <f t="shared" si="104"/>
        <v>232.43243243243242</v>
      </c>
      <c r="AT24" s="41">
        <f t="shared" si="105"/>
        <v>232.43243243243242</v>
      </c>
      <c r="AU24" s="41">
        <f t="shared" si="106"/>
        <v>232.43243243243242</v>
      </c>
      <c r="AV24" s="41">
        <f t="shared" si="107"/>
        <v>232.43243243243242</v>
      </c>
      <c r="AW24" s="41">
        <f t="shared" si="108"/>
        <v>232.43243243243242</v>
      </c>
      <c r="AX24" s="41">
        <f t="shared" si="109"/>
        <v>232.43243243243242</v>
      </c>
      <c r="AY24" s="41">
        <f t="shared" si="110"/>
        <v>232.43243243243242</v>
      </c>
      <c r="AZ24" s="41">
        <f t="shared" si="111"/>
        <v>232.43243243243242</v>
      </c>
      <c r="BA24" s="42">
        <f t="shared" si="112"/>
        <v>232.43243243243242</v>
      </c>
      <c r="BB24" s="58">
        <f t="shared" si="58"/>
        <v>2918.9189189189183</v>
      </c>
      <c r="BC24" s="41">
        <f t="shared" si="113"/>
        <v>243.24324324324314</v>
      </c>
      <c r="BD24" s="41">
        <f t="shared" si="114"/>
        <v>243.24324324324314</v>
      </c>
      <c r="BE24" s="41">
        <f t="shared" si="115"/>
        <v>243.24324324324314</v>
      </c>
      <c r="BF24" s="41">
        <f t="shared" si="116"/>
        <v>243.24324324324314</v>
      </c>
      <c r="BG24" s="41">
        <f t="shared" si="117"/>
        <v>243.24324324324314</v>
      </c>
      <c r="BH24" s="41">
        <f t="shared" si="118"/>
        <v>243.24324324324314</v>
      </c>
      <c r="BI24" s="41">
        <f t="shared" si="119"/>
        <v>243.24324324324314</v>
      </c>
      <c r="BJ24" s="41">
        <f t="shared" si="120"/>
        <v>243.24324324324314</v>
      </c>
      <c r="BK24" s="41">
        <f t="shared" si="121"/>
        <v>243.24324324324314</v>
      </c>
      <c r="BL24" s="41">
        <f t="shared" si="122"/>
        <v>243.24324324324314</v>
      </c>
      <c r="BM24" s="41">
        <f t="shared" si="123"/>
        <v>243.24324324324314</v>
      </c>
      <c r="BN24" s="42">
        <f t="shared" si="124"/>
        <v>243.24324324324314</v>
      </c>
    </row>
    <row r="25" spans="1:66" s="43" customFormat="1" outlineLevel="1" x14ac:dyDescent="0.3">
      <c r="A25" s="39" t="s">
        <v>7</v>
      </c>
      <c r="B25" s="40">
        <f t="shared" si="71"/>
        <v>3600</v>
      </c>
      <c r="C25" s="41">
        <v>300</v>
      </c>
      <c r="D25" s="41">
        <v>300</v>
      </c>
      <c r="E25" s="41">
        <v>300</v>
      </c>
      <c r="F25" s="41">
        <v>300</v>
      </c>
      <c r="G25" s="41">
        <v>300</v>
      </c>
      <c r="H25" s="41">
        <v>300</v>
      </c>
      <c r="I25" s="41">
        <v>300</v>
      </c>
      <c r="J25" s="41">
        <v>300</v>
      </c>
      <c r="K25" s="41">
        <v>300</v>
      </c>
      <c r="L25" s="41">
        <v>300</v>
      </c>
      <c r="M25" s="41">
        <v>300</v>
      </c>
      <c r="N25" s="42">
        <v>300</v>
      </c>
      <c r="O25" s="40">
        <f t="shared" si="19"/>
        <v>3794.5945945945946</v>
      </c>
      <c r="P25" s="41">
        <f t="shared" si="77"/>
        <v>316.2162162162162</v>
      </c>
      <c r="Q25" s="41">
        <f t="shared" si="78"/>
        <v>316.2162162162162</v>
      </c>
      <c r="R25" s="41">
        <f t="shared" si="79"/>
        <v>316.2162162162162</v>
      </c>
      <c r="S25" s="41">
        <f t="shared" si="80"/>
        <v>316.2162162162162</v>
      </c>
      <c r="T25" s="41">
        <f t="shared" si="81"/>
        <v>316.2162162162162</v>
      </c>
      <c r="U25" s="41">
        <f t="shared" si="82"/>
        <v>316.2162162162162</v>
      </c>
      <c r="V25" s="41">
        <f t="shared" si="83"/>
        <v>316.2162162162162</v>
      </c>
      <c r="W25" s="41">
        <f t="shared" si="84"/>
        <v>316.2162162162162</v>
      </c>
      <c r="X25" s="41">
        <f t="shared" si="85"/>
        <v>316.2162162162162</v>
      </c>
      <c r="Y25" s="41">
        <f t="shared" si="86"/>
        <v>316.2162162162162</v>
      </c>
      <c r="Z25" s="41">
        <f t="shared" si="87"/>
        <v>316.2162162162162</v>
      </c>
      <c r="AA25" s="42">
        <f t="shared" si="88"/>
        <v>316.2162162162162</v>
      </c>
      <c r="AB25" s="40">
        <f t="shared" si="32"/>
        <v>3989.1891891891901</v>
      </c>
      <c r="AC25" s="41">
        <f t="shared" si="89"/>
        <v>332.43243243243251</v>
      </c>
      <c r="AD25" s="41">
        <f t="shared" si="90"/>
        <v>332.43243243243251</v>
      </c>
      <c r="AE25" s="41">
        <f t="shared" si="91"/>
        <v>332.43243243243251</v>
      </c>
      <c r="AF25" s="41">
        <f t="shared" si="92"/>
        <v>332.43243243243251</v>
      </c>
      <c r="AG25" s="41">
        <f t="shared" si="93"/>
        <v>332.43243243243251</v>
      </c>
      <c r="AH25" s="41">
        <f t="shared" si="94"/>
        <v>332.43243243243251</v>
      </c>
      <c r="AI25" s="41">
        <f t="shared" si="95"/>
        <v>332.43243243243251</v>
      </c>
      <c r="AJ25" s="41">
        <f t="shared" si="96"/>
        <v>332.43243243243251</v>
      </c>
      <c r="AK25" s="41">
        <f t="shared" si="97"/>
        <v>332.43243243243251</v>
      </c>
      <c r="AL25" s="41">
        <f t="shared" si="98"/>
        <v>332.43243243243251</v>
      </c>
      <c r="AM25" s="41">
        <f t="shared" si="99"/>
        <v>332.43243243243251</v>
      </c>
      <c r="AN25" s="42">
        <f t="shared" si="100"/>
        <v>332.43243243243251</v>
      </c>
      <c r="AO25" s="40">
        <f t="shared" si="45"/>
        <v>4183.7837837837842</v>
      </c>
      <c r="AP25" s="41">
        <f t="shared" si="101"/>
        <v>348.64864864864865</v>
      </c>
      <c r="AQ25" s="41">
        <f t="shared" si="102"/>
        <v>348.64864864864865</v>
      </c>
      <c r="AR25" s="41">
        <f t="shared" si="103"/>
        <v>348.64864864864865</v>
      </c>
      <c r="AS25" s="41">
        <f t="shared" si="104"/>
        <v>348.64864864864865</v>
      </c>
      <c r="AT25" s="41">
        <f t="shared" si="105"/>
        <v>348.64864864864865</v>
      </c>
      <c r="AU25" s="41">
        <f t="shared" si="106"/>
        <v>348.64864864864865</v>
      </c>
      <c r="AV25" s="41">
        <f t="shared" si="107"/>
        <v>348.64864864864865</v>
      </c>
      <c r="AW25" s="41">
        <f t="shared" si="108"/>
        <v>348.64864864864865</v>
      </c>
      <c r="AX25" s="41">
        <f t="shared" si="109"/>
        <v>348.64864864864865</v>
      </c>
      <c r="AY25" s="41">
        <f t="shared" si="110"/>
        <v>348.64864864864865</v>
      </c>
      <c r="AZ25" s="41">
        <f t="shared" si="111"/>
        <v>348.64864864864865</v>
      </c>
      <c r="BA25" s="42">
        <f t="shared" si="112"/>
        <v>348.64864864864865</v>
      </c>
      <c r="BB25" s="58">
        <f t="shared" si="58"/>
        <v>4378.3783783783756</v>
      </c>
      <c r="BC25" s="41">
        <f t="shared" si="113"/>
        <v>364.86486486486473</v>
      </c>
      <c r="BD25" s="41">
        <f t="shared" si="114"/>
        <v>364.86486486486473</v>
      </c>
      <c r="BE25" s="41">
        <f t="shared" si="115"/>
        <v>364.86486486486473</v>
      </c>
      <c r="BF25" s="41">
        <f t="shared" si="116"/>
        <v>364.86486486486473</v>
      </c>
      <c r="BG25" s="41">
        <f t="shared" si="117"/>
        <v>364.86486486486473</v>
      </c>
      <c r="BH25" s="41">
        <f t="shared" si="118"/>
        <v>364.86486486486473</v>
      </c>
      <c r="BI25" s="41">
        <f t="shared" si="119"/>
        <v>364.86486486486473</v>
      </c>
      <c r="BJ25" s="41">
        <f t="shared" si="120"/>
        <v>364.86486486486473</v>
      </c>
      <c r="BK25" s="41">
        <f t="shared" si="121"/>
        <v>364.86486486486473</v>
      </c>
      <c r="BL25" s="41">
        <f t="shared" si="122"/>
        <v>364.86486486486473</v>
      </c>
      <c r="BM25" s="41">
        <f t="shared" si="123"/>
        <v>364.86486486486473</v>
      </c>
      <c r="BN25" s="42">
        <f t="shared" si="124"/>
        <v>364.86486486486473</v>
      </c>
    </row>
    <row r="26" spans="1:66" s="43" customFormat="1" outlineLevel="1" x14ac:dyDescent="0.3">
      <c r="A26" s="39" t="s">
        <v>8</v>
      </c>
      <c r="B26" s="40">
        <f t="shared" si="71"/>
        <v>1800</v>
      </c>
      <c r="C26" s="41">
        <v>150</v>
      </c>
      <c r="D26" s="41">
        <v>150</v>
      </c>
      <c r="E26" s="41">
        <v>150</v>
      </c>
      <c r="F26" s="41">
        <v>150</v>
      </c>
      <c r="G26" s="41">
        <v>150</v>
      </c>
      <c r="H26" s="41">
        <v>150</v>
      </c>
      <c r="I26" s="41">
        <v>150</v>
      </c>
      <c r="J26" s="41">
        <v>150</v>
      </c>
      <c r="K26" s="41">
        <v>150</v>
      </c>
      <c r="L26" s="41">
        <v>150</v>
      </c>
      <c r="M26" s="41">
        <v>150</v>
      </c>
      <c r="N26" s="42">
        <v>150</v>
      </c>
      <c r="O26" s="40">
        <f t="shared" si="19"/>
        <v>1897.2972972972973</v>
      </c>
      <c r="P26" s="41">
        <f t="shared" si="77"/>
        <v>158.1081081081081</v>
      </c>
      <c r="Q26" s="41">
        <f t="shared" si="78"/>
        <v>158.1081081081081</v>
      </c>
      <c r="R26" s="41">
        <f t="shared" si="79"/>
        <v>158.1081081081081</v>
      </c>
      <c r="S26" s="41">
        <f t="shared" si="80"/>
        <v>158.1081081081081</v>
      </c>
      <c r="T26" s="41">
        <f t="shared" si="81"/>
        <v>158.1081081081081</v>
      </c>
      <c r="U26" s="41">
        <f t="shared" si="82"/>
        <v>158.1081081081081</v>
      </c>
      <c r="V26" s="41">
        <f t="shared" si="83"/>
        <v>158.1081081081081</v>
      </c>
      <c r="W26" s="41">
        <f t="shared" si="84"/>
        <v>158.1081081081081</v>
      </c>
      <c r="X26" s="41">
        <f t="shared" si="85"/>
        <v>158.1081081081081</v>
      </c>
      <c r="Y26" s="41">
        <f t="shared" si="86"/>
        <v>158.1081081081081</v>
      </c>
      <c r="Z26" s="41">
        <f t="shared" si="87"/>
        <v>158.1081081081081</v>
      </c>
      <c r="AA26" s="42">
        <f t="shared" si="88"/>
        <v>158.1081081081081</v>
      </c>
      <c r="AB26" s="40">
        <f t="shared" si="32"/>
        <v>1994.594594594595</v>
      </c>
      <c r="AC26" s="41">
        <f t="shared" si="89"/>
        <v>166.21621621621625</v>
      </c>
      <c r="AD26" s="41">
        <f t="shared" si="90"/>
        <v>166.21621621621625</v>
      </c>
      <c r="AE26" s="41">
        <f t="shared" si="91"/>
        <v>166.21621621621625</v>
      </c>
      <c r="AF26" s="41">
        <f t="shared" si="92"/>
        <v>166.21621621621625</v>
      </c>
      <c r="AG26" s="41">
        <f t="shared" si="93"/>
        <v>166.21621621621625</v>
      </c>
      <c r="AH26" s="41">
        <f t="shared" si="94"/>
        <v>166.21621621621625</v>
      </c>
      <c r="AI26" s="41">
        <f t="shared" si="95"/>
        <v>166.21621621621625</v>
      </c>
      <c r="AJ26" s="41">
        <f t="shared" si="96"/>
        <v>166.21621621621625</v>
      </c>
      <c r="AK26" s="41">
        <f t="shared" si="97"/>
        <v>166.21621621621625</v>
      </c>
      <c r="AL26" s="41">
        <f t="shared" si="98"/>
        <v>166.21621621621625</v>
      </c>
      <c r="AM26" s="41">
        <f t="shared" si="99"/>
        <v>166.21621621621625</v>
      </c>
      <c r="AN26" s="42">
        <f t="shared" si="100"/>
        <v>166.21621621621625</v>
      </c>
      <c r="AO26" s="40">
        <f t="shared" si="45"/>
        <v>2091.8918918918921</v>
      </c>
      <c r="AP26" s="41">
        <f t="shared" si="101"/>
        <v>174.32432432432432</v>
      </c>
      <c r="AQ26" s="41">
        <f t="shared" si="102"/>
        <v>174.32432432432432</v>
      </c>
      <c r="AR26" s="41">
        <f t="shared" si="103"/>
        <v>174.32432432432432</v>
      </c>
      <c r="AS26" s="41">
        <f t="shared" si="104"/>
        <v>174.32432432432432</v>
      </c>
      <c r="AT26" s="41">
        <f t="shared" si="105"/>
        <v>174.32432432432432</v>
      </c>
      <c r="AU26" s="41">
        <f t="shared" si="106"/>
        <v>174.32432432432432</v>
      </c>
      <c r="AV26" s="41">
        <f t="shared" si="107"/>
        <v>174.32432432432432</v>
      </c>
      <c r="AW26" s="41">
        <f t="shared" si="108"/>
        <v>174.32432432432432</v>
      </c>
      <c r="AX26" s="41">
        <f t="shared" si="109"/>
        <v>174.32432432432432</v>
      </c>
      <c r="AY26" s="41">
        <f t="shared" si="110"/>
        <v>174.32432432432432</v>
      </c>
      <c r="AZ26" s="41">
        <f t="shared" si="111"/>
        <v>174.32432432432432</v>
      </c>
      <c r="BA26" s="42">
        <f t="shared" si="112"/>
        <v>174.32432432432432</v>
      </c>
      <c r="BB26" s="58">
        <f t="shared" si="58"/>
        <v>2189.1891891891878</v>
      </c>
      <c r="BC26" s="41">
        <f t="shared" si="113"/>
        <v>182.43243243243236</v>
      </c>
      <c r="BD26" s="41">
        <f t="shared" si="114"/>
        <v>182.43243243243236</v>
      </c>
      <c r="BE26" s="41">
        <f t="shared" si="115"/>
        <v>182.43243243243236</v>
      </c>
      <c r="BF26" s="41">
        <f t="shared" si="116"/>
        <v>182.43243243243236</v>
      </c>
      <c r="BG26" s="41">
        <f t="shared" si="117"/>
        <v>182.43243243243236</v>
      </c>
      <c r="BH26" s="41">
        <f t="shared" si="118"/>
        <v>182.43243243243236</v>
      </c>
      <c r="BI26" s="41">
        <f t="shared" si="119"/>
        <v>182.43243243243236</v>
      </c>
      <c r="BJ26" s="41">
        <f t="shared" si="120"/>
        <v>182.43243243243236</v>
      </c>
      <c r="BK26" s="41">
        <f t="shared" si="121"/>
        <v>182.43243243243236</v>
      </c>
      <c r="BL26" s="41">
        <f t="shared" si="122"/>
        <v>182.43243243243236</v>
      </c>
      <c r="BM26" s="41">
        <f t="shared" si="123"/>
        <v>182.43243243243236</v>
      </c>
      <c r="BN26" s="42">
        <f t="shared" si="124"/>
        <v>182.43243243243236</v>
      </c>
    </row>
    <row r="27" spans="1:66" s="43" customFormat="1" outlineLevel="1" x14ac:dyDescent="0.3">
      <c r="A27" s="39" t="s">
        <v>9</v>
      </c>
      <c r="B27" s="40">
        <f t="shared" si="71"/>
        <v>6000</v>
      </c>
      <c r="C27" s="41">
        <v>500</v>
      </c>
      <c r="D27" s="41">
        <v>500</v>
      </c>
      <c r="E27" s="41">
        <v>500</v>
      </c>
      <c r="F27" s="41">
        <v>500</v>
      </c>
      <c r="G27" s="41">
        <v>500</v>
      </c>
      <c r="H27" s="41">
        <v>500</v>
      </c>
      <c r="I27" s="41">
        <v>500</v>
      </c>
      <c r="J27" s="41">
        <v>500</v>
      </c>
      <c r="K27" s="41">
        <v>500</v>
      </c>
      <c r="L27" s="41">
        <v>500</v>
      </c>
      <c r="M27" s="41">
        <v>500</v>
      </c>
      <c r="N27" s="42">
        <v>500</v>
      </c>
      <c r="O27" s="40">
        <f t="shared" si="19"/>
        <v>6324.3243243243223</v>
      </c>
      <c r="P27" s="41">
        <f t="shared" si="77"/>
        <v>527.02702702702697</v>
      </c>
      <c r="Q27" s="41">
        <f t="shared" si="78"/>
        <v>527.02702702702697</v>
      </c>
      <c r="R27" s="41">
        <f t="shared" si="79"/>
        <v>527.02702702702697</v>
      </c>
      <c r="S27" s="41">
        <f t="shared" si="80"/>
        <v>527.02702702702697</v>
      </c>
      <c r="T27" s="41">
        <f t="shared" si="81"/>
        <v>527.02702702702697</v>
      </c>
      <c r="U27" s="41">
        <f t="shared" si="82"/>
        <v>527.02702702702697</v>
      </c>
      <c r="V27" s="41">
        <f t="shared" si="83"/>
        <v>527.02702702702697</v>
      </c>
      <c r="W27" s="41">
        <f t="shared" si="84"/>
        <v>527.02702702702697</v>
      </c>
      <c r="X27" s="41">
        <f t="shared" si="85"/>
        <v>527.02702702702697</v>
      </c>
      <c r="Y27" s="41">
        <f t="shared" si="86"/>
        <v>527.02702702702697</v>
      </c>
      <c r="Z27" s="41">
        <f t="shared" si="87"/>
        <v>527.02702702702697</v>
      </c>
      <c r="AA27" s="42">
        <f t="shared" si="88"/>
        <v>527.02702702702697</v>
      </c>
      <c r="AB27" s="40">
        <f t="shared" si="32"/>
        <v>6648.6486486486501</v>
      </c>
      <c r="AC27" s="41">
        <f t="shared" si="89"/>
        <v>554.05405405405418</v>
      </c>
      <c r="AD27" s="41">
        <f t="shared" si="90"/>
        <v>554.05405405405418</v>
      </c>
      <c r="AE27" s="41">
        <f t="shared" si="91"/>
        <v>554.05405405405418</v>
      </c>
      <c r="AF27" s="41">
        <f t="shared" si="92"/>
        <v>554.05405405405418</v>
      </c>
      <c r="AG27" s="41">
        <f t="shared" si="93"/>
        <v>554.05405405405418</v>
      </c>
      <c r="AH27" s="41">
        <f t="shared" si="94"/>
        <v>554.05405405405418</v>
      </c>
      <c r="AI27" s="41">
        <f t="shared" si="95"/>
        <v>554.05405405405418</v>
      </c>
      <c r="AJ27" s="41">
        <f t="shared" si="96"/>
        <v>554.05405405405418</v>
      </c>
      <c r="AK27" s="41">
        <f t="shared" si="97"/>
        <v>554.05405405405418</v>
      </c>
      <c r="AL27" s="41">
        <f t="shared" si="98"/>
        <v>554.05405405405418</v>
      </c>
      <c r="AM27" s="41">
        <f t="shared" si="99"/>
        <v>554.05405405405418</v>
      </c>
      <c r="AN27" s="42">
        <f t="shared" si="100"/>
        <v>554.05405405405418</v>
      </c>
      <c r="AO27" s="40">
        <f t="shared" si="45"/>
        <v>6972.9729729729725</v>
      </c>
      <c r="AP27" s="41">
        <f t="shared" si="101"/>
        <v>581.08108108108115</v>
      </c>
      <c r="AQ27" s="41">
        <f t="shared" si="102"/>
        <v>581.08108108108115</v>
      </c>
      <c r="AR27" s="41">
        <f t="shared" si="103"/>
        <v>581.08108108108115</v>
      </c>
      <c r="AS27" s="41">
        <f t="shared" si="104"/>
        <v>581.08108108108115</v>
      </c>
      <c r="AT27" s="41">
        <f t="shared" si="105"/>
        <v>581.08108108108115</v>
      </c>
      <c r="AU27" s="41">
        <f t="shared" si="106"/>
        <v>581.08108108108115</v>
      </c>
      <c r="AV27" s="41">
        <f t="shared" si="107"/>
        <v>581.08108108108115</v>
      </c>
      <c r="AW27" s="41">
        <f t="shared" si="108"/>
        <v>581.08108108108115</v>
      </c>
      <c r="AX27" s="41">
        <f t="shared" si="109"/>
        <v>581.08108108108115</v>
      </c>
      <c r="AY27" s="41">
        <f t="shared" si="110"/>
        <v>581.08108108108115</v>
      </c>
      <c r="AZ27" s="41">
        <f t="shared" si="111"/>
        <v>581.08108108108115</v>
      </c>
      <c r="BA27" s="42">
        <f t="shared" si="112"/>
        <v>581.08108108108115</v>
      </c>
      <c r="BB27" s="58">
        <f t="shared" si="58"/>
        <v>7297.2972972972975</v>
      </c>
      <c r="BC27" s="41">
        <f t="shared" si="113"/>
        <v>608.10810810810801</v>
      </c>
      <c r="BD27" s="41">
        <f t="shared" si="114"/>
        <v>608.10810810810801</v>
      </c>
      <c r="BE27" s="41">
        <f t="shared" si="115"/>
        <v>608.10810810810801</v>
      </c>
      <c r="BF27" s="41">
        <f t="shared" si="116"/>
        <v>608.10810810810801</v>
      </c>
      <c r="BG27" s="41">
        <f t="shared" si="117"/>
        <v>608.10810810810801</v>
      </c>
      <c r="BH27" s="41">
        <f t="shared" si="118"/>
        <v>608.10810810810801</v>
      </c>
      <c r="BI27" s="41">
        <f t="shared" si="119"/>
        <v>608.10810810810801</v>
      </c>
      <c r="BJ27" s="41">
        <f t="shared" si="120"/>
        <v>608.10810810810801</v>
      </c>
      <c r="BK27" s="41">
        <f t="shared" si="121"/>
        <v>608.10810810810801</v>
      </c>
      <c r="BL27" s="41">
        <f t="shared" si="122"/>
        <v>608.10810810810801</v>
      </c>
      <c r="BM27" s="41">
        <f t="shared" si="123"/>
        <v>608.10810810810801</v>
      </c>
      <c r="BN27" s="42">
        <f t="shared" si="124"/>
        <v>608.10810810810801</v>
      </c>
    </row>
    <row r="28" spans="1:66" s="43" customFormat="1" outlineLevel="1" x14ac:dyDescent="0.3">
      <c r="A28" s="39" t="s">
        <v>10</v>
      </c>
      <c r="B28" s="40">
        <f t="shared" si="71"/>
        <v>6000</v>
      </c>
      <c r="C28" s="41">
        <v>500</v>
      </c>
      <c r="D28" s="41">
        <v>500</v>
      </c>
      <c r="E28" s="41">
        <v>500</v>
      </c>
      <c r="F28" s="41">
        <v>500</v>
      </c>
      <c r="G28" s="41">
        <v>500</v>
      </c>
      <c r="H28" s="41">
        <v>500</v>
      </c>
      <c r="I28" s="41">
        <v>500</v>
      </c>
      <c r="J28" s="41">
        <v>500</v>
      </c>
      <c r="K28" s="41">
        <v>500</v>
      </c>
      <c r="L28" s="41">
        <v>500</v>
      </c>
      <c r="M28" s="41">
        <v>500</v>
      </c>
      <c r="N28" s="42">
        <v>500</v>
      </c>
      <c r="O28" s="40">
        <f t="shared" si="19"/>
        <v>6324.3243243243223</v>
      </c>
      <c r="P28" s="41">
        <f t="shared" si="77"/>
        <v>527.02702702702697</v>
      </c>
      <c r="Q28" s="41">
        <f t="shared" si="78"/>
        <v>527.02702702702697</v>
      </c>
      <c r="R28" s="41">
        <f t="shared" si="79"/>
        <v>527.02702702702697</v>
      </c>
      <c r="S28" s="41">
        <f t="shared" si="80"/>
        <v>527.02702702702697</v>
      </c>
      <c r="T28" s="41">
        <f t="shared" si="81"/>
        <v>527.02702702702697</v>
      </c>
      <c r="U28" s="41">
        <f t="shared" si="82"/>
        <v>527.02702702702697</v>
      </c>
      <c r="V28" s="41">
        <f t="shared" si="83"/>
        <v>527.02702702702697</v>
      </c>
      <c r="W28" s="41">
        <f t="shared" si="84"/>
        <v>527.02702702702697</v>
      </c>
      <c r="X28" s="41">
        <f t="shared" si="85"/>
        <v>527.02702702702697</v>
      </c>
      <c r="Y28" s="41">
        <f t="shared" si="86"/>
        <v>527.02702702702697</v>
      </c>
      <c r="Z28" s="41">
        <f t="shared" si="87"/>
        <v>527.02702702702697</v>
      </c>
      <c r="AA28" s="42">
        <f t="shared" si="88"/>
        <v>527.02702702702697</v>
      </c>
      <c r="AB28" s="40">
        <f t="shared" si="32"/>
        <v>6648.6486486486501</v>
      </c>
      <c r="AC28" s="41">
        <f t="shared" si="89"/>
        <v>554.05405405405418</v>
      </c>
      <c r="AD28" s="41">
        <f t="shared" si="90"/>
        <v>554.05405405405418</v>
      </c>
      <c r="AE28" s="41">
        <f t="shared" si="91"/>
        <v>554.05405405405418</v>
      </c>
      <c r="AF28" s="41">
        <f t="shared" si="92"/>
        <v>554.05405405405418</v>
      </c>
      <c r="AG28" s="41">
        <f t="shared" si="93"/>
        <v>554.05405405405418</v>
      </c>
      <c r="AH28" s="41">
        <f t="shared" si="94"/>
        <v>554.05405405405418</v>
      </c>
      <c r="AI28" s="41">
        <f t="shared" si="95"/>
        <v>554.05405405405418</v>
      </c>
      <c r="AJ28" s="41">
        <f t="shared" si="96"/>
        <v>554.05405405405418</v>
      </c>
      <c r="AK28" s="41">
        <f t="shared" si="97"/>
        <v>554.05405405405418</v>
      </c>
      <c r="AL28" s="41">
        <f t="shared" si="98"/>
        <v>554.05405405405418</v>
      </c>
      <c r="AM28" s="41">
        <f t="shared" si="99"/>
        <v>554.05405405405418</v>
      </c>
      <c r="AN28" s="42">
        <f t="shared" si="100"/>
        <v>554.05405405405418</v>
      </c>
      <c r="AO28" s="40">
        <f t="shared" si="45"/>
        <v>6972.9729729729725</v>
      </c>
      <c r="AP28" s="41">
        <f t="shared" si="101"/>
        <v>581.08108108108115</v>
      </c>
      <c r="AQ28" s="41">
        <f t="shared" si="102"/>
        <v>581.08108108108115</v>
      </c>
      <c r="AR28" s="41">
        <f t="shared" si="103"/>
        <v>581.08108108108115</v>
      </c>
      <c r="AS28" s="41">
        <f t="shared" si="104"/>
        <v>581.08108108108115</v>
      </c>
      <c r="AT28" s="41">
        <f t="shared" si="105"/>
        <v>581.08108108108115</v>
      </c>
      <c r="AU28" s="41">
        <f t="shared" si="106"/>
        <v>581.08108108108115</v>
      </c>
      <c r="AV28" s="41">
        <f t="shared" si="107"/>
        <v>581.08108108108115</v>
      </c>
      <c r="AW28" s="41">
        <f t="shared" si="108"/>
        <v>581.08108108108115</v>
      </c>
      <c r="AX28" s="41">
        <f t="shared" si="109"/>
        <v>581.08108108108115</v>
      </c>
      <c r="AY28" s="41">
        <f t="shared" si="110"/>
        <v>581.08108108108115</v>
      </c>
      <c r="AZ28" s="41">
        <f t="shared" si="111"/>
        <v>581.08108108108115</v>
      </c>
      <c r="BA28" s="42">
        <f t="shared" si="112"/>
        <v>581.08108108108115</v>
      </c>
      <c r="BB28" s="58">
        <f t="shared" si="58"/>
        <v>7297.2972972972975</v>
      </c>
      <c r="BC28" s="41">
        <f t="shared" si="113"/>
        <v>608.10810810810801</v>
      </c>
      <c r="BD28" s="41">
        <f t="shared" si="114"/>
        <v>608.10810810810801</v>
      </c>
      <c r="BE28" s="41">
        <f t="shared" si="115"/>
        <v>608.10810810810801</v>
      </c>
      <c r="BF28" s="41">
        <f t="shared" si="116"/>
        <v>608.10810810810801</v>
      </c>
      <c r="BG28" s="41">
        <f t="shared" si="117"/>
        <v>608.10810810810801</v>
      </c>
      <c r="BH28" s="41">
        <f t="shared" si="118"/>
        <v>608.10810810810801</v>
      </c>
      <c r="BI28" s="41">
        <f t="shared" si="119"/>
        <v>608.10810810810801</v>
      </c>
      <c r="BJ28" s="41">
        <f t="shared" si="120"/>
        <v>608.10810810810801</v>
      </c>
      <c r="BK28" s="41">
        <f t="shared" si="121"/>
        <v>608.10810810810801</v>
      </c>
      <c r="BL28" s="41">
        <f t="shared" si="122"/>
        <v>608.10810810810801</v>
      </c>
      <c r="BM28" s="41">
        <f t="shared" si="123"/>
        <v>608.10810810810801</v>
      </c>
      <c r="BN28" s="42">
        <f t="shared" si="124"/>
        <v>608.10810810810801</v>
      </c>
    </row>
    <row r="29" spans="1:66" s="43" customFormat="1" outlineLevel="1" x14ac:dyDescent="0.3">
      <c r="A29" s="39" t="s">
        <v>11</v>
      </c>
      <c r="B29" s="40">
        <f t="shared" si="71"/>
        <v>24000</v>
      </c>
      <c r="C29" s="41">
        <v>2000</v>
      </c>
      <c r="D29" s="41">
        <v>2000</v>
      </c>
      <c r="E29" s="41">
        <v>2000</v>
      </c>
      <c r="F29" s="41">
        <v>2000</v>
      </c>
      <c r="G29" s="41">
        <v>2000</v>
      </c>
      <c r="H29" s="41">
        <v>2000</v>
      </c>
      <c r="I29" s="41">
        <v>2000</v>
      </c>
      <c r="J29" s="41">
        <v>2000</v>
      </c>
      <c r="K29" s="41">
        <v>2000</v>
      </c>
      <c r="L29" s="41">
        <v>2000</v>
      </c>
      <c r="M29" s="41">
        <v>2000</v>
      </c>
      <c r="N29" s="42">
        <v>2000</v>
      </c>
      <c r="O29" s="40">
        <f t="shared" si="19"/>
        <v>25297.297297297289</v>
      </c>
      <c r="P29" s="41">
        <f t="shared" si="77"/>
        <v>2108.1081081081079</v>
      </c>
      <c r="Q29" s="41">
        <f t="shared" si="78"/>
        <v>2108.1081081081079</v>
      </c>
      <c r="R29" s="41">
        <f t="shared" si="79"/>
        <v>2108.1081081081079</v>
      </c>
      <c r="S29" s="41">
        <f t="shared" si="80"/>
        <v>2108.1081081081079</v>
      </c>
      <c r="T29" s="41">
        <f t="shared" si="81"/>
        <v>2108.1081081081079</v>
      </c>
      <c r="U29" s="41">
        <f t="shared" si="82"/>
        <v>2108.1081081081079</v>
      </c>
      <c r="V29" s="41">
        <f t="shared" si="83"/>
        <v>2108.1081081081079</v>
      </c>
      <c r="W29" s="41">
        <f t="shared" si="84"/>
        <v>2108.1081081081079</v>
      </c>
      <c r="X29" s="41">
        <f t="shared" si="85"/>
        <v>2108.1081081081079</v>
      </c>
      <c r="Y29" s="41">
        <f t="shared" si="86"/>
        <v>2108.1081081081079</v>
      </c>
      <c r="Z29" s="41">
        <f t="shared" si="87"/>
        <v>2108.1081081081079</v>
      </c>
      <c r="AA29" s="42">
        <f t="shared" si="88"/>
        <v>2108.1081081081079</v>
      </c>
      <c r="AB29" s="40">
        <f t="shared" si="32"/>
        <v>26594.5945945946</v>
      </c>
      <c r="AC29" s="41">
        <f t="shared" si="89"/>
        <v>2216.2162162162167</v>
      </c>
      <c r="AD29" s="41">
        <f t="shared" si="90"/>
        <v>2216.2162162162167</v>
      </c>
      <c r="AE29" s="41">
        <f t="shared" si="91"/>
        <v>2216.2162162162167</v>
      </c>
      <c r="AF29" s="41">
        <f t="shared" si="92"/>
        <v>2216.2162162162167</v>
      </c>
      <c r="AG29" s="41">
        <f t="shared" si="93"/>
        <v>2216.2162162162167</v>
      </c>
      <c r="AH29" s="41">
        <f t="shared" si="94"/>
        <v>2216.2162162162167</v>
      </c>
      <c r="AI29" s="41">
        <f t="shared" si="95"/>
        <v>2216.2162162162167</v>
      </c>
      <c r="AJ29" s="41">
        <f t="shared" si="96"/>
        <v>2216.2162162162167</v>
      </c>
      <c r="AK29" s="41">
        <f t="shared" si="97"/>
        <v>2216.2162162162167</v>
      </c>
      <c r="AL29" s="41">
        <f t="shared" si="98"/>
        <v>2216.2162162162167</v>
      </c>
      <c r="AM29" s="41">
        <f t="shared" si="99"/>
        <v>2216.2162162162167</v>
      </c>
      <c r="AN29" s="42">
        <f t="shared" si="100"/>
        <v>2216.2162162162167</v>
      </c>
      <c r="AO29" s="40">
        <f t="shared" si="45"/>
        <v>27891.89189189189</v>
      </c>
      <c r="AP29" s="41">
        <f t="shared" si="101"/>
        <v>2324.3243243243246</v>
      </c>
      <c r="AQ29" s="41">
        <f t="shared" si="102"/>
        <v>2324.3243243243246</v>
      </c>
      <c r="AR29" s="41">
        <f t="shared" si="103"/>
        <v>2324.3243243243246</v>
      </c>
      <c r="AS29" s="41">
        <f t="shared" si="104"/>
        <v>2324.3243243243246</v>
      </c>
      <c r="AT29" s="41">
        <f t="shared" si="105"/>
        <v>2324.3243243243246</v>
      </c>
      <c r="AU29" s="41">
        <f t="shared" si="106"/>
        <v>2324.3243243243246</v>
      </c>
      <c r="AV29" s="41">
        <f t="shared" si="107"/>
        <v>2324.3243243243246</v>
      </c>
      <c r="AW29" s="41">
        <f t="shared" si="108"/>
        <v>2324.3243243243246</v>
      </c>
      <c r="AX29" s="41">
        <f t="shared" si="109"/>
        <v>2324.3243243243246</v>
      </c>
      <c r="AY29" s="41">
        <f t="shared" si="110"/>
        <v>2324.3243243243246</v>
      </c>
      <c r="AZ29" s="41">
        <f t="shared" si="111"/>
        <v>2324.3243243243246</v>
      </c>
      <c r="BA29" s="42">
        <f t="shared" si="112"/>
        <v>2324.3243243243246</v>
      </c>
      <c r="BB29" s="58">
        <f t="shared" si="58"/>
        <v>29189.18918918919</v>
      </c>
      <c r="BC29" s="41">
        <f t="shared" si="113"/>
        <v>2432.4324324324321</v>
      </c>
      <c r="BD29" s="41">
        <f t="shared" si="114"/>
        <v>2432.4324324324321</v>
      </c>
      <c r="BE29" s="41">
        <f t="shared" si="115"/>
        <v>2432.4324324324321</v>
      </c>
      <c r="BF29" s="41">
        <f t="shared" si="116"/>
        <v>2432.4324324324321</v>
      </c>
      <c r="BG29" s="41">
        <f t="shared" si="117"/>
        <v>2432.4324324324321</v>
      </c>
      <c r="BH29" s="41">
        <f t="shared" si="118"/>
        <v>2432.4324324324321</v>
      </c>
      <c r="BI29" s="41">
        <f t="shared" si="119"/>
        <v>2432.4324324324321</v>
      </c>
      <c r="BJ29" s="41">
        <f t="shared" si="120"/>
        <v>2432.4324324324321</v>
      </c>
      <c r="BK29" s="41">
        <f t="shared" si="121"/>
        <v>2432.4324324324321</v>
      </c>
      <c r="BL29" s="41">
        <f t="shared" si="122"/>
        <v>2432.4324324324321</v>
      </c>
      <c r="BM29" s="41">
        <f t="shared" si="123"/>
        <v>2432.4324324324321</v>
      </c>
      <c r="BN29" s="42">
        <f t="shared" si="124"/>
        <v>2432.4324324324321</v>
      </c>
    </row>
    <row r="30" spans="1:66" s="43" customFormat="1" outlineLevel="1" x14ac:dyDescent="0.3">
      <c r="A30" s="39" t="s">
        <v>70</v>
      </c>
      <c r="B30" s="40">
        <f t="shared" si="71"/>
        <v>3000</v>
      </c>
      <c r="C30" s="41">
        <v>250</v>
      </c>
      <c r="D30" s="41">
        <v>250</v>
      </c>
      <c r="E30" s="41">
        <v>250</v>
      </c>
      <c r="F30" s="41">
        <v>250</v>
      </c>
      <c r="G30" s="41">
        <v>250</v>
      </c>
      <c r="H30" s="41">
        <v>250</v>
      </c>
      <c r="I30" s="41">
        <v>250</v>
      </c>
      <c r="J30" s="41">
        <v>250</v>
      </c>
      <c r="K30" s="41">
        <v>250</v>
      </c>
      <c r="L30" s="41">
        <v>250</v>
      </c>
      <c r="M30" s="41">
        <v>250</v>
      </c>
      <c r="N30" s="42">
        <v>250</v>
      </c>
      <c r="O30" s="40">
        <f t="shared" si="19"/>
        <v>3162.1621621621612</v>
      </c>
      <c r="P30" s="41">
        <f t="shared" si="77"/>
        <v>263.51351351351349</v>
      </c>
      <c r="Q30" s="41">
        <f t="shared" si="78"/>
        <v>263.51351351351349</v>
      </c>
      <c r="R30" s="41">
        <f t="shared" si="79"/>
        <v>263.51351351351349</v>
      </c>
      <c r="S30" s="41">
        <f t="shared" si="80"/>
        <v>263.51351351351349</v>
      </c>
      <c r="T30" s="41">
        <f t="shared" si="81"/>
        <v>263.51351351351349</v>
      </c>
      <c r="U30" s="41">
        <f t="shared" si="82"/>
        <v>263.51351351351349</v>
      </c>
      <c r="V30" s="41">
        <f t="shared" si="83"/>
        <v>263.51351351351349</v>
      </c>
      <c r="W30" s="41">
        <f t="shared" si="84"/>
        <v>263.51351351351349</v>
      </c>
      <c r="X30" s="41">
        <f t="shared" si="85"/>
        <v>263.51351351351349</v>
      </c>
      <c r="Y30" s="41">
        <f t="shared" si="86"/>
        <v>263.51351351351349</v>
      </c>
      <c r="Z30" s="41">
        <f t="shared" si="87"/>
        <v>263.51351351351349</v>
      </c>
      <c r="AA30" s="42">
        <f t="shared" si="88"/>
        <v>263.51351351351349</v>
      </c>
      <c r="AB30" s="40">
        <f t="shared" si="32"/>
        <v>3324.3243243243251</v>
      </c>
      <c r="AC30" s="41">
        <f t="shared" si="89"/>
        <v>277.02702702702709</v>
      </c>
      <c r="AD30" s="41">
        <f t="shared" si="90"/>
        <v>277.02702702702709</v>
      </c>
      <c r="AE30" s="41">
        <f t="shared" si="91"/>
        <v>277.02702702702709</v>
      </c>
      <c r="AF30" s="41">
        <f t="shared" si="92"/>
        <v>277.02702702702709</v>
      </c>
      <c r="AG30" s="41">
        <f t="shared" si="93"/>
        <v>277.02702702702709</v>
      </c>
      <c r="AH30" s="41">
        <f t="shared" si="94"/>
        <v>277.02702702702709</v>
      </c>
      <c r="AI30" s="41">
        <f t="shared" si="95"/>
        <v>277.02702702702709</v>
      </c>
      <c r="AJ30" s="41">
        <f t="shared" si="96"/>
        <v>277.02702702702709</v>
      </c>
      <c r="AK30" s="41">
        <f t="shared" si="97"/>
        <v>277.02702702702709</v>
      </c>
      <c r="AL30" s="41">
        <f t="shared" si="98"/>
        <v>277.02702702702709</v>
      </c>
      <c r="AM30" s="41">
        <f t="shared" si="99"/>
        <v>277.02702702702709</v>
      </c>
      <c r="AN30" s="42">
        <f t="shared" si="100"/>
        <v>277.02702702702709</v>
      </c>
      <c r="AO30" s="40">
        <f t="shared" si="45"/>
        <v>3486.4864864864862</v>
      </c>
      <c r="AP30" s="41">
        <f t="shared" si="101"/>
        <v>290.54054054054058</v>
      </c>
      <c r="AQ30" s="41">
        <f t="shared" si="102"/>
        <v>290.54054054054058</v>
      </c>
      <c r="AR30" s="41">
        <f t="shared" si="103"/>
        <v>290.54054054054058</v>
      </c>
      <c r="AS30" s="41">
        <f t="shared" si="104"/>
        <v>290.54054054054058</v>
      </c>
      <c r="AT30" s="41">
        <f t="shared" si="105"/>
        <v>290.54054054054058</v>
      </c>
      <c r="AU30" s="41">
        <f t="shared" si="106"/>
        <v>290.54054054054058</v>
      </c>
      <c r="AV30" s="41">
        <f t="shared" si="107"/>
        <v>290.54054054054058</v>
      </c>
      <c r="AW30" s="41">
        <f t="shared" si="108"/>
        <v>290.54054054054058</v>
      </c>
      <c r="AX30" s="41">
        <f t="shared" si="109"/>
        <v>290.54054054054058</v>
      </c>
      <c r="AY30" s="41">
        <f t="shared" si="110"/>
        <v>290.54054054054058</v>
      </c>
      <c r="AZ30" s="41">
        <f t="shared" si="111"/>
        <v>290.54054054054058</v>
      </c>
      <c r="BA30" s="42">
        <f t="shared" si="112"/>
        <v>290.54054054054058</v>
      </c>
      <c r="BB30" s="58">
        <f t="shared" si="58"/>
        <v>3648.6486486486488</v>
      </c>
      <c r="BC30" s="41">
        <f t="shared" si="113"/>
        <v>304.05405405405401</v>
      </c>
      <c r="BD30" s="41">
        <f t="shared" si="114"/>
        <v>304.05405405405401</v>
      </c>
      <c r="BE30" s="41">
        <f t="shared" si="115"/>
        <v>304.05405405405401</v>
      </c>
      <c r="BF30" s="41">
        <f t="shared" si="116"/>
        <v>304.05405405405401</v>
      </c>
      <c r="BG30" s="41">
        <f t="shared" si="117"/>
        <v>304.05405405405401</v>
      </c>
      <c r="BH30" s="41">
        <f t="shared" si="118"/>
        <v>304.05405405405401</v>
      </c>
      <c r="BI30" s="41">
        <f t="shared" si="119"/>
        <v>304.05405405405401</v>
      </c>
      <c r="BJ30" s="41">
        <f t="shared" si="120"/>
        <v>304.05405405405401</v>
      </c>
      <c r="BK30" s="41">
        <f t="shared" si="121"/>
        <v>304.05405405405401</v>
      </c>
      <c r="BL30" s="41">
        <f t="shared" si="122"/>
        <v>304.05405405405401</v>
      </c>
      <c r="BM30" s="41">
        <f t="shared" si="123"/>
        <v>304.05405405405401</v>
      </c>
      <c r="BN30" s="42">
        <f t="shared" si="124"/>
        <v>304.05405405405401</v>
      </c>
    </row>
    <row r="31" spans="1:66" s="43" customFormat="1" outlineLevel="1" x14ac:dyDescent="0.3">
      <c r="A31" s="39" t="s">
        <v>13</v>
      </c>
      <c r="B31" s="40">
        <f t="shared" si="71"/>
        <v>21600</v>
      </c>
      <c r="C31" s="41">
        <v>1800</v>
      </c>
      <c r="D31" s="41">
        <v>1800</v>
      </c>
      <c r="E31" s="41">
        <v>1800</v>
      </c>
      <c r="F31" s="41">
        <v>1800</v>
      </c>
      <c r="G31" s="41">
        <v>1800</v>
      </c>
      <c r="H31" s="41">
        <v>1800</v>
      </c>
      <c r="I31" s="41">
        <v>1800</v>
      </c>
      <c r="J31" s="41">
        <v>1800</v>
      </c>
      <c r="K31" s="41">
        <v>1800</v>
      </c>
      <c r="L31" s="41">
        <v>1800</v>
      </c>
      <c r="M31" s="41">
        <v>1800</v>
      </c>
      <c r="N31" s="42">
        <v>1800</v>
      </c>
      <c r="O31" s="40">
        <f t="shared" si="19"/>
        <v>22767.567567567563</v>
      </c>
      <c r="P31" s="41">
        <f t="shared" si="77"/>
        <v>1897.2972972972971</v>
      </c>
      <c r="Q31" s="41">
        <f t="shared" si="78"/>
        <v>1897.2972972972971</v>
      </c>
      <c r="R31" s="41">
        <f t="shared" si="79"/>
        <v>1897.2972972972971</v>
      </c>
      <c r="S31" s="41">
        <f t="shared" si="80"/>
        <v>1897.2972972972971</v>
      </c>
      <c r="T31" s="41">
        <f t="shared" si="81"/>
        <v>1897.2972972972971</v>
      </c>
      <c r="U31" s="41">
        <f t="shared" si="82"/>
        <v>1897.2972972972971</v>
      </c>
      <c r="V31" s="41">
        <f t="shared" si="83"/>
        <v>1897.2972972972971</v>
      </c>
      <c r="W31" s="41">
        <f t="shared" si="84"/>
        <v>1897.2972972972971</v>
      </c>
      <c r="X31" s="41">
        <f t="shared" si="85"/>
        <v>1897.2972972972971</v>
      </c>
      <c r="Y31" s="41">
        <f t="shared" si="86"/>
        <v>1897.2972972972971</v>
      </c>
      <c r="Z31" s="41">
        <f t="shared" si="87"/>
        <v>1897.2972972972971</v>
      </c>
      <c r="AA31" s="42">
        <f t="shared" si="88"/>
        <v>1897.2972972972971</v>
      </c>
      <c r="AB31" s="40">
        <f t="shared" si="32"/>
        <v>23935.135135135133</v>
      </c>
      <c r="AC31" s="41">
        <f t="shared" si="89"/>
        <v>1994.5945945945948</v>
      </c>
      <c r="AD31" s="41">
        <f t="shared" si="90"/>
        <v>1994.5945945945948</v>
      </c>
      <c r="AE31" s="41">
        <f t="shared" si="91"/>
        <v>1994.5945945945948</v>
      </c>
      <c r="AF31" s="41">
        <f t="shared" si="92"/>
        <v>1994.5945945945948</v>
      </c>
      <c r="AG31" s="41">
        <f t="shared" si="93"/>
        <v>1994.5945945945948</v>
      </c>
      <c r="AH31" s="41">
        <f t="shared" si="94"/>
        <v>1994.5945945945948</v>
      </c>
      <c r="AI31" s="41">
        <f t="shared" si="95"/>
        <v>1994.5945945945948</v>
      </c>
      <c r="AJ31" s="41">
        <f t="shared" si="96"/>
        <v>1994.5945945945948</v>
      </c>
      <c r="AK31" s="41">
        <f t="shared" si="97"/>
        <v>1994.5945945945948</v>
      </c>
      <c r="AL31" s="41">
        <f t="shared" si="98"/>
        <v>1994.5945945945948</v>
      </c>
      <c r="AM31" s="41">
        <f t="shared" si="99"/>
        <v>1994.5945945945948</v>
      </c>
      <c r="AN31" s="42">
        <f t="shared" si="100"/>
        <v>1994.5945945945948</v>
      </c>
      <c r="AO31" s="40">
        <f t="shared" si="45"/>
        <v>25102.702702702707</v>
      </c>
      <c r="AP31" s="41">
        <f t="shared" si="101"/>
        <v>2091.8918918918916</v>
      </c>
      <c r="AQ31" s="41">
        <f t="shared" si="102"/>
        <v>2091.8918918918916</v>
      </c>
      <c r="AR31" s="41">
        <f t="shared" si="103"/>
        <v>2091.8918918918916</v>
      </c>
      <c r="AS31" s="41">
        <f t="shared" si="104"/>
        <v>2091.8918918918916</v>
      </c>
      <c r="AT31" s="41">
        <f t="shared" si="105"/>
        <v>2091.8918918918916</v>
      </c>
      <c r="AU31" s="41">
        <f t="shared" si="106"/>
        <v>2091.8918918918916</v>
      </c>
      <c r="AV31" s="41">
        <f t="shared" si="107"/>
        <v>2091.8918918918916</v>
      </c>
      <c r="AW31" s="41">
        <f t="shared" si="108"/>
        <v>2091.8918918918916</v>
      </c>
      <c r="AX31" s="41">
        <f t="shared" si="109"/>
        <v>2091.8918918918916</v>
      </c>
      <c r="AY31" s="41">
        <f t="shared" si="110"/>
        <v>2091.8918918918916</v>
      </c>
      <c r="AZ31" s="41">
        <f t="shared" si="111"/>
        <v>2091.8918918918916</v>
      </c>
      <c r="BA31" s="42">
        <f t="shared" si="112"/>
        <v>2091.8918918918916</v>
      </c>
      <c r="BB31" s="58">
        <f t="shared" si="58"/>
        <v>26270.270270270252</v>
      </c>
      <c r="BC31" s="41">
        <f t="shared" si="113"/>
        <v>2189.1891891891883</v>
      </c>
      <c r="BD31" s="41">
        <f t="shared" si="114"/>
        <v>2189.1891891891883</v>
      </c>
      <c r="BE31" s="41">
        <f t="shared" si="115"/>
        <v>2189.1891891891883</v>
      </c>
      <c r="BF31" s="41">
        <f t="shared" si="116"/>
        <v>2189.1891891891883</v>
      </c>
      <c r="BG31" s="41">
        <f t="shared" si="117"/>
        <v>2189.1891891891883</v>
      </c>
      <c r="BH31" s="41">
        <f t="shared" si="118"/>
        <v>2189.1891891891883</v>
      </c>
      <c r="BI31" s="41">
        <f t="shared" si="119"/>
        <v>2189.1891891891883</v>
      </c>
      <c r="BJ31" s="41">
        <f t="shared" si="120"/>
        <v>2189.1891891891883</v>
      </c>
      <c r="BK31" s="41">
        <f t="shared" si="121"/>
        <v>2189.1891891891883</v>
      </c>
      <c r="BL31" s="41">
        <f t="shared" si="122"/>
        <v>2189.1891891891883</v>
      </c>
      <c r="BM31" s="41">
        <f t="shared" si="123"/>
        <v>2189.1891891891883</v>
      </c>
      <c r="BN31" s="42">
        <f t="shared" si="124"/>
        <v>2189.1891891891883</v>
      </c>
    </row>
    <row r="32" spans="1:66" s="43" customFormat="1" outlineLevel="1" x14ac:dyDescent="0.3">
      <c r="A32" s="39" t="s">
        <v>14</v>
      </c>
      <c r="B32" s="40">
        <f t="shared" si="71"/>
        <v>21600</v>
      </c>
      <c r="C32" s="41">
        <v>1800</v>
      </c>
      <c r="D32" s="41">
        <v>1800</v>
      </c>
      <c r="E32" s="41">
        <v>1800</v>
      </c>
      <c r="F32" s="41">
        <v>1800</v>
      </c>
      <c r="G32" s="41">
        <v>1800</v>
      </c>
      <c r="H32" s="41">
        <v>1800</v>
      </c>
      <c r="I32" s="41">
        <v>1800</v>
      </c>
      <c r="J32" s="41">
        <v>1800</v>
      </c>
      <c r="K32" s="41">
        <v>1800</v>
      </c>
      <c r="L32" s="41">
        <v>1800</v>
      </c>
      <c r="M32" s="41">
        <v>1800</v>
      </c>
      <c r="N32" s="42">
        <v>1800</v>
      </c>
      <c r="O32" s="40">
        <f t="shared" si="19"/>
        <v>22767.567567567563</v>
      </c>
      <c r="P32" s="41">
        <f t="shared" si="77"/>
        <v>1897.2972972972971</v>
      </c>
      <c r="Q32" s="41">
        <f t="shared" si="78"/>
        <v>1897.2972972972971</v>
      </c>
      <c r="R32" s="41">
        <f t="shared" si="79"/>
        <v>1897.2972972972971</v>
      </c>
      <c r="S32" s="41">
        <f t="shared" si="80"/>
        <v>1897.2972972972971</v>
      </c>
      <c r="T32" s="41">
        <f t="shared" si="81"/>
        <v>1897.2972972972971</v>
      </c>
      <c r="U32" s="41">
        <f t="shared" si="82"/>
        <v>1897.2972972972971</v>
      </c>
      <c r="V32" s="41">
        <f t="shared" si="83"/>
        <v>1897.2972972972971</v>
      </c>
      <c r="W32" s="41">
        <f t="shared" si="84"/>
        <v>1897.2972972972971</v>
      </c>
      <c r="X32" s="41">
        <f t="shared" si="85"/>
        <v>1897.2972972972971</v>
      </c>
      <c r="Y32" s="41">
        <f t="shared" si="86"/>
        <v>1897.2972972972971</v>
      </c>
      <c r="Z32" s="41">
        <f t="shared" si="87"/>
        <v>1897.2972972972971</v>
      </c>
      <c r="AA32" s="42">
        <f t="shared" si="88"/>
        <v>1897.2972972972971</v>
      </c>
      <c r="AB32" s="40">
        <f t="shared" si="32"/>
        <v>23935.135135135133</v>
      </c>
      <c r="AC32" s="41">
        <f t="shared" si="89"/>
        <v>1994.5945945945948</v>
      </c>
      <c r="AD32" s="41">
        <f t="shared" si="90"/>
        <v>1994.5945945945948</v>
      </c>
      <c r="AE32" s="41">
        <f t="shared" si="91"/>
        <v>1994.5945945945948</v>
      </c>
      <c r="AF32" s="41">
        <f t="shared" si="92"/>
        <v>1994.5945945945948</v>
      </c>
      <c r="AG32" s="41">
        <f t="shared" si="93"/>
        <v>1994.5945945945948</v>
      </c>
      <c r="AH32" s="41">
        <f t="shared" si="94"/>
        <v>1994.5945945945948</v>
      </c>
      <c r="AI32" s="41">
        <f t="shared" si="95"/>
        <v>1994.5945945945948</v>
      </c>
      <c r="AJ32" s="41">
        <f t="shared" si="96"/>
        <v>1994.5945945945948</v>
      </c>
      <c r="AK32" s="41">
        <f t="shared" si="97"/>
        <v>1994.5945945945948</v>
      </c>
      <c r="AL32" s="41">
        <f t="shared" si="98"/>
        <v>1994.5945945945948</v>
      </c>
      <c r="AM32" s="41">
        <f t="shared" si="99"/>
        <v>1994.5945945945948</v>
      </c>
      <c r="AN32" s="42">
        <f t="shared" si="100"/>
        <v>1994.5945945945948</v>
      </c>
      <c r="AO32" s="40">
        <f t="shared" si="45"/>
        <v>25102.702702702707</v>
      </c>
      <c r="AP32" s="41">
        <f t="shared" si="101"/>
        <v>2091.8918918918916</v>
      </c>
      <c r="AQ32" s="41">
        <f t="shared" si="102"/>
        <v>2091.8918918918916</v>
      </c>
      <c r="AR32" s="41">
        <f t="shared" si="103"/>
        <v>2091.8918918918916</v>
      </c>
      <c r="AS32" s="41">
        <f t="shared" si="104"/>
        <v>2091.8918918918916</v>
      </c>
      <c r="AT32" s="41">
        <f t="shared" si="105"/>
        <v>2091.8918918918916</v>
      </c>
      <c r="AU32" s="41">
        <f t="shared" si="106"/>
        <v>2091.8918918918916</v>
      </c>
      <c r="AV32" s="41">
        <f t="shared" si="107"/>
        <v>2091.8918918918916</v>
      </c>
      <c r="AW32" s="41">
        <f t="shared" si="108"/>
        <v>2091.8918918918916</v>
      </c>
      <c r="AX32" s="41">
        <f t="shared" si="109"/>
        <v>2091.8918918918916</v>
      </c>
      <c r="AY32" s="41">
        <f t="shared" si="110"/>
        <v>2091.8918918918916</v>
      </c>
      <c r="AZ32" s="41">
        <f t="shared" si="111"/>
        <v>2091.8918918918916</v>
      </c>
      <c r="BA32" s="42">
        <f t="shared" si="112"/>
        <v>2091.8918918918916</v>
      </c>
      <c r="BB32" s="58">
        <f t="shared" si="58"/>
        <v>26270.270270270252</v>
      </c>
      <c r="BC32" s="41">
        <f t="shared" si="113"/>
        <v>2189.1891891891883</v>
      </c>
      <c r="BD32" s="41">
        <f t="shared" si="114"/>
        <v>2189.1891891891883</v>
      </c>
      <c r="BE32" s="41">
        <f t="shared" si="115"/>
        <v>2189.1891891891883</v>
      </c>
      <c r="BF32" s="41">
        <f t="shared" si="116"/>
        <v>2189.1891891891883</v>
      </c>
      <c r="BG32" s="41">
        <f t="shared" si="117"/>
        <v>2189.1891891891883</v>
      </c>
      <c r="BH32" s="41">
        <f t="shared" si="118"/>
        <v>2189.1891891891883</v>
      </c>
      <c r="BI32" s="41">
        <f t="shared" si="119"/>
        <v>2189.1891891891883</v>
      </c>
      <c r="BJ32" s="41">
        <f t="shared" si="120"/>
        <v>2189.1891891891883</v>
      </c>
      <c r="BK32" s="41">
        <f t="shared" si="121"/>
        <v>2189.1891891891883</v>
      </c>
      <c r="BL32" s="41">
        <f t="shared" si="122"/>
        <v>2189.1891891891883</v>
      </c>
      <c r="BM32" s="41">
        <f t="shared" si="123"/>
        <v>2189.1891891891883</v>
      </c>
      <c r="BN32" s="42">
        <f t="shared" si="124"/>
        <v>2189.1891891891883</v>
      </c>
    </row>
    <row r="33" spans="1:66" outlineLevel="1" x14ac:dyDescent="0.3">
      <c r="A33" s="44" t="s">
        <v>41</v>
      </c>
      <c r="B33" s="40">
        <f t="shared" si="71"/>
        <v>12000</v>
      </c>
      <c r="C33" s="41">
        <v>1000</v>
      </c>
      <c r="D33" s="41">
        <v>1000</v>
      </c>
      <c r="E33" s="41">
        <v>1000</v>
      </c>
      <c r="F33" s="41">
        <v>1000</v>
      </c>
      <c r="G33" s="41">
        <v>1000</v>
      </c>
      <c r="H33" s="41">
        <v>1000</v>
      </c>
      <c r="I33" s="41">
        <v>1000</v>
      </c>
      <c r="J33" s="41">
        <v>1000</v>
      </c>
      <c r="K33" s="41">
        <v>1000</v>
      </c>
      <c r="L33" s="41">
        <v>1000</v>
      </c>
      <c r="M33" s="41">
        <v>1000</v>
      </c>
      <c r="N33" s="42">
        <v>1000</v>
      </c>
      <c r="O33" s="40">
        <f t="shared" si="19"/>
        <v>12648.648648648645</v>
      </c>
      <c r="P33" s="41">
        <f t="shared" si="77"/>
        <v>1054.0540540540539</v>
      </c>
      <c r="Q33" s="41">
        <f t="shared" si="78"/>
        <v>1054.0540540540539</v>
      </c>
      <c r="R33" s="41">
        <f t="shared" si="79"/>
        <v>1054.0540540540539</v>
      </c>
      <c r="S33" s="41">
        <f t="shared" si="80"/>
        <v>1054.0540540540539</v>
      </c>
      <c r="T33" s="41">
        <f t="shared" si="81"/>
        <v>1054.0540540540539</v>
      </c>
      <c r="U33" s="41">
        <f t="shared" si="82"/>
        <v>1054.0540540540539</v>
      </c>
      <c r="V33" s="41">
        <f t="shared" si="83"/>
        <v>1054.0540540540539</v>
      </c>
      <c r="W33" s="41">
        <f t="shared" si="84"/>
        <v>1054.0540540540539</v>
      </c>
      <c r="X33" s="41">
        <f t="shared" si="85"/>
        <v>1054.0540540540539</v>
      </c>
      <c r="Y33" s="41">
        <f t="shared" si="86"/>
        <v>1054.0540540540539</v>
      </c>
      <c r="Z33" s="41">
        <f t="shared" si="87"/>
        <v>1054.0540540540539</v>
      </c>
      <c r="AA33" s="42">
        <f t="shared" si="88"/>
        <v>1054.0540540540539</v>
      </c>
      <c r="AB33" s="40">
        <f t="shared" si="32"/>
        <v>13297.2972972973</v>
      </c>
      <c r="AC33" s="45">
        <f t="shared" si="89"/>
        <v>1108.1081081081084</v>
      </c>
      <c r="AD33" s="45">
        <f t="shared" si="90"/>
        <v>1108.1081081081084</v>
      </c>
      <c r="AE33" s="45">
        <f t="shared" si="91"/>
        <v>1108.1081081081084</v>
      </c>
      <c r="AF33" s="45">
        <f t="shared" si="92"/>
        <v>1108.1081081081084</v>
      </c>
      <c r="AG33" s="45">
        <f t="shared" si="93"/>
        <v>1108.1081081081084</v>
      </c>
      <c r="AH33" s="45">
        <f t="shared" si="94"/>
        <v>1108.1081081081084</v>
      </c>
      <c r="AI33" s="45">
        <f t="shared" si="95"/>
        <v>1108.1081081081084</v>
      </c>
      <c r="AJ33" s="45">
        <f t="shared" si="96"/>
        <v>1108.1081081081084</v>
      </c>
      <c r="AK33" s="45">
        <f t="shared" si="97"/>
        <v>1108.1081081081084</v>
      </c>
      <c r="AL33" s="45">
        <f t="shared" si="98"/>
        <v>1108.1081081081084</v>
      </c>
      <c r="AM33" s="45">
        <f t="shared" si="99"/>
        <v>1108.1081081081084</v>
      </c>
      <c r="AN33" s="45">
        <f t="shared" si="100"/>
        <v>1108.1081081081084</v>
      </c>
      <c r="AO33" s="40">
        <f t="shared" si="45"/>
        <v>13945.945945945945</v>
      </c>
      <c r="AP33" s="45">
        <f t="shared" si="101"/>
        <v>1162.1621621621623</v>
      </c>
      <c r="AQ33" s="45">
        <f t="shared" si="102"/>
        <v>1162.1621621621623</v>
      </c>
      <c r="AR33" s="45">
        <f t="shared" si="103"/>
        <v>1162.1621621621623</v>
      </c>
      <c r="AS33" s="45">
        <f t="shared" si="104"/>
        <v>1162.1621621621623</v>
      </c>
      <c r="AT33" s="45">
        <f t="shared" si="105"/>
        <v>1162.1621621621623</v>
      </c>
      <c r="AU33" s="45">
        <f t="shared" si="106"/>
        <v>1162.1621621621623</v>
      </c>
      <c r="AV33" s="45">
        <f t="shared" si="107"/>
        <v>1162.1621621621623</v>
      </c>
      <c r="AW33" s="45">
        <f t="shared" si="108"/>
        <v>1162.1621621621623</v>
      </c>
      <c r="AX33" s="45">
        <f t="shared" si="109"/>
        <v>1162.1621621621623</v>
      </c>
      <c r="AY33" s="45">
        <f t="shared" si="110"/>
        <v>1162.1621621621623</v>
      </c>
      <c r="AZ33" s="45">
        <f t="shared" si="111"/>
        <v>1162.1621621621623</v>
      </c>
      <c r="BA33" s="45">
        <f t="shared" si="112"/>
        <v>1162.1621621621623</v>
      </c>
      <c r="BB33" s="58">
        <f t="shared" si="58"/>
        <v>14594.594594594595</v>
      </c>
      <c r="BC33" s="45">
        <f t="shared" si="113"/>
        <v>1216.216216216216</v>
      </c>
      <c r="BD33" s="45">
        <f t="shared" si="114"/>
        <v>1216.216216216216</v>
      </c>
      <c r="BE33" s="45">
        <f t="shared" si="115"/>
        <v>1216.216216216216</v>
      </c>
      <c r="BF33" s="45">
        <f t="shared" si="116"/>
        <v>1216.216216216216</v>
      </c>
      <c r="BG33" s="45">
        <f t="shared" si="117"/>
        <v>1216.216216216216</v>
      </c>
      <c r="BH33" s="45">
        <f t="shared" si="118"/>
        <v>1216.216216216216</v>
      </c>
      <c r="BI33" s="45">
        <f t="shared" si="119"/>
        <v>1216.216216216216</v>
      </c>
      <c r="BJ33" s="45">
        <f t="shared" si="120"/>
        <v>1216.216216216216</v>
      </c>
      <c r="BK33" s="45">
        <f t="shared" si="121"/>
        <v>1216.216216216216</v>
      </c>
      <c r="BL33" s="45">
        <f t="shared" si="122"/>
        <v>1216.216216216216</v>
      </c>
      <c r="BM33" s="45">
        <f t="shared" si="123"/>
        <v>1216.216216216216</v>
      </c>
      <c r="BN33" s="45">
        <f t="shared" si="124"/>
        <v>1216.216216216216</v>
      </c>
    </row>
    <row r="35" spans="1:66" x14ac:dyDescent="0.3">
      <c r="A35" s="17" t="s">
        <v>15</v>
      </c>
      <c r="B35" s="51">
        <f>SUM(C35:N35)</f>
        <v>244641.25</v>
      </c>
      <c r="C35" s="51">
        <f t="shared" ref="C35:BI35" si="125">C18-C20</f>
        <v>10635.5</v>
      </c>
      <c r="D35" s="51">
        <f t="shared" si="125"/>
        <v>53178</v>
      </c>
      <c r="E35" s="51">
        <f t="shared" si="125"/>
        <v>-9280</v>
      </c>
      <c r="F35" s="51">
        <f t="shared" si="125"/>
        <v>58975</v>
      </c>
      <c r="G35" s="51">
        <f t="shared" si="125"/>
        <v>-9280</v>
      </c>
      <c r="H35" s="51">
        <f t="shared" si="125"/>
        <v>53084.5</v>
      </c>
      <c r="I35" s="51">
        <f t="shared" si="125"/>
        <v>-9280</v>
      </c>
      <c r="J35" s="51">
        <f t="shared" si="125"/>
        <v>62200.75</v>
      </c>
      <c r="K35" s="51">
        <f t="shared" si="125"/>
        <v>-9280</v>
      </c>
      <c r="L35" s="51">
        <f t="shared" si="125"/>
        <v>59629.5</v>
      </c>
      <c r="M35" s="51">
        <f t="shared" si="125"/>
        <v>-9280</v>
      </c>
      <c r="N35" s="51">
        <f t="shared" si="125"/>
        <v>-6662</v>
      </c>
      <c r="O35" s="51">
        <f>SUM(P35:AA35)</f>
        <v>518035.16891891899</v>
      </c>
      <c r="P35" s="51">
        <f t="shared" si="125"/>
        <v>24262.486486486487</v>
      </c>
      <c r="Q35" s="51">
        <f t="shared" si="125"/>
        <v>59600.432432432441</v>
      </c>
      <c r="R35" s="51">
        <f t="shared" si="125"/>
        <v>37327.21621621622</v>
      </c>
      <c r="S35" s="51">
        <f t="shared" si="125"/>
        <v>65710.783783783772</v>
      </c>
      <c r="T35" s="51">
        <f t="shared" si="125"/>
        <v>37327.21621621622</v>
      </c>
      <c r="U35" s="51">
        <f t="shared" si="125"/>
        <v>53335.932432432441</v>
      </c>
      <c r="V35" s="51">
        <f t="shared" si="125"/>
        <v>37327.21621621622</v>
      </c>
      <c r="W35" s="51">
        <f t="shared" si="125"/>
        <v>69110.898648648639</v>
      </c>
      <c r="X35" s="51">
        <f t="shared" si="125"/>
        <v>37327.21621621622</v>
      </c>
      <c r="Y35" s="51">
        <f t="shared" si="125"/>
        <v>66400.662162162174</v>
      </c>
      <c r="Z35" s="51">
        <f t="shared" si="125"/>
        <v>37327.21621621622</v>
      </c>
      <c r="AA35" s="51">
        <f t="shared" si="125"/>
        <v>-7022.1081081081047</v>
      </c>
      <c r="AB35" s="51">
        <f>SUM(AC35:AN35)</f>
        <v>660823.65540540544</v>
      </c>
      <c r="AC35" s="51">
        <f t="shared" si="125"/>
        <v>27374.483783783791</v>
      </c>
      <c r="AD35" s="51">
        <f t="shared" si="125"/>
        <v>77078.808783783781</v>
      </c>
      <c r="AE35" s="51">
        <f t="shared" si="125"/>
        <v>48775.483783783791</v>
      </c>
      <c r="AF35" s="51">
        <f t="shared" si="125"/>
        <v>83815.108783783813</v>
      </c>
      <c r="AG35" s="51">
        <f t="shared" si="125"/>
        <v>48775.483783783791</v>
      </c>
      <c r="AH35" s="51">
        <f t="shared" si="125"/>
        <v>63174.658783783787</v>
      </c>
      <c r="AI35" s="51">
        <f t="shared" si="125"/>
        <v>48775.483783783791</v>
      </c>
      <c r="AJ35" s="51">
        <f t="shared" si="125"/>
        <v>87563.533783783801</v>
      </c>
      <c r="AK35" s="51">
        <f t="shared" si="125"/>
        <v>48775.483783783791</v>
      </c>
      <c r="AL35" s="51">
        <f t="shared" si="125"/>
        <v>84575.658783783787</v>
      </c>
      <c r="AM35" s="51">
        <f t="shared" si="125"/>
        <v>48775.483783783791</v>
      </c>
      <c r="AN35" s="51">
        <f t="shared" si="125"/>
        <v>-6636.0162162162123</v>
      </c>
      <c r="AO35" s="51">
        <f>SUM(AP35:BA35)</f>
        <v>692602.85810810816</v>
      </c>
      <c r="AP35" s="51">
        <f t="shared" si="125"/>
        <v>28481.775675675668</v>
      </c>
      <c r="AQ35" s="51">
        <f t="shared" si="125"/>
        <v>80838.750675675692</v>
      </c>
      <c r="AR35" s="51">
        <f t="shared" si="125"/>
        <v>51154.775675675672</v>
      </c>
      <c r="AS35" s="51">
        <f t="shared" si="125"/>
        <v>87903.650675675672</v>
      </c>
      <c r="AT35" s="51">
        <f t="shared" si="125"/>
        <v>51154.775675675672</v>
      </c>
      <c r="AU35" s="51">
        <f t="shared" si="125"/>
        <v>66028.30067567568</v>
      </c>
      <c r="AV35" s="51">
        <f t="shared" si="125"/>
        <v>51154.775675675672</v>
      </c>
      <c r="AW35" s="51">
        <f t="shared" si="125"/>
        <v>91834.92567567568</v>
      </c>
      <c r="AX35" s="51">
        <f t="shared" si="125"/>
        <v>51154.775675675672</v>
      </c>
      <c r="AY35" s="51">
        <f t="shared" si="125"/>
        <v>88701.30067567568</v>
      </c>
      <c r="AZ35" s="51">
        <f t="shared" si="125"/>
        <v>51154.775675675672</v>
      </c>
      <c r="BA35" s="51">
        <f t="shared" si="125"/>
        <v>-6959.7243243243247</v>
      </c>
      <c r="BB35" s="51">
        <f>SUM(BC35:BN35)</f>
        <v>703811.43581081077</v>
      </c>
      <c r="BC35" s="51">
        <f t="shared" si="125"/>
        <v>29589.067567567563</v>
      </c>
      <c r="BD35" s="51">
        <f t="shared" si="125"/>
        <v>80484.56756756753</v>
      </c>
      <c r="BE35" s="51">
        <f t="shared" si="125"/>
        <v>53534.067567567545</v>
      </c>
      <c r="BF35" s="51">
        <f t="shared" si="125"/>
        <v>87878.067567567545</v>
      </c>
      <c r="BG35" s="51">
        <f t="shared" si="125"/>
        <v>53534.067567567545</v>
      </c>
      <c r="BH35" s="51">
        <f t="shared" si="125"/>
        <v>64767.817567567545</v>
      </c>
      <c r="BI35" s="51">
        <f t="shared" si="125"/>
        <v>53534.067567567545</v>
      </c>
      <c r="BJ35" s="51">
        <f t="shared" ref="BJ35:BN35" si="126">BJ18-BJ20</f>
        <v>91992.192567567545</v>
      </c>
      <c r="BK35" s="51">
        <f t="shared" si="126"/>
        <v>53534.067567567545</v>
      </c>
      <c r="BL35" s="51">
        <f t="shared" si="126"/>
        <v>88712.81756756753</v>
      </c>
      <c r="BM35" s="51">
        <f t="shared" si="126"/>
        <v>53534.067567567545</v>
      </c>
      <c r="BN35" s="51">
        <f t="shared" si="126"/>
        <v>-7283.4324324324298</v>
      </c>
    </row>
    <row r="36" spans="1:66" x14ac:dyDescent="0.3">
      <c r="A36" s="17" t="s">
        <v>16</v>
      </c>
      <c r="B36" s="51">
        <f>B35</f>
        <v>244641.25</v>
      </c>
      <c r="C36" s="51">
        <f>C35</f>
        <v>10635.5</v>
      </c>
      <c r="D36" s="51">
        <f t="shared" ref="D36:AB36" si="127">D35+C36</f>
        <v>63813.5</v>
      </c>
      <c r="E36" s="51">
        <f t="shared" si="127"/>
        <v>54533.5</v>
      </c>
      <c r="F36" s="51">
        <f t="shared" si="127"/>
        <v>113508.5</v>
      </c>
      <c r="G36" s="51">
        <f t="shared" si="127"/>
        <v>104228.5</v>
      </c>
      <c r="H36" s="51">
        <f t="shared" si="127"/>
        <v>157313</v>
      </c>
      <c r="I36" s="51">
        <f t="shared" si="127"/>
        <v>148033</v>
      </c>
      <c r="J36" s="51">
        <f t="shared" si="127"/>
        <v>210233.75</v>
      </c>
      <c r="K36" s="51">
        <f t="shared" si="127"/>
        <v>200953.75</v>
      </c>
      <c r="L36" s="51">
        <f t="shared" si="127"/>
        <v>260583.25</v>
      </c>
      <c r="M36" s="51">
        <f t="shared" si="127"/>
        <v>251303.25</v>
      </c>
      <c r="N36" s="51">
        <f t="shared" si="127"/>
        <v>244641.25</v>
      </c>
      <c r="O36" s="51">
        <f t="shared" si="127"/>
        <v>762676.41891891905</v>
      </c>
      <c r="P36" s="51">
        <f t="shared" ref="P36" si="128">P35+N36</f>
        <v>268903.73648648651</v>
      </c>
      <c r="Q36" s="51">
        <f t="shared" ref="Q36:AA36" si="129">Q35+P36</f>
        <v>328504.16891891893</v>
      </c>
      <c r="R36" s="51">
        <f t="shared" si="129"/>
        <v>365831.38513513515</v>
      </c>
      <c r="S36" s="51">
        <f t="shared" si="129"/>
        <v>431542.16891891893</v>
      </c>
      <c r="T36" s="51">
        <f t="shared" si="129"/>
        <v>468869.38513513515</v>
      </c>
      <c r="U36" s="51">
        <f t="shared" si="129"/>
        <v>522205.31756756757</v>
      </c>
      <c r="V36" s="51">
        <f t="shared" si="129"/>
        <v>559532.53378378379</v>
      </c>
      <c r="W36" s="51">
        <f t="shared" si="129"/>
        <v>628643.43243243243</v>
      </c>
      <c r="X36" s="51">
        <f t="shared" si="129"/>
        <v>665970.64864864864</v>
      </c>
      <c r="Y36" s="51">
        <f t="shared" si="129"/>
        <v>732371.31081081077</v>
      </c>
      <c r="Z36" s="51">
        <f t="shared" si="129"/>
        <v>769698.52702702698</v>
      </c>
      <c r="AA36" s="51">
        <f t="shared" si="129"/>
        <v>762676.41891891893</v>
      </c>
      <c r="AB36" s="51">
        <f t="shared" si="127"/>
        <v>1423500.0743243243</v>
      </c>
      <c r="AC36" s="51">
        <f>AC35+AA36</f>
        <v>790050.90270270268</v>
      </c>
      <c r="AD36" s="51">
        <f>AD35+AC36</f>
        <v>867129.71148648649</v>
      </c>
      <c r="AE36" s="51">
        <f t="shared" ref="AE36:BI36" si="130">AE35+AD36</f>
        <v>915905.19527027023</v>
      </c>
      <c r="AF36" s="51">
        <f t="shared" si="130"/>
        <v>999720.30405405408</v>
      </c>
      <c r="AG36" s="51">
        <f t="shared" si="130"/>
        <v>1048495.7878378378</v>
      </c>
      <c r="AH36" s="51">
        <f t="shared" si="130"/>
        <v>1111670.4466216215</v>
      </c>
      <c r="AI36" s="51">
        <f t="shared" si="130"/>
        <v>1160445.9304054054</v>
      </c>
      <c r="AJ36" s="51">
        <f t="shared" si="130"/>
        <v>1248009.4641891893</v>
      </c>
      <c r="AK36" s="51">
        <f t="shared" si="130"/>
        <v>1296784.9479729731</v>
      </c>
      <c r="AL36" s="51">
        <f t="shared" si="130"/>
        <v>1381360.606756757</v>
      </c>
      <c r="AM36" s="51">
        <f t="shared" si="130"/>
        <v>1430136.0905405409</v>
      </c>
      <c r="AN36" s="51">
        <f t="shared" si="130"/>
        <v>1423500.0743243247</v>
      </c>
      <c r="AO36" s="51">
        <f t="shared" si="130"/>
        <v>2116102.9324324327</v>
      </c>
      <c r="AP36" s="51">
        <f>AP35+AN36</f>
        <v>1451981.8500000003</v>
      </c>
      <c r="AQ36" s="51">
        <f t="shared" si="130"/>
        <v>1532820.600675676</v>
      </c>
      <c r="AR36" s="51">
        <f t="shared" si="130"/>
        <v>1583975.3763513516</v>
      </c>
      <c r="AS36" s="51">
        <f t="shared" si="130"/>
        <v>1671879.0270270272</v>
      </c>
      <c r="AT36" s="51">
        <f t="shared" si="130"/>
        <v>1723033.8027027028</v>
      </c>
      <c r="AU36" s="51">
        <f t="shared" si="130"/>
        <v>1789062.1033783786</v>
      </c>
      <c r="AV36" s="51">
        <f t="shared" si="130"/>
        <v>1840216.8790540542</v>
      </c>
      <c r="AW36" s="51">
        <f t="shared" si="130"/>
        <v>1932051.8047297299</v>
      </c>
      <c r="AX36" s="51">
        <f t="shared" si="130"/>
        <v>1983206.5804054055</v>
      </c>
      <c r="AY36" s="51">
        <f t="shared" si="130"/>
        <v>2071907.8810810812</v>
      </c>
      <c r="AZ36" s="51">
        <f t="shared" si="130"/>
        <v>2123062.6567567568</v>
      </c>
      <c r="BA36" s="51">
        <f t="shared" si="130"/>
        <v>2116102.9324324327</v>
      </c>
      <c r="BB36" s="51">
        <f t="shared" si="130"/>
        <v>2819914.3682432435</v>
      </c>
      <c r="BC36" s="51">
        <f>BC35+BA36</f>
        <v>2145692</v>
      </c>
      <c r="BD36" s="51">
        <f t="shared" si="130"/>
        <v>2226176.5675675673</v>
      </c>
      <c r="BE36" s="51">
        <f t="shared" si="130"/>
        <v>2279710.6351351347</v>
      </c>
      <c r="BF36" s="51">
        <f t="shared" si="130"/>
        <v>2367588.702702702</v>
      </c>
      <c r="BG36" s="51">
        <f t="shared" si="130"/>
        <v>2421122.7702702694</v>
      </c>
      <c r="BH36" s="51">
        <f t="shared" si="130"/>
        <v>2485890.5878378367</v>
      </c>
      <c r="BI36" s="51">
        <f t="shared" si="130"/>
        <v>2539424.655405404</v>
      </c>
      <c r="BJ36" s="51">
        <f t="shared" ref="BJ36:BN36" si="131">BJ35+BI36</f>
        <v>2631416.8479729714</v>
      </c>
      <c r="BK36" s="51">
        <f t="shared" si="131"/>
        <v>2684950.9155405387</v>
      </c>
      <c r="BL36" s="51">
        <f t="shared" si="131"/>
        <v>2773663.7331081061</v>
      </c>
      <c r="BM36" s="51">
        <f t="shared" si="131"/>
        <v>2827197.8006756734</v>
      </c>
      <c r="BN36" s="51">
        <f t="shared" si="131"/>
        <v>2819914.3682432408</v>
      </c>
    </row>
    <row r="37" spans="1:66" x14ac:dyDescent="0.3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</row>
    <row r="38" spans="1:66" hidden="1" x14ac:dyDescent="0.3"/>
    <row r="39" spans="1:66" x14ac:dyDescent="0.3">
      <c r="B39" s="47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</row>
    <row r="40" spans="1:66" x14ac:dyDescent="0.3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</row>
    <row r="41" spans="1:66" x14ac:dyDescent="0.3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</row>
    <row r="42" spans="1:66" x14ac:dyDescent="0.3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</row>
    <row r="46" spans="1:66" x14ac:dyDescent="0.3">
      <c r="A46" s="49"/>
      <c r="C46" s="106"/>
      <c r="D46" s="106"/>
    </row>
    <row r="47" spans="1:66" x14ac:dyDescent="0.3">
      <c r="A47" s="49"/>
      <c r="C47" s="107"/>
      <c r="D47" s="107"/>
    </row>
    <row r="48" spans="1:66" x14ac:dyDescent="0.3">
      <c r="A48" s="49"/>
      <c r="C48" s="108"/>
      <c r="D48" s="108"/>
    </row>
    <row r="49" spans="1:1" x14ac:dyDescent="0.3">
      <c r="A49" s="50"/>
    </row>
    <row r="50" spans="1:1" x14ac:dyDescent="0.3">
      <c r="A50" s="50"/>
    </row>
    <row r="51" spans="1:1" x14ac:dyDescent="0.3">
      <c r="A51" s="50"/>
    </row>
    <row r="52" spans="1:1" x14ac:dyDescent="0.3">
      <c r="A52" s="50"/>
    </row>
    <row r="53" spans="1:1" x14ac:dyDescent="0.3">
      <c r="A53" s="50"/>
    </row>
  </sheetData>
  <mergeCells count="4">
    <mergeCell ref="C46:D46"/>
    <mergeCell ref="C47:D47"/>
    <mergeCell ref="C48:D48"/>
    <mergeCell ref="A2:BB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E15" sqref="E15"/>
    </sheetView>
  </sheetViews>
  <sheetFormatPr defaultRowHeight="13.2" x14ac:dyDescent="0.25"/>
  <cols>
    <col min="3" max="3" width="20.33203125" bestFit="1" customWidth="1"/>
    <col min="5" max="5" width="10.33203125" bestFit="1" customWidth="1"/>
    <col min="6" max="6" width="9.6640625" bestFit="1" customWidth="1"/>
  </cols>
  <sheetData>
    <row r="1" spans="1:10" ht="15" x14ac:dyDescent="0.25">
      <c r="A1" s="3"/>
      <c r="C1" s="110"/>
      <c r="D1" s="110"/>
      <c r="E1" s="110"/>
      <c r="F1" s="110"/>
      <c r="G1" s="110"/>
      <c r="H1" s="110"/>
      <c r="I1" s="110"/>
      <c r="J1" s="110"/>
    </row>
    <row r="2" spans="1:10" ht="15" x14ac:dyDescent="0.25">
      <c r="C2" s="110"/>
      <c r="D2" s="110"/>
      <c r="E2" s="110"/>
      <c r="F2" s="110"/>
      <c r="G2" s="110"/>
      <c r="H2" s="110"/>
      <c r="I2" s="110"/>
      <c r="J2" s="110"/>
    </row>
    <row r="3" spans="1:10" ht="15" x14ac:dyDescent="0.25">
      <c r="C3" s="110"/>
      <c r="D3" s="110"/>
      <c r="E3" s="110"/>
      <c r="F3" s="110"/>
      <c r="G3" s="110"/>
      <c r="H3" s="110"/>
      <c r="I3" s="110"/>
      <c r="J3" s="110"/>
    </row>
    <row r="4" spans="1:10" ht="15" x14ac:dyDescent="0.25">
      <c r="C4" s="110"/>
      <c r="D4" s="110"/>
      <c r="E4" s="110"/>
      <c r="F4" s="110"/>
      <c r="G4" s="110"/>
      <c r="H4" s="110"/>
      <c r="I4" s="110"/>
      <c r="J4" s="110"/>
    </row>
    <row r="5" spans="1:10" ht="15" x14ac:dyDescent="0.25">
      <c r="C5" s="110"/>
      <c r="D5" s="110"/>
      <c r="E5" s="110"/>
      <c r="F5" s="110"/>
      <c r="G5" s="110"/>
      <c r="H5" s="110"/>
      <c r="I5" s="110"/>
      <c r="J5" s="110"/>
    </row>
    <row r="6" spans="1:10" x14ac:dyDescent="0.25">
      <c r="F6">
        <v>500000</v>
      </c>
    </row>
    <row r="7" spans="1:10" x14ac:dyDescent="0.25">
      <c r="C7" s="4">
        <v>45410</v>
      </c>
      <c r="D7" s="3">
        <v>3.5000000000000001E-3</v>
      </c>
      <c r="E7" s="1">
        <f t="shared" ref="E7:E10" si="0">C7*D7</f>
        <v>158.935</v>
      </c>
      <c r="F7" s="4">
        <f>F6-C7</f>
        <v>454590</v>
      </c>
    </row>
    <row r="8" spans="1:10" x14ac:dyDescent="0.25">
      <c r="C8" s="5">
        <v>63542</v>
      </c>
      <c r="D8" s="3">
        <v>5.4999999999999997E-3</v>
      </c>
      <c r="E8" s="1">
        <f t="shared" si="0"/>
        <v>349.48099999999999</v>
      </c>
      <c r="F8" s="4">
        <f t="shared" ref="F8:F11" si="1">F7-C8</f>
        <v>391048</v>
      </c>
    </row>
    <row r="9" spans="1:10" x14ac:dyDescent="0.25">
      <c r="C9" s="5">
        <v>81678</v>
      </c>
      <c r="D9" s="3">
        <v>8.5000000000000006E-3</v>
      </c>
      <c r="E9" s="1">
        <f t="shared" si="0"/>
        <v>694.26300000000003</v>
      </c>
      <c r="F9" s="4">
        <f t="shared" si="1"/>
        <v>309370</v>
      </c>
    </row>
    <row r="10" spans="1:10" x14ac:dyDescent="0.25">
      <c r="C10" s="5">
        <v>99813</v>
      </c>
      <c r="D10" s="3">
        <v>1.6E-2</v>
      </c>
      <c r="E10" s="1">
        <f t="shared" si="0"/>
        <v>1597.008</v>
      </c>
      <c r="F10" s="4">
        <f t="shared" si="1"/>
        <v>209557</v>
      </c>
    </row>
    <row r="11" spans="1:10" x14ac:dyDescent="0.25">
      <c r="C11" s="5">
        <v>99813</v>
      </c>
      <c r="D11" s="3">
        <v>1.8000000000000002E-2</v>
      </c>
      <c r="E11" s="1">
        <f>F11*D11</f>
        <v>1975.3920000000003</v>
      </c>
      <c r="F11" s="4">
        <f t="shared" si="1"/>
        <v>109744</v>
      </c>
    </row>
    <row r="12" spans="1:10" x14ac:dyDescent="0.25">
      <c r="E12" s="1"/>
    </row>
    <row r="14" spans="1:10" x14ac:dyDescent="0.25">
      <c r="C14" t="s">
        <v>12</v>
      </c>
      <c r="D14" s="6">
        <v>375</v>
      </c>
      <c r="E14" s="7">
        <f>D14+E11</f>
        <v>2350.3920000000003</v>
      </c>
    </row>
    <row r="15" spans="1:10" x14ac:dyDescent="0.25">
      <c r="E15" s="7">
        <f>E14/12</f>
        <v>195.86600000000001</v>
      </c>
    </row>
  </sheetData>
  <mergeCells count="5">
    <mergeCell ref="C1:J1"/>
    <mergeCell ref="C2:J2"/>
    <mergeCell ref="C3:J3"/>
    <mergeCell ref="C4:J4"/>
    <mergeCell ref="C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50"/>
  <sheetViews>
    <sheetView showGridLines="0" topLeftCell="A31" zoomScale="130" zoomScaleNormal="130" workbookViewId="0">
      <selection activeCell="C32" sqref="C32:C33"/>
    </sheetView>
  </sheetViews>
  <sheetFormatPr defaultRowHeight="14.4" x14ac:dyDescent="0.3"/>
  <cols>
    <col min="1" max="1" width="1.109375" style="60" customWidth="1"/>
    <col min="2" max="2" width="8.88671875" style="60"/>
    <col min="3" max="3" width="18.6640625" style="60" bestFit="1" customWidth="1"/>
    <col min="4" max="4" width="16.33203125" style="60" customWidth="1"/>
    <col min="5" max="5" width="16.5546875" style="60" customWidth="1"/>
    <col min="6" max="6" width="18.44140625" style="60" customWidth="1"/>
    <col min="7" max="7" width="16.5546875" style="60" customWidth="1"/>
    <col min="8" max="9" width="15.88671875" style="60" bestFit="1" customWidth="1"/>
    <col min="10" max="16384" width="8.88671875" style="60"/>
  </cols>
  <sheetData>
    <row r="1" spans="3:6" ht="15" thickBot="1" x14ac:dyDescent="0.35"/>
    <row r="2" spans="3:6" x14ac:dyDescent="0.3">
      <c r="C2" s="112" t="s">
        <v>76</v>
      </c>
      <c r="D2" s="113"/>
      <c r="E2" s="113"/>
      <c r="F2" s="114"/>
    </row>
    <row r="3" spans="3:6" ht="15" thickBot="1" x14ac:dyDescent="0.35">
      <c r="C3" s="115"/>
      <c r="D3" s="116"/>
      <c r="E3" s="116"/>
      <c r="F3" s="117"/>
    </row>
    <row r="4" spans="3:6" ht="43.2" x14ac:dyDescent="0.3">
      <c r="C4" s="105" t="s">
        <v>17</v>
      </c>
      <c r="D4" s="105" t="s">
        <v>18</v>
      </c>
      <c r="E4" s="105" t="s">
        <v>19</v>
      </c>
      <c r="F4" s="105" t="s">
        <v>20</v>
      </c>
    </row>
    <row r="5" spans="3:6" x14ac:dyDescent="0.3">
      <c r="C5" s="101" t="s">
        <v>21</v>
      </c>
      <c r="D5" s="102">
        <v>0.09</v>
      </c>
      <c r="E5" s="103">
        <f>15%*D5</f>
        <v>1.35E-2</v>
      </c>
      <c r="F5" s="104">
        <f>D5-E5</f>
        <v>7.6499999999999999E-2</v>
      </c>
    </row>
    <row r="6" spans="3:6" x14ac:dyDescent="0.3">
      <c r="C6" s="62" t="s">
        <v>22</v>
      </c>
      <c r="D6" s="64">
        <v>0.1</v>
      </c>
      <c r="E6" s="67">
        <f t="shared" ref="E6:E8" si="0">15%*D6</f>
        <v>1.4999999999999999E-2</v>
      </c>
      <c r="F6" s="69">
        <f t="shared" ref="F6:F8" si="1">D6-E6</f>
        <v>8.5000000000000006E-2</v>
      </c>
    </row>
    <row r="7" spans="3:6" x14ac:dyDescent="0.3">
      <c r="C7" s="62" t="s">
        <v>23</v>
      </c>
      <c r="D7" s="65">
        <v>8.5000000000000006E-2</v>
      </c>
      <c r="E7" s="67">
        <f t="shared" si="0"/>
        <v>1.2750000000000001E-2</v>
      </c>
      <c r="F7" s="65">
        <f t="shared" si="1"/>
        <v>7.2250000000000009E-2</v>
      </c>
    </row>
    <row r="8" spans="3:6" x14ac:dyDescent="0.3">
      <c r="C8" s="62" t="s">
        <v>24</v>
      </c>
      <c r="D8" s="64">
        <v>0.06</v>
      </c>
      <c r="E8" s="67">
        <f t="shared" si="0"/>
        <v>8.9999999999999993E-3</v>
      </c>
      <c r="F8" s="65">
        <f t="shared" si="1"/>
        <v>5.0999999999999997E-2</v>
      </c>
    </row>
    <row r="9" spans="3:6" ht="15" thickBot="1" x14ac:dyDescent="0.35">
      <c r="C9" s="63" t="s">
        <v>25</v>
      </c>
      <c r="D9" s="66">
        <f>AVERAGE(D5:D8)</f>
        <v>8.3750000000000005E-2</v>
      </c>
      <c r="E9" s="68" t="s">
        <v>74</v>
      </c>
      <c r="F9" s="70">
        <f>AVERAGE(F5:F8)</f>
        <v>7.1187500000000001E-2</v>
      </c>
    </row>
    <row r="10" spans="3:6" ht="15" thickBot="1" x14ac:dyDescent="0.35"/>
    <row r="11" spans="3:6" x14ac:dyDescent="0.3">
      <c r="C11" s="118" t="s">
        <v>27</v>
      </c>
      <c r="D11" s="119"/>
    </row>
    <row r="12" spans="3:6" ht="15" thickBot="1" x14ac:dyDescent="0.35">
      <c r="C12" s="120"/>
      <c r="D12" s="121"/>
    </row>
    <row r="13" spans="3:6" x14ac:dyDescent="0.3">
      <c r="C13" s="73" t="s">
        <v>28</v>
      </c>
      <c r="D13" s="73" t="s">
        <v>29</v>
      </c>
    </row>
    <row r="14" spans="3:6" x14ac:dyDescent="0.3">
      <c r="C14" s="74">
        <v>1</v>
      </c>
      <c r="D14" s="76">
        <f>'Memorial de Cálculo'!B35</f>
        <v>244641.25</v>
      </c>
    </row>
    <row r="15" spans="3:6" x14ac:dyDescent="0.3">
      <c r="C15" s="74">
        <v>2</v>
      </c>
      <c r="D15" s="76">
        <f>'Memorial de Cálculo'!O35</f>
        <v>518035.16891891899</v>
      </c>
    </row>
    <row r="16" spans="3:6" x14ac:dyDescent="0.3">
      <c r="C16" s="74">
        <v>3</v>
      </c>
      <c r="D16" s="76">
        <f>'Memorial de Cálculo'!AB35</f>
        <v>660823.65540540544</v>
      </c>
    </row>
    <row r="17" spans="2:8" x14ac:dyDescent="0.3">
      <c r="C17" s="74">
        <v>4</v>
      </c>
      <c r="D17" s="76">
        <f>'Memorial de Cálculo'!AO35</f>
        <v>692602.85810810816</v>
      </c>
    </row>
    <row r="18" spans="2:8" ht="15" thickBot="1" x14ac:dyDescent="0.35">
      <c r="C18" s="75">
        <v>5</v>
      </c>
      <c r="D18" s="77">
        <f>'Memorial de Cálculo'!BB35</f>
        <v>703811.43581081077</v>
      </c>
    </row>
    <row r="19" spans="2:8" ht="15" thickBot="1" x14ac:dyDescent="0.35">
      <c r="C19" s="71" t="s">
        <v>27</v>
      </c>
      <c r="D19" s="72">
        <f>NPV(D21,D14:D18)</f>
        <v>2150718.6967535717</v>
      </c>
    </row>
    <row r="20" spans="2:8" ht="15" thickBot="1" x14ac:dyDescent="0.35"/>
    <row r="21" spans="2:8" ht="15" thickBot="1" x14ac:dyDescent="0.35">
      <c r="C21" s="71" t="s">
        <v>26</v>
      </c>
      <c r="D21" s="78">
        <v>8.5000000000000006E-2</v>
      </c>
    </row>
    <row r="22" spans="2:8" ht="15" thickBot="1" x14ac:dyDescent="0.35"/>
    <row r="23" spans="2:8" ht="15" thickBot="1" x14ac:dyDescent="0.35">
      <c r="D23" s="80" t="s">
        <v>56</v>
      </c>
      <c r="E23" s="80" t="s">
        <v>53</v>
      </c>
      <c r="F23" s="80" t="s">
        <v>54</v>
      </c>
      <c r="G23" s="80" t="s">
        <v>55</v>
      </c>
    </row>
    <row r="24" spans="2:8" x14ac:dyDescent="0.3">
      <c r="C24" s="81" t="s">
        <v>75</v>
      </c>
      <c r="D24" s="82">
        <f>Viabilidade!E5</f>
        <v>3000000</v>
      </c>
      <c r="E24" s="82">
        <f>Viabilidade!F5</f>
        <v>1000000</v>
      </c>
      <c r="F24" s="82">
        <f>Viabilidade!G5</f>
        <v>1500000</v>
      </c>
      <c r="G24" s="82">
        <f>Viabilidade!H5</f>
        <v>2000000</v>
      </c>
    </row>
    <row r="25" spans="2:8" x14ac:dyDescent="0.3">
      <c r="C25" s="83" t="s">
        <v>27</v>
      </c>
      <c r="D25" s="84">
        <f>$D$19-D24</f>
        <v>-849281.30324642826</v>
      </c>
      <c r="E25" s="84">
        <f>$D$19-E24</f>
        <v>1150718.6967535717</v>
      </c>
      <c r="F25" s="84">
        <f>$D$19-F24</f>
        <v>650718.69675357174</v>
      </c>
      <c r="G25" s="84">
        <f>$D$19-G24</f>
        <v>150718.69675357174</v>
      </c>
      <c r="H25" s="79" t="s">
        <v>33</v>
      </c>
    </row>
    <row r="26" spans="2:8" x14ac:dyDescent="0.3">
      <c r="C26" s="83" t="s">
        <v>30</v>
      </c>
      <c r="D26" s="84">
        <f>PMT($D$21,$C$18,-D25)</f>
        <v>-215518.50846364084</v>
      </c>
      <c r="E26" s="84">
        <f>PMT($D$21,$C$18,-E25)</f>
        <v>292012.9952673575</v>
      </c>
      <c r="F26" s="84">
        <f>PMT($D$21,$C$18,-F25)</f>
        <v>165130.11933460788</v>
      </c>
      <c r="G26" s="84">
        <f>PMT($D$21,$C$18,-G25)</f>
        <v>38247.243401858301</v>
      </c>
      <c r="H26" s="79" t="s">
        <v>36</v>
      </c>
    </row>
    <row r="27" spans="2:8" x14ac:dyDescent="0.3">
      <c r="C27" s="83" t="s">
        <v>31</v>
      </c>
      <c r="D27" s="84">
        <f>$D$19/D24</f>
        <v>0.71690623225119054</v>
      </c>
      <c r="E27" s="84">
        <f>$D$19/E24</f>
        <v>2.1507186967535716</v>
      </c>
      <c r="F27" s="84">
        <f>$D$19/F24</f>
        <v>1.4338124645023811</v>
      </c>
      <c r="G27" s="84">
        <f>$D$19/G24</f>
        <v>1.0753593483767858</v>
      </c>
      <c r="H27" s="79" t="s">
        <v>34</v>
      </c>
    </row>
    <row r="28" spans="2:8" x14ac:dyDescent="0.3">
      <c r="C28" s="83" t="s">
        <v>32</v>
      </c>
      <c r="D28" s="85">
        <f>RATE($C$18,0,-1,D27)</f>
        <v>-6.4395135512546511E-2</v>
      </c>
      <c r="E28" s="85">
        <f>RATE($C$18,0,-1,E27)</f>
        <v>0.16551192694187913</v>
      </c>
      <c r="F28" s="85">
        <f>RATE($C$18,0,-1,F27)</f>
        <v>7.4727768759995303E-2</v>
      </c>
      <c r="G28" s="85">
        <f>RATE($C$18,0,-1,G27)</f>
        <v>1.4637064528146854E-2</v>
      </c>
      <c r="H28" s="79" t="s">
        <v>35</v>
      </c>
    </row>
    <row r="29" spans="2:8" x14ac:dyDescent="0.3">
      <c r="C29" s="83" t="s">
        <v>37</v>
      </c>
      <c r="D29" s="86">
        <f>IRR(INDEX(CHOOSE({1;2;3;4;5;6},-D24,$D$14,$D$15,$D$16,$D$17,$D$18),0))</f>
        <v>-1.80306638407014E-2</v>
      </c>
      <c r="E29" s="86">
        <f>IRR(INDEX(CHOOSE({1;2;3;4;5;6},-E24,$D$14,$D$15,$D$16,$D$17,$D$18),0))</f>
        <v>0.39554619570010185</v>
      </c>
      <c r="F29" s="86">
        <f>IRR(INDEX(CHOOSE({1;2;3;4;5;6},-F24,$D$14,$D$15,$D$16,$D$17,$D$18),0))</f>
        <v>0.21614447076376186</v>
      </c>
      <c r="G29" s="86">
        <f>IRR(INDEX(CHOOSE({1;2;3;4;5;6},-G24,$D$14,$D$15,$D$16,$D$17,$D$18),0))</f>
        <v>0.10964637672498689</v>
      </c>
    </row>
    <row r="30" spans="2:8" ht="15" thickBot="1" x14ac:dyDescent="0.35">
      <c r="C30" s="87" t="s">
        <v>38</v>
      </c>
      <c r="D30" s="88">
        <f>D29-$D$21</f>
        <v>-0.10303066384070141</v>
      </c>
      <c r="E30" s="88">
        <f>E29-$D$21</f>
        <v>0.31054619570010183</v>
      </c>
      <c r="F30" s="88">
        <f>F29-$D$21</f>
        <v>0.13114447076376184</v>
      </c>
      <c r="G30" s="88">
        <f>G29-$D$21</f>
        <v>2.4646376724986888E-2</v>
      </c>
      <c r="H30" s="61"/>
    </row>
    <row r="31" spans="2:8" ht="15" thickBot="1" x14ac:dyDescent="0.35">
      <c r="H31" s="61"/>
    </row>
    <row r="32" spans="2:8" ht="15" thickBot="1" x14ac:dyDescent="0.35">
      <c r="B32" s="111" t="s">
        <v>28</v>
      </c>
      <c r="C32" s="111" t="s">
        <v>39</v>
      </c>
      <c r="D32" s="111" t="s">
        <v>40</v>
      </c>
      <c r="E32" s="111"/>
      <c r="F32" s="111"/>
      <c r="G32" s="111"/>
      <c r="H32" s="61"/>
    </row>
    <row r="33" spans="2:8" ht="15" thickBot="1" x14ac:dyDescent="0.35">
      <c r="B33" s="111"/>
      <c r="C33" s="111"/>
      <c r="D33" s="80" t="s">
        <v>56</v>
      </c>
      <c r="E33" s="80" t="s">
        <v>53</v>
      </c>
      <c r="F33" s="80" t="s">
        <v>54</v>
      </c>
      <c r="G33" s="80" t="s">
        <v>55</v>
      </c>
      <c r="H33" s="61"/>
    </row>
    <row r="34" spans="2:8" x14ac:dyDescent="0.3">
      <c r="B34" s="89">
        <v>0</v>
      </c>
      <c r="C34" s="90"/>
      <c r="D34" s="90">
        <f>-D24</f>
        <v>-3000000</v>
      </c>
      <c r="E34" s="90">
        <f t="shared" ref="E34:G34" si="2">-E24</f>
        <v>-1000000</v>
      </c>
      <c r="F34" s="90">
        <f t="shared" si="2"/>
        <v>-1500000</v>
      </c>
      <c r="G34" s="90">
        <f t="shared" si="2"/>
        <v>-2000000</v>
      </c>
      <c r="H34" s="61"/>
    </row>
    <row r="35" spans="2:8" x14ac:dyDescent="0.3">
      <c r="B35" s="74">
        <f>ROWS($B$35:B35)</f>
        <v>1</v>
      </c>
      <c r="C35" s="76">
        <f>D14</f>
        <v>244641.25</v>
      </c>
      <c r="D35" s="76">
        <f t="shared" ref="D35:D46" si="3">D34+PV($D$21,$B35,0,$C35,0)*-1</f>
        <v>-2774524.1935483869</v>
      </c>
      <c r="E35" s="76">
        <f t="shared" ref="E35:E46" si="4">E34+PV($D$21,$B35,0,$C35,0)*-1</f>
        <v>-774524.19354838715</v>
      </c>
      <c r="F35" s="76">
        <f t="shared" ref="F35:F46" si="5">F34+PV($D$21,$B35,0,$C35,0)*-1</f>
        <v>-1274524.1935483871</v>
      </c>
      <c r="G35" s="76">
        <f t="shared" ref="G35:G46" si="6">G34+PV($D$21,$B35,0,$C35,0)*-1</f>
        <v>-1774524.1935483871</v>
      </c>
    </row>
    <row r="36" spans="2:8" x14ac:dyDescent="0.3">
      <c r="B36" s="91">
        <f>ROWS($B$35:B36)</f>
        <v>2</v>
      </c>
      <c r="C36" s="92">
        <f>D15</f>
        <v>518035.16891891899</v>
      </c>
      <c r="D36" s="92">
        <f t="shared" si="3"/>
        <v>-2334476.4805632574</v>
      </c>
      <c r="E36" s="92">
        <f t="shared" si="4"/>
        <v>-334476.4805632577</v>
      </c>
      <c r="F36" s="92">
        <f t="shared" si="5"/>
        <v>-834476.4805632577</v>
      </c>
      <c r="G36" s="92">
        <f t="shared" si="6"/>
        <v>-1334476.4805632578</v>
      </c>
    </row>
    <row r="37" spans="2:8" x14ac:dyDescent="0.3">
      <c r="B37" s="74">
        <f>ROWS($B$35:B37)</f>
        <v>3</v>
      </c>
      <c r="C37" s="76">
        <f>D16</f>
        <v>660823.65540540544</v>
      </c>
      <c r="D37" s="76">
        <f t="shared" si="3"/>
        <v>-1817112.2891117679</v>
      </c>
      <c r="E37" s="76">
        <f t="shared" si="4"/>
        <v>182887.71088823176</v>
      </c>
      <c r="F37" s="76">
        <f t="shared" si="5"/>
        <v>-317112.28911176824</v>
      </c>
      <c r="G37" s="76">
        <f t="shared" si="6"/>
        <v>-817112.28911176836</v>
      </c>
    </row>
    <row r="38" spans="2:8" x14ac:dyDescent="0.3">
      <c r="B38" s="91">
        <f>ROWS($B$35:B38)</f>
        <v>4</v>
      </c>
      <c r="C38" s="92">
        <f>D17</f>
        <v>692602.85810810816</v>
      </c>
      <c r="D38" s="92">
        <f t="shared" si="3"/>
        <v>-1317347.8774904709</v>
      </c>
      <c r="E38" s="92">
        <f t="shared" si="4"/>
        <v>682652.12250952865</v>
      </c>
      <c r="F38" s="92">
        <f t="shared" si="5"/>
        <v>182652.12250952871</v>
      </c>
      <c r="G38" s="92">
        <f t="shared" si="6"/>
        <v>-317347.87749047141</v>
      </c>
    </row>
    <row r="39" spans="2:8" x14ac:dyDescent="0.3">
      <c r="B39" s="74">
        <f>ROWS($B$35:B39)</f>
        <v>5</v>
      </c>
      <c r="C39" s="76">
        <f>D18</f>
        <v>703811.43581081077</v>
      </c>
      <c r="D39" s="76">
        <f t="shared" si="3"/>
        <v>-849281.30324642814</v>
      </c>
      <c r="E39" s="76">
        <f t="shared" si="4"/>
        <v>1150718.6967535713</v>
      </c>
      <c r="F39" s="76">
        <f t="shared" si="5"/>
        <v>650718.69675357151</v>
      </c>
      <c r="G39" s="76">
        <f t="shared" si="6"/>
        <v>150718.69675357133</v>
      </c>
    </row>
    <row r="40" spans="2:8" x14ac:dyDescent="0.3">
      <c r="B40" s="91">
        <f>ROWS($B$35:B40)</f>
        <v>6</v>
      </c>
      <c r="C40" s="92">
        <f t="shared" ref="C40:C46" si="7">C39*(1+($C$39/$C$38-1))</f>
        <v>715201.40493089904</v>
      </c>
      <c r="D40" s="92">
        <f t="shared" si="3"/>
        <v>-410902.11331209261</v>
      </c>
      <c r="E40" s="92">
        <f t="shared" si="4"/>
        <v>1589097.8866879069</v>
      </c>
      <c r="F40" s="92">
        <f t="shared" si="5"/>
        <v>1089097.8866879069</v>
      </c>
      <c r="G40" s="92">
        <f t="shared" si="6"/>
        <v>589097.88668790692</v>
      </c>
    </row>
    <row r="41" spans="2:8" x14ac:dyDescent="0.3">
      <c r="B41" s="74">
        <f>ROWS($B$35:B41)</f>
        <v>7</v>
      </c>
      <c r="C41" s="76">
        <f t="shared" si="7"/>
        <v>726775.70097430178</v>
      </c>
      <c r="D41" s="76">
        <f t="shared" si="3"/>
        <v>-327.36873038182966</v>
      </c>
      <c r="E41" s="76">
        <f t="shared" si="4"/>
        <v>1999672.6312696177</v>
      </c>
      <c r="F41" s="76">
        <f t="shared" si="5"/>
        <v>1499672.6312696177</v>
      </c>
      <c r="G41" s="76">
        <f t="shared" si="6"/>
        <v>999672.6312696177</v>
      </c>
    </row>
    <row r="42" spans="2:8" x14ac:dyDescent="0.3">
      <c r="B42" s="91">
        <f>ROWS($B$35:B42)</f>
        <v>8</v>
      </c>
      <c r="C42" s="92">
        <f t="shared" si="7"/>
        <v>738537.30695302726</v>
      </c>
      <c r="D42" s="92">
        <f t="shared" si="3"/>
        <v>384206.44299911038</v>
      </c>
      <c r="E42" s="92">
        <f t="shared" si="4"/>
        <v>2384206.4429991101</v>
      </c>
      <c r="F42" s="92">
        <f t="shared" si="5"/>
        <v>1884206.4429991099</v>
      </c>
      <c r="G42" s="92">
        <f t="shared" si="6"/>
        <v>1384206.4429991099</v>
      </c>
    </row>
    <row r="43" spans="2:8" x14ac:dyDescent="0.3">
      <c r="B43" s="74">
        <f>ROWS($B$35:B43)</f>
        <v>9</v>
      </c>
      <c r="C43" s="76">
        <f t="shared" si="7"/>
        <v>750489.25415396655</v>
      </c>
      <c r="D43" s="76">
        <f t="shared" si="3"/>
        <v>744350.98260993592</v>
      </c>
      <c r="E43" s="76">
        <f t="shared" si="4"/>
        <v>2744350.9826099356</v>
      </c>
      <c r="F43" s="76">
        <f t="shared" si="5"/>
        <v>2244350.9826099356</v>
      </c>
      <c r="G43" s="76">
        <f t="shared" si="6"/>
        <v>1744350.9826099353</v>
      </c>
    </row>
    <row r="44" spans="2:8" x14ac:dyDescent="0.3">
      <c r="B44" s="91">
        <f>ROWS($B$35:B44)</f>
        <v>10</v>
      </c>
      <c r="C44" s="92">
        <f t="shared" si="7"/>
        <v>762634.62292013911</v>
      </c>
      <c r="D44" s="92">
        <f t="shared" si="3"/>
        <v>1081653.1533296758</v>
      </c>
      <c r="E44" s="92">
        <f t="shared" si="4"/>
        <v>3081653.1533296756</v>
      </c>
      <c r="F44" s="92">
        <f t="shared" si="5"/>
        <v>2581653.1533296756</v>
      </c>
      <c r="G44" s="92">
        <f t="shared" si="6"/>
        <v>2081653.1533296751</v>
      </c>
    </row>
    <row r="45" spans="2:8" x14ac:dyDescent="0.3">
      <c r="B45" s="74">
        <f>ROWS($B$35:B45)</f>
        <v>11</v>
      </c>
      <c r="C45" s="76">
        <f t="shared" si="7"/>
        <v>774976.54344458121</v>
      </c>
      <c r="D45" s="76">
        <f t="shared" si="3"/>
        <v>1397561.745183358</v>
      </c>
      <c r="E45" s="76">
        <f t="shared" si="4"/>
        <v>3397561.7451833575</v>
      </c>
      <c r="F45" s="76">
        <f t="shared" si="5"/>
        <v>2897561.7451833575</v>
      </c>
      <c r="G45" s="76">
        <f t="shared" si="6"/>
        <v>2397561.745183357</v>
      </c>
    </row>
    <row r="46" spans="2:8" ht="15" thickBot="1" x14ac:dyDescent="0.35">
      <c r="B46" s="93">
        <f>ROWS($B$35:B46)</f>
        <v>12</v>
      </c>
      <c r="C46" s="94">
        <f t="shared" si="7"/>
        <v>787518.19657708192</v>
      </c>
      <c r="D46" s="94">
        <f t="shared" si="3"/>
        <v>1693433.657878214</v>
      </c>
      <c r="E46" s="94">
        <f t="shared" si="4"/>
        <v>3693433.6578782136</v>
      </c>
      <c r="F46" s="94">
        <f t="shared" si="5"/>
        <v>3193433.6578782136</v>
      </c>
      <c r="G46" s="94">
        <f t="shared" si="6"/>
        <v>2693433.6578782131</v>
      </c>
    </row>
    <row r="47" spans="2:8" ht="15" thickBot="1" x14ac:dyDescent="0.35"/>
    <row r="48" spans="2:8" x14ac:dyDescent="0.3">
      <c r="C48" s="97" t="s">
        <v>72</v>
      </c>
      <c r="D48" s="95">
        <f t="shared" ref="D48:G48" si="8">MATCH(0,D34:D46,1)-1</f>
        <v>7</v>
      </c>
      <c r="E48" s="95">
        <f t="shared" si="8"/>
        <v>2</v>
      </c>
      <c r="F48" s="95">
        <f t="shared" si="8"/>
        <v>3</v>
      </c>
      <c r="G48" s="95">
        <f t="shared" si="8"/>
        <v>4</v>
      </c>
    </row>
    <row r="49" spans="3:7" x14ac:dyDescent="0.3">
      <c r="C49" s="98" t="s">
        <v>73</v>
      </c>
      <c r="D49" s="96">
        <f t="shared" ref="D49:G49" si="9">IFERROR(INDEX(D34:D46,MATCH(0,D34:D46,1),0)/(PV($D$21,MATCH(0,D34:D46,1),0,INDEX($C$35:$C$46,MATCH(0,D34:D46,1),0),0)*-1)*-1*12,"")</f>
        <v>1.0216071109360554E-2</v>
      </c>
      <c r="E49" s="96">
        <f t="shared" si="9"/>
        <v>7.7580123114017994</v>
      </c>
      <c r="F49" s="96">
        <f t="shared" si="9"/>
        <v>7.6142826116733797</v>
      </c>
      <c r="G49" s="96">
        <f t="shared" si="9"/>
        <v>8.135967700825681</v>
      </c>
    </row>
    <row r="50" spans="3:7" ht="15" thickBot="1" x14ac:dyDescent="0.35">
      <c r="C50" s="99" t="s">
        <v>77</v>
      </c>
      <c r="D50" s="100" t="str">
        <f t="shared" ref="D50:G50" si="10">IFERROR(IF(D48=0,ROUNDDOWN(D49,0)&amp;" meses",D48&amp;" ano(s) e "&amp;ROUNDDOWN(D49,0)&amp;" meses"),"Acima de "&amp;D48&amp;" anos")</f>
        <v>7 ano(s) e 0 meses</v>
      </c>
      <c r="E50" s="100" t="str">
        <f t="shared" si="10"/>
        <v>2 ano(s) e 7 meses</v>
      </c>
      <c r="F50" s="100" t="str">
        <f t="shared" si="10"/>
        <v>3 ano(s) e 7 meses</v>
      </c>
      <c r="G50" s="100" t="str">
        <f t="shared" si="10"/>
        <v>4 ano(s) e 8 meses</v>
      </c>
    </row>
  </sheetData>
  <mergeCells count="5">
    <mergeCell ref="D32:G32"/>
    <mergeCell ref="C32:C33"/>
    <mergeCell ref="B32:B33"/>
    <mergeCell ref="C2:F3"/>
    <mergeCell ref="C11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J11"/>
  <sheetViews>
    <sheetView showGridLines="0" zoomScale="130" zoomScaleNormal="130" workbookViewId="0">
      <selection activeCell="L15" sqref="L15"/>
    </sheetView>
  </sheetViews>
  <sheetFormatPr defaultRowHeight="13.2" x14ac:dyDescent="0.25"/>
  <cols>
    <col min="1" max="1" width="2.109375" customWidth="1"/>
    <col min="2" max="2" width="8.5546875" customWidth="1"/>
    <col min="3" max="3" width="4.33203125" customWidth="1"/>
    <col min="4" max="4" width="13.6640625" style="8" bestFit="1" customWidth="1"/>
    <col min="5" max="9" width="16.88671875" style="8" customWidth="1"/>
  </cols>
  <sheetData>
    <row r="1" spans="2:10" ht="7.8" customHeight="1" thickBot="1" x14ac:dyDescent="0.3"/>
    <row r="2" spans="2:10" ht="12.75" customHeight="1" x14ac:dyDescent="0.25">
      <c r="B2" s="122" t="s">
        <v>42</v>
      </c>
      <c r="C2" s="123"/>
      <c r="D2" s="123"/>
      <c r="E2" s="123"/>
      <c r="F2" s="123"/>
      <c r="G2" s="123"/>
      <c r="H2" s="123"/>
      <c r="I2" s="124"/>
    </row>
    <row r="3" spans="2:10" ht="12.75" customHeight="1" thickBot="1" x14ac:dyDescent="0.3">
      <c r="B3" s="125"/>
      <c r="C3" s="126"/>
      <c r="D3" s="126"/>
      <c r="E3" s="126"/>
      <c r="F3" s="126"/>
      <c r="G3" s="126"/>
      <c r="H3" s="126"/>
      <c r="I3" s="127"/>
    </row>
    <row r="4" spans="2:10" ht="13.8" x14ac:dyDescent="0.25">
      <c r="B4" s="128" t="s">
        <v>43</v>
      </c>
      <c r="C4" s="160"/>
      <c r="D4" s="161"/>
      <c r="E4" s="130" t="str">
        <f>Indicadores!D33</f>
        <v>Investimento A</v>
      </c>
      <c r="F4" s="130" t="str">
        <f>Indicadores!E33</f>
        <v>Investimento B</v>
      </c>
      <c r="G4" s="130" t="str">
        <f>Indicadores!F33</f>
        <v>Investimento C</v>
      </c>
      <c r="H4" s="130" t="str">
        <f>Indicadores!G33</f>
        <v>Investimento D</v>
      </c>
      <c r="I4" s="131" t="s">
        <v>44</v>
      </c>
    </row>
    <row r="5" spans="2:10" ht="14.4" thickBot="1" x14ac:dyDescent="0.3">
      <c r="B5" s="129"/>
      <c r="C5" s="158"/>
      <c r="D5" s="159"/>
      <c r="E5" s="132">
        <v>3000000</v>
      </c>
      <c r="F5" s="132">
        <v>1000000</v>
      </c>
      <c r="G5" s="132">
        <v>1500000</v>
      </c>
      <c r="H5" s="132">
        <v>2000000</v>
      </c>
      <c r="I5" s="133"/>
      <c r="J5" s="2"/>
    </row>
    <row r="6" spans="2:10" ht="33.75" customHeight="1" x14ac:dyDescent="0.25">
      <c r="B6" s="146" t="s">
        <v>45</v>
      </c>
      <c r="C6" s="147"/>
      <c r="D6" s="148" t="s">
        <v>27</v>
      </c>
      <c r="E6" s="149">
        <f>Indicadores!D25</f>
        <v>-849281.30324642826</v>
      </c>
      <c r="F6" s="150">
        <f>Indicadores!E25</f>
        <v>1150718.6967535717</v>
      </c>
      <c r="G6" s="150">
        <f>Indicadores!F25</f>
        <v>650718.69675357174</v>
      </c>
      <c r="H6" s="150">
        <f>Indicadores!G25</f>
        <v>150718.69675357174</v>
      </c>
      <c r="I6" s="151" t="str">
        <f>RIGHT(INDEX($E$4:$H$4,0,MATCH(MAX($E$10:$H$10),$E$10:$H$10,0)),1)</f>
        <v>B</v>
      </c>
    </row>
    <row r="7" spans="2:10" ht="33.75" customHeight="1" x14ac:dyDescent="0.25">
      <c r="B7" s="142" t="s">
        <v>46</v>
      </c>
      <c r="C7" s="143"/>
      <c r="D7" s="134" t="s">
        <v>30</v>
      </c>
      <c r="E7" s="136">
        <f>Indicadores!D26</f>
        <v>-215518.50846364084</v>
      </c>
      <c r="F7" s="136">
        <f>Indicadores!E26</f>
        <v>292012.9952673575</v>
      </c>
      <c r="G7" s="140">
        <f>Indicadores!F26</f>
        <v>165130.11933460788</v>
      </c>
      <c r="H7" s="140">
        <f>Indicadores!G26</f>
        <v>38247.243401858301</v>
      </c>
      <c r="I7" s="141" t="str">
        <f t="shared" ref="I7:I11" si="0">I6</f>
        <v>B</v>
      </c>
    </row>
    <row r="8" spans="2:10" ht="29.25" customHeight="1" x14ac:dyDescent="0.25">
      <c r="B8" s="152" t="s">
        <v>47</v>
      </c>
      <c r="C8" s="153"/>
      <c r="D8" s="154" t="s">
        <v>31</v>
      </c>
      <c r="E8" s="155">
        <f>Indicadores!D27</f>
        <v>0.71690623225119054</v>
      </c>
      <c r="F8" s="155">
        <f>Indicadores!E27</f>
        <v>2.1507186967535716</v>
      </c>
      <c r="G8" s="155">
        <f>Indicadores!F27</f>
        <v>1.4338124645023811</v>
      </c>
      <c r="H8" s="155">
        <f>Indicadores!G27</f>
        <v>1.0753593483767858</v>
      </c>
      <c r="I8" s="156" t="str">
        <f t="shared" si="0"/>
        <v>B</v>
      </c>
    </row>
    <row r="9" spans="2:10" ht="33.75" customHeight="1" x14ac:dyDescent="0.25">
      <c r="B9" s="142" t="s">
        <v>48</v>
      </c>
      <c r="C9" s="143"/>
      <c r="D9" s="134" t="s">
        <v>49</v>
      </c>
      <c r="E9" s="137">
        <f>Indicadores!D28</f>
        <v>-6.4395135512546511E-2</v>
      </c>
      <c r="F9" s="137">
        <f>Indicadores!E28</f>
        <v>0.16551192694187913</v>
      </c>
      <c r="G9" s="137">
        <f>Indicadores!F28</f>
        <v>7.4727768759995303E-2</v>
      </c>
      <c r="H9" s="137">
        <f>Indicadores!G28</f>
        <v>1.4637064528146854E-2</v>
      </c>
      <c r="I9" s="141" t="str">
        <f t="shared" si="0"/>
        <v>B</v>
      </c>
    </row>
    <row r="10" spans="2:10" ht="33.75" customHeight="1" x14ac:dyDescent="0.25">
      <c r="B10" s="152" t="s">
        <v>50</v>
      </c>
      <c r="C10" s="153"/>
      <c r="D10" s="154" t="s">
        <v>37</v>
      </c>
      <c r="E10" s="157">
        <f>Indicadores!D29</f>
        <v>-1.80306638407014E-2</v>
      </c>
      <c r="F10" s="157">
        <f>Indicadores!E29</f>
        <v>0.39554619570010185</v>
      </c>
      <c r="G10" s="157">
        <f>Indicadores!F29</f>
        <v>0.21614447076376186</v>
      </c>
      <c r="H10" s="157">
        <f>Indicadores!G29</f>
        <v>0.10964637672498689</v>
      </c>
      <c r="I10" s="156" t="str">
        <f t="shared" si="0"/>
        <v>B</v>
      </c>
    </row>
    <row r="11" spans="2:10" ht="33.75" customHeight="1" thickBot="1" x14ac:dyDescent="0.3">
      <c r="B11" s="144" t="s">
        <v>51</v>
      </c>
      <c r="C11" s="145"/>
      <c r="D11" s="135" t="s">
        <v>52</v>
      </c>
      <c r="E11" s="138" t="str">
        <f>Indicadores!D50</f>
        <v>7 ano(s) e 0 meses</v>
      </c>
      <c r="F11" s="139" t="str">
        <f>Indicadores!E50</f>
        <v>2 ano(s) e 7 meses</v>
      </c>
      <c r="G11" s="139" t="str">
        <f>Indicadores!F50</f>
        <v>3 ano(s) e 7 meses</v>
      </c>
      <c r="H11" s="139" t="str">
        <f>Indicadores!G50</f>
        <v>4 ano(s) e 8 meses</v>
      </c>
      <c r="I11" s="138" t="str">
        <f t="shared" si="0"/>
        <v>B</v>
      </c>
    </row>
  </sheetData>
  <mergeCells count="9">
    <mergeCell ref="B4:D5"/>
    <mergeCell ref="B2:I3"/>
    <mergeCell ref="B11:C11"/>
    <mergeCell ref="I4:I5"/>
    <mergeCell ref="B6:C6"/>
    <mergeCell ref="B7:C7"/>
    <mergeCell ref="B8:C8"/>
    <mergeCell ref="B9:C9"/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6:F8"/>
  <sheetViews>
    <sheetView workbookViewId="0">
      <selection activeCell="T22" sqref="T22"/>
    </sheetView>
  </sheetViews>
  <sheetFormatPr defaultRowHeight="13.2" x14ac:dyDescent="0.25"/>
  <sheetData>
    <row r="6" spans="5:6" x14ac:dyDescent="0.25">
      <c r="E6" t="s">
        <v>59</v>
      </c>
      <c r="F6" s="2">
        <v>0.3</v>
      </c>
    </row>
    <row r="7" spans="5:6" x14ac:dyDescent="0.25">
      <c r="E7" t="s">
        <v>58</v>
      </c>
      <c r="F7" s="2">
        <v>0.3</v>
      </c>
    </row>
    <row r="8" spans="5:6" x14ac:dyDescent="0.25">
      <c r="E8" t="s">
        <v>57</v>
      </c>
      <c r="F8" s="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Memorial de Cálculo</vt:lpstr>
      <vt:lpstr>IPTU</vt:lpstr>
      <vt:lpstr>Indicadores</vt:lpstr>
      <vt:lpstr>Viabilidade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Baldini Fabio</dc:creator>
  <cp:lastModifiedBy>Baldini Fabio</cp:lastModifiedBy>
  <dcterms:created xsi:type="dcterms:W3CDTF">2014-05-09T07:21:00Z</dcterms:created>
  <dcterms:modified xsi:type="dcterms:W3CDTF">2019-03-08T10:47:03Z</dcterms:modified>
</cp:coreProperties>
</file>